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carretero/Desktop/UAB_5.0/00_TFG/AES256-HW-Accelerator/AES-256_codeAnalysis/"/>
    </mc:Choice>
  </mc:AlternateContent>
  <xr:revisionPtr revIDLastSave="0" documentId="13_ncr:1_{E37D7AFF-C7A6-6049-9186-84FC7FE42573}" xr6:coauthVersionLast="47" xr6:coauthVersionMax="47" xr10:uidLastSave="{00000000-0000-0000-0000-000000000000}"/>
  <bookViews>
    <workbookView xWindow="0" yWindow="500" windowWidth="38400" windowHeight="21100" xr2:uid="{90E8EA98-BF11-E146-897D-84648578932D}"/>
  </bookViews>
  <sheets>
    <sheet name="Cornell Univ. Code" sheetId="1" r:id="rId1"/>
    <sheet name="My Code" sheetId="3" r:id="rId2"/>
    <sheet name="Speed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1" i="1" l="1"/>
  <c r="AB40" i="1"/>
  <c r="AB39" i="1"/>
  <c r="AB38" i="1"/>
  <c r="AB44" i="1" a="1"/>
  <c r="AB44" i="1" s="1"/>
  <c r="C53" i="3"/>
  <c r="AC41" i="3"/>
  <c r="AC40" i="3"/>
  <c r="AC39" i="3"/>
  <c r="AC38" i="3"/>
  <c r="AC44" i="3"/>
  <c r="AB44" i="3"/>
  <c r="C25" i="3"/>
  <c r="D23" i="3" s="1"/>
  <c r="AA42" i="3"/>
  <c r="AA40" i="3"/>
  <c r="AA39" i="3"/>
  <c r="AA38" i="3"/>
  <c r="AA41" i="3"/>
  <c r="Y20" i="1"/>
  <c r="Y18" i="1"/>
  <c r="Y15" i="1"/>
  <c r="Y13" i="1"/>
  <c r="V44" i="3"/>
  <c r="W44" i="3"/>
  <c r="X44" i="3"/>
  <c r="Y44" i="3"/>
  <c r="U44" i="3"/>
  <c r="Z38" i="3" s="1"/>
  <c r="V43" i="3"/>
  <c r="W43" i="3"/>
  <c r="X43" i="3"/>
  <c r="Y43" i="3"/>
  <c r="U43" i="3"/>
  <c r="Z37" i="3" s="1"/>
  <c r="H31" i="3"/>
  <c r="G52" i="3" s="1"/>
  <c r="F50" i="3"/>
  <c r="E50" i="3"/>
  <c r="E15" i="3"/>
  <c r="E14" i="3"/>
  <c r="E13" i="3"/>
  <c r="E12" i="3"/>
  <c r="AA21" i="1"/>
  <c r="AA20" i="1"/>
  <c r="AA19" i="1"/>
  <c r="AA18" i="1"/>
  <c r="AA17" i="1"/>
  <c r="Z23" i="1"/>
  <c r="AA42" i="1"/>
  <c r="AA41" i="1"/>
  <c r="AA40" i="1"/>
  <c r="AA38" i="1"/>
  <c r="AA39" i="1"/>
  <c r="Z44" i="1"/>
  <c r="X21" i="1"/>
  <c r="Z42" i="1"/>
  <c r="Z41" i="1"/>
  <c r="Z40" i="1"/>
  <c r="Z39" i="1"/>
  <c r="Z38" i="1"/>
  <c r="Z21" i="1"/>
  <c r="Z20" i="1"/>
  <c r="Z19" i="1"/>
  <c r="Z18" i="1"/>
  <c r="Z17" i="1"/>
  <c r="W42" i="1"/>
  <c r="V42" i="1"/>
  <c r="X41" i="1"/>
  <c r="W41" i="1"/>
  <c r="V41" i="1"/>
  <c r="W40" i="1"/>
  <c r="V40" i="1"/>
  <c r="W39" i="1"/>
  <c r="X38" i="1"/>
  <c r="W38" i="1"/>
  <c r="V38" i="1"/>
  <c r="X20" i="1"/>
  <c r="X17" i="1"/>
  <c r="V17" i="1"/>
  <c r="X39" i="1"/>
  <c r="X43" i="1"/>
  <c r="W43" i="1"/>
  <c r="V43" i="1"/>
  <c r="X18" i="1"/>
  <c r="V22" i="1"/>
  <c r="W22" i="1"/>
  <c r="X22" i="1"/>
  <c r="V23" i="1"/>
  <c r="W23" i="1"/>
  <c r="C25" i="1"/>
  <c r="D24" i="1" s="1"/>
  <c r="C23" i="1"/>
  <c r="C22" i="1"/>
  <c r="C21" i="1"/>
  <c r="F50" i="1"/>
  <c r="I43" i="1"/>
  <c r="I38" i="1"/>
  <c r="I45" i="1"/>
  <c r="I37" i="1"/>
  <c r="I41" i="1"/>
  <c r="I39" i="1"/>
  <c r="I44" i="1"/>
  <c r="I42" i="1"/>
  <c r="I40" i="1"/>
  <c r="I36" i="1"/>
  <c r="I34" i="1"/>
  <c r="G49" i="1"/>
  <c r="E49" i="1"/>
  <c r="D49" i="1"/>
  <c r="G48" i="1"/>
  <c r="D48" i="1"/>
  <c r="E47" i="1"/>
  <c r="D47" i="1"/>
  <c r="H47" i="1"/>
  <c r="C46" i="1"/>
  <c r="D46" i="1"/>
  <c r="H46" i="1"/>
  <c r="D45" i="1"/>
  <c r="C45" i="1"/>
  <c r="E45" i="1"/>
  <c r="H44" i="1"/>
  <c r="D44" i="1"/>
  <c r="C44" i="1"/>
  <c r="D43" i="1"/>
  <c r="C43" i="1"/>
  <c r="H43" i="1"/>
  <c r="D42" i="1"/>
  <c r="H42" i="1"/>
  <c r="C42" i="1"/>
  <c r="H36" i="1"/>
  <c r="H37" i="1"/>
  <c r="E13" i="1"/>
  <c r="E14" i="1"/>
  <c r="E15" i="1"/>
  <c r="E12" i="1"/>
  <c r="Z42" i="3" l="1"/>
  <c r="Z33" i="3"/>
  <c r="E52" i="3"/>
  <c r="Z34" i="3"/>
  <c r="Z39" i="3"/>
  <c r="Z41" i="3"/>
  <c r="Z35" i="3"/>
  <c r="Z40" i="3"/>
  <c r="Z36" i="3"/>
  <c r="G50" i="3"/>
  <c r="C50" i="3"/>
  <c r="D50" i="3"/>
  <c r="D21" i="1"/>
  <c r="G50" i="1"/>
  <c r="X23" i="1"/>
  <c r="Y21" i="1" s="1"/>
  <c r="D22" i="1"/>
  <c r="D23" i="1"/>
  <c r="X44" i="1"/>
  <c r="W44" i="1"/>
  <c r="V44" i="1"/>
  <c r="Y37" i="1"/>
  <c r="Y33" i="1"/>
  <c r="Y34" i="1"/>
  <c r="Y36" i="1"/>
  <c r="Y35" i="1"/>
  <c r="Y12" i="1"/>
  <c r="Y16" i="1"/>
  <c r="Y14" i="1"/>
  <c r="D20" i="1"/>
  <c r="E50" i="1"/>
  <c r="D50" i="1"/>
  <c r="C50" i="1"/>
  <c r="H50" i="1"/>
  <c r="I33" i="1"/>
  <c r="I32" i="1" s="1"/>
  <c r="I30" i="1" s="1"/>
  <c r="I35" i="1"/>
  <c r="D22" i="3" l="1"/>
  <c r="D24" i="3"/>
  <c r="AA44" i="3"/>
  <c r="I50" i="3"/>
  <c r="G51" i="3" s="1"/>
  <c r="D21" i="3"/>
  <c r="D20" i="3"/>
  <c r="C52" i="3"/>
  <c r="F52" i="3"/>
  <c r="Y19" i="1"/>
  <c r="Y17" i="1"/>
  <c r="Y40" i="1"/>
  <c r="Y41" i="1"/>
  <c r="Y42" i="1"/>
  <c r="Y38" i="1"/>
  <c r="Y39" i="1"/>
  <c r="J50" i="1"/>
  <c r="F51" i="1" s="1"/>
  <c r="I31" i="1"/>
  <c r="H52" i="1" s="1"/>
  <c r="AB42" i="3" l="1"/>
  <c r="AB38" i="3"/>
  <c r="AB40" i="3"/>
  <c r="AB39" i="3"/>
  <c r="AB41" i="3"/>
  <c r="F51" i="3"/>
  <c r="E51" i="3"/>
  <c r="D51" i="3"/>
  <c r="C51" i="3"/>
  <c r="D52" i="3"/>
  <c r="I52" i="3" s="1"/>
  <c r="E51" i="1"/>
  <c r="D51" i="1"/>
  <c r="H51" i="1"/>
  <c r="G51" i="1"/>
  <c r="C51" i="1"/>
  <c r="G52" i="1"/>
  <c r="E52" i="1"/>
  <c r="F52" i="1"/>
  <c r="C52" i="1"/>
  <c r="D52" i="1"/>
  <c r="E53" i="3" l="1"/>
  <c r="D53" i="3"/>
  <c r="G53" i="3"/>
  <c r="F53" i="3"/>
  <c r="J52" i="1"/>
  <c r="H53" i="1" s="1"/>
  <c r="G53" i="1" l="1"/>
  <c r="F53" i="1"/>
  <c r="D53" i="1"/>
  <c r="E53" i="1"/>
  <c r="C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<sst xmlns="http://schemas.openxmlformats.org/spreadsheetml/2006/main" count="188" uniqueCount="95">
  <si>
    <t>Optimization Level</t>
  </si>
  <si>
    <t>Command</t>
  </si>
  <si>
    <t>no_opt</t>
  </si>
  <si>
    <t>O1</t>
  </si>
  <si>
    <t>O2</t>
  </si>
  <si>
    <t>O3</t>
  </si>
  <si>
    <t>Ofast</t>
  </si>
  <si>
    <t>Time Elapsed</t>
  </si>
  <si>
    <t>Time user</t>
  </si>
  <si>
    <t>Speedup</t>
  </si>
  <si>
    <t>-</t>
  </si>
  <si>
    <t>gcc TFG_mainAES256.c TFG_aes256.c TFG_aes256.h -lm -o a.out</t>
  </si>
  <si>
    <t>Iter. aes256_ecb_encrypt</t>
  </si>
  <si>
    <t>Perf stat</t>
  </si>
  <si>
    <t>Func. Name</t>
  </si>
  <si>
    <t>%</t>
  </si>
  <si>
    <t>xor</t>
  </si>
  <si>
    <t>mv</t>
  </si>
  <si>
    <t>cmp</t>
  </si>
  <si>
    <t>add</t>
  </si>
  <si>
    <t>gf_alog</t>
  </si>
  <si>
    <t>gf_log</t>
  </si>
  <si>
    <t>Op</t>
  </si>
  <si>
    <t>Appearences</t>
  </si>
  <si>
    <t>rj_sbox</t>
  </si>
  <si>
    <t>shf</t>
  </si>
  <si>
    <t>TOTAL</t>
  </si>
  <si>
    <t>^</t>
  </si>
  <si>
    <t>+-</t>
  </si>
  <si>
    <t>&lt;&lt; &gt;&gt;</t>
  </si>
  <si>
    <t>and</t>
  </si>
  <si>
    <t>if ?</t>
  </si>
  <si>
    <t>Ratio (%)</t>
  </si>
  <si>
    <t>Operations (overall)</t>
  </si>
  <si>
    <t>Operations (per function)</t>
  </si>
  <si>
    <t>Function</t>
  </si>
  <si>
    <t xml:space="preserve">&lt;&lt; &gt;&gt; </t>
  </si>
  <si>
    <t>&amp;</t>
  </si>
  <si>
    <t>Num calls</t>
  </si>
  <si>
    <t>aes256_decrypt_ecb</t>
  </si>
  <si>
    <t>aes256_encrypt_ecb</t>
  </si>
  <si>
    <t>aes256_done</t>
  </si>
  <si>
    <t>aes256_init</t>
  </si>
  <si>
    <t>gf_mulinv</t>
  </si>
  <si>
    <t>rj_sbox_inv</t>
  </si>
  <si>
    <t>rj_xtime</t>
  </si>
  <si>
    <t>aes_subBytes</t>
  </si>
  <si>
    <t>aes_subBytes_inv</t>
  </si>
  <si>
    <t>aes_addRoundKey</t>
  </si>
  <si>
    <t>aes_addRoundKey_cpy</t>
  </si>
  <si>
    <t>aes_shiftRows</t>
  </si>
  <si>
    <t>aes_shiftRows_inv</t>
  </si>
  <si>
    <t>aes_mixColumns</t>
  </si>
  <si>
    <t>aes_mixColumns_inv</t>
  </si>
  <si>
    <t>aes_expandEncKey</t>
  </si>
  <si>
    <t>aes_expandDecKey</t>
  </si>
  <si>
    <t>='</t>
  </si>
  <si>
    <t>if ? While</t>
  </si>
  <si>
    <t>Note: sizeof(key)</t>
  </si>
  <si>
    <t>TOTAL (w/ calls)</t>
  </si>
  <si>
    <t>TOTAL (%)</t>
  </si>
  <si>
    <t>TOTAL (w/ calls) (%)</t>
  </si>
  <si>
    <t>xor (% in func)</t>
  </si>
  <si>
    <t>add (% in func)</t>
  </si>
  <si>
    <t>cmp (% in func)</t>
  </si>
  <si>
    <t>mv (% in func)</t>
  </si>
  <si>
    <t>shf (% in func)</t>
  </si>
  <si>
    <t>TOTAL (% in func)</t>
  </si>
  <si>
    <t>Perf report (VM)</t>
  </si>
  <si>
    <t>Perf report (Aolin)</t>
  </si>
  <si>
    <t>cmp/jmp</t>
  </si>
  <si>
    <t>xor/or</t>
  </si>
  <si>
    <t>mean modules %</t>
  </si>
  <si>
    <t>weigh instr %</t>
  </si>
  <si>
    <t>weight instr %</t>
  </si>
  <si>
    <t>gf_alog (%)</t>
  </si>
  <si>
    <t>gf_log (%)</t>
  </si>
  <si>
    <t>rj_sbox (%)</t>
  </si>
  <si>
    <t>weight instr % (/100)</t>
  </si>
  <si>
    <t>OFAST</t>
  </si>
  <si>
    <t>mixColumns</t>
  </si>
  <si>
    <t>xtime</t>
  </si>
  <si>
    <t>addRoundKey</t>
  </si>
  <si>
    <t>substitution</t>
  </si>
  <si>
    <t>shifting</t>
  </si>
  <si>
    <t>gcc aes256_enc.cpp -lm -lstdc++ -o enc.out</t>
  </si>
  <si>
    <t>aes256_enc.cpp</t>
  </si>
  <si>
    <t>mixColumns (%)</t>
  </si>
  <si>
    <t>shifting (%)</t>
  </si>
  <si>
    <t>substitution (%)</t>
  </si>
  <si>
    <t>addRoundKey (%)</t>
  </si>
  <si>
    <t>xtime (%)</t>
  </si>
  <si>
    <t>weight instr % without mv (/100)</t>
  </si>
  <si>
    <t>weight instr % without move (/100)</t>
  </si>
  <si>
    <t>Corresponds to the shf op. Easier to create the chart this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</si>
</sst>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2" fillId="0" borderId="0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quotePrefix="1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3" borderId="1" xfId="1" applyNumberFormat="1" applyFont="1" applyFill="1" applyBorder="1"/>
    <xf numFmtId="10" fontId="0" fillId="3" borderId="1" xfId="0" applyNumberFormat="1" applyFill="1" applyBorder="1"/>
    <xf numFmtId="0" fontId="3" fillId="8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4" fillId="9" borderId="5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vertical="center"/>
    </xf>
    <xf numFmtId="0" fontId="0" fillId="0" borderId="0" xfId="0"/>
    <xf numFmtId="0" fontId="0" fillId="0" borderId="0" xfId="0" applyFill="1"/>
    <xf numFmtId="0" fontId="0" fillId="0" borderId="0" xfId="0" applyFill="1" applyBorder="1"/>
    <xf numFmtId="10" fontId="0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0" fontId="0" fillId="0" borderId="0" xfId="1" applyNumberFormat="1" applyFont="1" applyFill="1" applyBorder="1"/>
    <xf numFmtId="10" fontId="0" fillId="0" borderId="0" xfId="0" applyNumberFormat="1" applyFill="1" applyBorder="1"/>
    <xf numFmtId="0" fontId="0" fillId="2" borderId="7" xfId="0" applyFill="1" applyBorder="1"/>
    <xf numFmtId="10" fontId="2" fillId="0" borderId="1" xfId="0" applyNumberFormat="1" applyFont="1" applyBorder="1"/>
    <xf numFmtId="0" fontId="0" fillId="2" borderId="1" xfId="0" applyFont="1" applyFill="1" applyBorder="1"/>
    <xf numFmtId="10" fontId="0" fillId="3" borderId="1" xfId="0" applyNumberFormat="1" applyFont="1" applyFill="1" applyBorder="1"/>
    <xf numFmtId="9" fontId="0" fillId="3" borderId="1" xfId="0" applyNumberFormat="1" applyFont="1" applyFill="1" applyBorder="1"/>
    <xf numFmtId="0" fontId="2" fillId="2" borderId="1" xfId="0" quotePrefix="1" applyFont="1" applyFill="1" applyBorder="1"/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/>
    <xf numFmtId="0" fontId="0" fillId="0" borderId="6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'Cornell Univ. Code'!$E$10:$E$11</c:f>
              <c:strCache>
                <c:ptCount val="2"/>
                <c:pt idx="0">
                  <c:v>Speedup</c:v>
                </c:pt>
                <c:pt idx="1">
                  <c:v>-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'Cornell Univ. Code'!$B$12:$B$15</c:f>
              <c:strCache>
                <c:ptCount val="4"/>
                <c:pt idx="0">
                  <c:v>O1</c:v>
                </c:pt>
                <c:pt idx="1">
                  <c:v>O2</c:v>
                </c:pt>
                <c:pt idx="2">
                  <c:v>O3</c:v>
                </c:pt>
                <c:pt idx="3">
                  <c:v>Ofast</c:v>
                </c:pt>
              </c:strCache>
            </c:strRef>
          </c:cat>
          <c:val>
            <c:numRef>
              <c:f>'Cornell Univ. Code'!$E$12:$E$15</c:f>
              <c:numCache>
                <c:formatCode>General</c:formatCode>
                <c:ptCount val="4"/>
                <c:pt idx="0">
                  <c:v>3.1252956198024178</c:v>
                </c:pt>
                <c:pt idx="1">
                  <c:v>1.0789687585491425</c:v>
                </c:pt>
                <c:pt idx="2">
                  <c:v>0.98773726478002222</c:v>
                </c:pt>
                <c:pt idx="3">
                  <c:v>0.94564511335448664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B-4E42-B45C-CCF03DDFFC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34017200"/>
        <c:axId val="1236791856"/>
      </c:lineChart>
      <c:catAx>
        <c:axId val="12340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36791856"/>
        <c:crosses val="autoZero"/>
        <c:auto val="1"/>
        <c:lblAlgn val="ctr"/>
        <c:lblOffset val="100"/>
        <c:noMultiLvlLbl val="0"/>
      </c:catAx>
      <c:valAx>
        <c:axId val="12367918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401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 Weight (%, /100)</a:t>
            </a:r>
            <a:r>
              <a:rPr lang="en-GB" baseline="0"/>
              <a:t> (perf report VM)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BC9-4C4A-949E-D9E88CDB1F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C9-4C4A-949E-D9E88CDB1F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BC9-4C4A-949E-D9E88CDB1F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BC9-4C4A-949E-D9E88CDB1F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C9-4C4A-949E-D9E88CDB1F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Code'!$U$12:$U$16</c:f>
              <c:strCache>
                <c:ptCount val="5"/>
                <c:pt idx="0">
                  <c:v>xor</c:v>
                </c:pt>
                <c:pt idx="1">
                  <c:v>add</c:v>
                </c:pt>
                <c:pt idx="2">
                  <c:v>cmp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'Cornell Univ. Code'!$AA$17:$AA$21</c:f>
              <c:numCache>
                <c:formatCode>0.00%</c:formatCode>
                <c:ptCount val="5"/>
                <c:pt idx="0">
                  <c:v>0.27209207229700816</c:v>
                </c:pt>
                <c:pt idx="1">
                  <c:v>0.11283358119842417</c:v>
                </c:pt>
                <c:pt idx="2">
                  <c:v>4.5834584767599232E-2</c:v>
                </c:pt>
                <c:pt idx="3">
                  <c:v>0.46519892333015722</c:v>
                </c:pt>
                <c:pt idx="4">
                  <c:v>0.10404083840681121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9-4C4A-949E-D9E88CDB1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ops. depending</a:t>
            </a:r>
            <a:r>
              <a:rPr lang="en-GB" baseline="0"/>
              <a:t> on calls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9B-CF47-BF2D-E7D1009C63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9B-CF47-BF2D-E7D1009C63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9B-CF47-BF2D-E7D1009C630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5A2-7649-AC10-9F274D8956F9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A2-7649-AC10-9F274D8956F9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5A2-7649-AC10-9F274D8956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Code'!$C$29:$H$29</c:f>
              <c:strCache>
                <c:ptCount val="6"/>
                <c:pt idx="0">
                  <c:v>^</c:v>
                </c:pt>
                <c:pt idx="1">
                  <c:v>+-</c:v>
                </c:pt>
                <c:pt idx="2">
                  <c:v>if ? While</c:v>
                </c:pt>
                <c:pt idx="3">
                  <c:v>&lt;&lt; &gt;&gt; </c:v>
                </c:pt>
                <c:pt idx="4">
                  <c:v>&amp;</c:v>
                </c:pt>
                <c:pt idx="5">
                  <c:v>='</c:v>
                </c:pt>
              </c:strCache>
            </c:strRef>
          </c:cat>
          <c:val>
            <c:numRef>
              <c:f>'Cornell Univ. Code'!$C$53:$H$53</c:f>
              <c:numCache>
                <c:formatCode>0.000%</c:formatCode>
                <c:ptCount val="6"/>
                <c:pt idx="0">
                  <c:v>0.20633187772925765</c:v>
                </c:pt>
                <c:pt idx="1">
                  <c:v>0.1025963546610974</c:v>
                </c:pt>
                <c:pt idx="2">
                  <c:v>9.0255363584583248E-2</c:v>
                </c:pt>
                <c:pt idx="3">
                  <c:v>0.1712549838617809</c:v>
                </c:pt>
                <c:pt idx="4">
                  <c:v>4.7156825517372318E-2</c:v>
                </c:pt>
                <c:pt idx="5">
                  <c:v>0.38240459464590848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2-7649-AC10-9F274D895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</a:t>
            </a:r>
            <a:r>
              <a:rPr lang="en-GB" baseline="0"/>
              <a:t> ops. based on counting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D8-7940-A835-98A5230196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D8-7940-A835-98A5230196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D8-7940-A835-98A5230196F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F6-9947-A834-F5D0994CF421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9947-A834-F5D0994CF421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9947-A834-F5D0994CF4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Code'!$C$29:$H$29</c:f>
              <c:strCache>
                <c:ptCount val="6"/>
                <c:pt idx="0">
                  <c:v>^</c:v>
                </c:pt>
                <c:pt idx="1">
                  <c:v>+-</c:v>
                </c:pt>
                <c:pt idx="2">
                  <c:v>if ? While</c:v>
                </c:pt>
                <c:pt idx="3">
                  <c:v>&lt;&lt; &gt;&gt; </c:v>
                </c:pt>
                <c:pt idx="4">
                  <c:v>&amp;</c:v>
                </c:pt>
                <c:pt idx="5">
                  <c:v>='</c:v>
                </c:pt>
              </c:strCache>
            </c:strRef>
          </c:cat>
          <c:val>
            <c:numRef>
              <c:f>'Cornell Univ. Code'!$C$51:$H$51</c:f>
              <c:numCache>
                <c:formatCode>0.000%</c:formatCode>
                <c:ptCount val="6"/>
                <c:pt idx="0">
                  <c:v>0.24597116200169636</c:v>
                </c:pt>
                <c:pt idx="1">
                  <c:v>0.24427480916030533</c:v>
                </c:pt>
                <c:pt idx="2">
                  <c:v>0.11789652247667515</c:v>
                </c:pt>
                <c:pt idx="3">
                  <c:v>1.5267175572519083E-2</c:v>
                </c:pt>
                <c:pt idx="4">
                  <c:v>2.5445292620865138E-2</c:v>
                </c:pt>
                <c:pt idx="5">
                  <c:v>0.35114503816793891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9947-A834-F5D0994C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 Weight (%, /100)</a:t>
            </a:r>
            <a:r>
              <a:rPr lang="en-GB" baseline="0"/>
              <a:t> (perf report aolin)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18-9B2D-5A46-AA0C-C860B6BCCF79}"/>
              </c:ext>
            </c:extLst>
          </c:dPt>
          <c:dPt>
            <c:idx val="1"/>
            <c:bubble3D val="0"/>
            <c:spPr/>
            <c:extLst>
              <c:ext xmlns:c16="http://schemas.microsoft.com/office/drawing/2014/chart" uri="{C3380CC4-5D6E-409C-BE32-E72D297353CC}">
                <c16:uniqueId val="{00000019-9B2D-5A46-AA0C-C860B6BCCF79}"/>
              </c:ext>
            </c:extLst>
          </c:dPt>
          <c:dPt>
            <c:idx val="2"/>
            <c:bubble3D val="0"/>
            <c:spPr/>
            <c:extLst>
              <c:ext xmlns:c16="http://schemas.microsoft.com/office/drawing/2014/chart" uri="{C3380CC4-5D6E-409C-BE32-E72D297353CC}">
                <c16:uniqueId val="{0000001A-9B2D-5A46-AA0C-C860B6BCCF79}"/>
              </c:ext>
            </c:extLst>
          </c:dPt>
          <c:dPt>
            <c:idx val="3"/>
            <c:bubble3D val="0"/>
            <c:spPr/>
            <c:extLst>
              <c:ext xmlns:c16="http://schemas.microsoft.com/office/drawing/2014/chart" uri="{C3380CC4-5D6E-409C-BE32-E72D297353CC}">
                <c16:uniqueId val="{0000001B-9B2D-5A46-AA0C-C860B6BCCF79}"/>
              </c:ext>
            </c:extLst>
          </c:dPt>
          <c:dPt>
            <c:idx val="4"/>
            <c:bubble3D val="0"/>
            <c:spPr/>
            <c:extLst>
              <c:ext xmlns:c16="http://schemas.microsoft.com/office/drawing/2014/chart" uri="{C3380CC4-5D6E-409C-BE32-E72D297353CC}">
                <c16:uniqueId val="{0000001C-9B2D-5A46-AA0C-C860B6BCCF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Code'!$U$33:$U$37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'Cornell Univ. Code'!$AA$38:$AA$42</c:f>
              <c:numCache>
                <c:formatCode>0.00%</c:formatCode>
                <c:ptCount val="5"/>
                <c:pt idx="0">
                  <c:v>0.39879804049237799</c:v>
                </c:pt>
                <c:pt idx="1">
                  <c:v>5.0904169882573568E-4</c:v>
                </c:pt>
                <c:pt idx="2">
                  <c:v>7.0399167404423355E-2</c:v>
                </c:pt>
                <c:pt idx="3">
                  <c:v>0.4625459401230626</c:v>
                </c:pt>
                <c:pt idx="4">
                  <c:v>6.7747810281310411E-2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B2D-5A46-AA0C-C860B6BCCF79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B2D-5A46-AA0C-C860B6BCCF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B2D-5A46-AA0C-C860B6BCCF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B2D-5A46-AA0C-C860B6BCCF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B2D-5A46-AA0C-C860B6BCCF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B2D-5A46-AA0C-C860B6BCCF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Code'!$U$33:$U$37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'Cornell Univ. Code'!$AA$38:$AA$42</c:f>
              <c:numCache>
                <c:formatCode>0.00%</c:formatCode>
                <c:ptCount val="5"/>
                <c:pt idx="0">
                  <c:v>0.39879804049237799</c:v>
                </c:pt>
                <c:pt idx="1">
                  <c:v>5.0904169882573568E-4</c:v>
                </c:pt>
                <c:pt idx="2">
                  <c:v>7.0399167404423355E-2</c:v>
                </c:pt>
                <c:pt idx="3">
                  <c:v>0.4625459401230626</c:v>
                </c:pt>
                <c:pt idx="4">
                  <c:v>6.7747810281310411E-2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B2D-5A46-AA0C-C860B6BC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</a:t>
            </a:r>
            <a:r>
              <a:rPr lang="en-GB" baseline="0"/>
              <a:t> mean weight (%) (perf report VM)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96-0D43-9686-3F10470FBE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96-0D43-9686-3F10470FBE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96-0D43-9686-3F10470FBE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96-0D43-9686-3F10470FBE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96-0D43-9686-3F10470FBE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Code'!$U$12:$U$16</c:f>
              <c:strCache>
                <c:ptCount val="5"/>
                <c:pt idx="0">
                  <c:v>xor</c:v>
                </c:pt>
                <c:pt idx="1">
                  <c:v>add</c:v>
                </c:pt>
                <c:pt idx="2">
                  <c:v>cmp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'Cornell Univ. Code'!$Y$17:$Y$21</c:f>
              <c:numCache>
                <c:formatCode>0.00%</c:formatCode>
                <c:ptCount val="5"/>
                <c:pt idx="0">
                  <c:v>0.31349487985399982</c:v>
                </c:pt>
                <c:pt idx="1">
                  <c:v>8.8107066815370574E-2</c:v>
                </c:pt>
                <c:pt idx="2">
                  <c:v>3.5790327486565951E-2</c:v>
                </c:pt>
                <c:pt idx="3">
                  <c:v>0.46584879516036359</c:v>
                </c:pt>
                <c:pt idx="4">
                  <c:v>9.6758930683700034E-2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2-574C-A506-D1D6E652B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Instr. mean weight (%) (perf report aolin)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9-554F-AE36-2700497741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9-554F-AE36-2700497741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9-554F-AE36-2700497741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9-554F-AE36-2700497741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9-554F-AE36-2700497741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Code'!$U$33:$U$37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'Cornell Univ. Code'!$Y$38:$Y$42</c:f>
              <c:numCache>
                <c:formatCode>0.00%</c:formatCode>
                <c:ptCount val="5"/>
                <c:pt idx="0">
                  <c:v>0.34874360926792125</c:v>
                </c:pt>
                <c:pt idx="1">
                  <c:v>3.2633525508539104E-4</c:v>
                </c:pt>
                <c:pt idx="2">
                  <c:v>4.5288081511294827E-2</c:v>
                </c:pt>
                <c:pt idx="3">
                  <c:v>0.56213060662097969</c:v>
                </c:pt>
                <c:pt idx="4">
                  <c:v>4.3511367344718804E-2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5-654B-B77C-C9CEB15EC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 Weight (%, /100)</a:t>
            </a:r>
            <a:r>
              <a:rPr lang="en-GB" baseline="0"/>
              <a:t> (perf report aolin)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84-B14D-BC84-3A18981814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84-B14D-BC84-3A18981814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84-B14D-BC84-3A18981814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84-B14D-BC84-3A18981814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'Cornell Univ. Code'!$U$33:$U$37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'Cornell Univ. Code'!$AB$38:$AB$41</c:f>
              <c:numCache>
                <c:formatCode>0.00%</c:formatCode>
                <c:ptCount val="4"/>
                <c:pt idx="0">
                  <c:v>0.59261197691912193</c:v>
                </c:pt>
                <c:pt idx="1">
                  <c:v>7.5643352485618102E-4</c:v>
                </c:pt>
                <c:pt idx="2">
                  <c:v>0.10461282537267856</c:v>
                </c:pt>
                <c:pt idx="3">
                  <c:v>0.10067292139444779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84-B14D-BC84-3A1898181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'My Code'!$E$10:$E$11</c:f>
              <c:strCache>
                <c:ptCount val="2"/>
                <c:pt idx="0">
                  <c:v>Speedup</c:v>
                </c:pt>
                <c:pt idx="1">
                  <c:v>-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'My Code'!$B$12:$B$15</c:f>
              <c:strCache>
                <c:ptCount val="4"/>
                <c:pt idx="0">
                  <c:v>O1</c:v>
                </c:pt>
                <c:pt idx="1">
                  <c:v>O2</c:v>
                </c:pt>
                <c:pt idx="2">
                  <c:v>O3</c:v>
                </c:pt>
                <c:pt idx="3">
                  <c:v>Ofast</c:v>
                </c:pt>
              </c:strCache>
            </c:strRef>
          </c:cat>
          <c:val>
            <c:numRef>
              <c:f>'My Code'!$E$12:$E$15</c:f>
              <c:numCache>
                <c:formatCode>General</c:formatCode>
                <c:ptCount val="4"/>
                <c:pt idx="0">
                  <c:v>4.0292470908702267</c:v>
                </c:pt>
                <c:pt idx="1">
                  <c:v>1.4321851848678464</c:v>
                </c:pt>
                <c:pt idx="2">
                  <c:v>1.2655137764235374</c:v>
                </c:pt>
                <c:pt idx="3">
                  <c:v>1.00092046958888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CA-3A4A-9494-64ECD9137D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34017200"/>
        <c:axId val="1236791856"/>
      </c:lineChart>
      <c:catAx>
        <c:axId val="12340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36791856"/>
        <c:crosses val="autoZero"/>
        <c:auto val="1"/>
        <c:lblAlgn val="ctr"/>
        <c:lblOffset val="100"/>
        <c:noMultiLvlLbl val="0"/>
      </c:catAx>
      <c:valAx>
        <c:axId val="12367918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401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ops. depending</a:t>
            </a:r>
            <a:r>
              <a:rPr lang="en-GB" baseline="0"/>
              <a:t> on calls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C1-A544-B6D6-47C7EC0C16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C1-A544-B6D6-47C7EC0C16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C1-A544-B6D6-47C7EC0C16C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C1-A544-B6D6-47C7EC0C16C2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C1-A544-B6D6-47C7EC0C16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'My Code'!$C$29:$G$29</c:f>
              <c:strCache>
                <c:ptCount val="5"/>
                <c:pt idx="0">
                  <c:v>^</c:v>
                </c:pt>
                <c:pt idx="1">
                  <c:v>+-</c:v>
                </c:pt>
                <c:pt idx="2">
                  <c:v>if ? While</c:v>
                </c:pt>
                <c:pt idx="3">
                  <c:v>&lt;&lt; &gt;&gt; </c:v>
                </c:pt>
                <c:pt idx="4">
                  <c:v>='</c:v>
                </c:pt>
              </c:strCache>
            </c:strRef>
          </c:cat>
          <c:val>
            <c:numRef>
              <c:f>'My Code'!$C$53:$G$53</c:f>
              <c:numCache>
                <c:formatCode>0.000%</c:formatCode>
                <c:ptCount val="5"/>
                <c:pt idx="0">
                  <c:v>0.27763496143958871</c:v>
                </c:pt>
                <c:pt idx="1">
                  <c:v>8.2262210796915161E-2</c:v>
                </c:pt>
                <c:pt idx="2">
                  <c:v>0.25706940874035988</c:v>
                </c:pt>
                <c:pt idx="3">
                  <c:v>0.16452442159383032</c:v>
                </c:pt>
                <c:pt idx="4">
                  <c:v>0.21850899742930591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C1-A544-B6D6-47C7EC0C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</a:t>
            </a:r>
            <a:r>
              <a:rPr lang="en-GB" baseline="0"/>
              <a:t> ops. based on counting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69-2343-8387-F17C881E9C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69-2343-8387-F17C881E9C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69-2343-8387-F17C881E9C1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69-2343-8387-F17C881E9C1A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669-2343-8387-F17C881E9C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'My Code'!$C$29:$G$29</c:f>
              <c:strCache>
                <c:ptCount val="5"/>
                <c:pt idx="0">
                  <c:v>^</c:v>
                </c:pt>
                <c:pt idx="1">
                  <c:v>+-</c:v>
                </c:pt>
                <c:pt idx="2">
                  <c:v>if ? While</c:v>
                </c:pt>
                <c:pt idx="3">
                  <c:v>&lt;&lt; &gt;&gt; </c:v>
                </c:pt>
                <c:pt idx="4">
                  <c:v>='</c:v>
                </c:pt>
              </c:strCache>
            </c:strRef>
          </c:cat>
          <c:val>
            <c:numRef>
              <c:f>'My Code'!$C$51:$G$51</c:f>
              <c:numCache>
                <c:formatCode>0.000%</c:formatCode>
                <c:ptCount val="5"/>
                <c:pt idx="0">
                  <c:v>0.27500000000000002</c:v>
                </c:pt>
                <c:pt idx="1">
                  <c:v>0.11428571428571428</c:v>
                </c:pt>
                <c:pt idx="2">
                  <c:v>0.24642857142857144</c:v>
                </c:pt>
                <c:pt idx="3">
                  <c:v>7.1428571428571426E-3</c:v>
                </c:pt>
                <c:pt idx="4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69-2343-8387-F17C881E9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 Weight (%, /100)</a:t>
            </a:r>
            <a:r>
              <a:rPr lang="en-GB" baseline="0"/>
              <a:t> (perf report aolin)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B6-EF4D-A7E5-A55AFCA4C1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B6-EF4D-A7E5-A55AFCA4C1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B6-EF4D-A7E5-A55AFCA4C1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B6-EF4D-A7E5-A55AFCA4C1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B6-EF4D-A7E5-A55AFCA4C1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'My Code'!$T$33:$T$37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shf</c:v>
                </c:pt>
                <c:pt idx="4">
                  <c:v>mv</c:v>
                </c:pt>
              </c:strCache>
            </c:strRef>
          </c:cat>
          <c:val>
            <c:numRef>
              <c:f>'My Code'!$AB$38:$AB$42</c:f>
              <c:numCache>
                <c:formatCode>0.00%</c:formatCode>
                <c:ptCount val="5"/>
                <c:pt idx="0">
                  <c:v>4.7897787951872599E-2</c:v>
                </c:pt>
                <c:pt idx="1">
                  <c:v>5.9714023136176429E-2</c:v>
                </c:pt>
                <c:pt idx="2">
                  <c:v>0.17617503670645265</c:v>
                </c:pt>
                <c:pt idx="3">
                  <c:v>3.9264756872519884E-3</c:v>
                </c:pt>
                <c:pt idx="4">
                  <c:v>0.7122866765182464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B6-EF4D-A7E5-A55AFCA4C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Instr. mean weight (%) (perf report aolin)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D4-8D40-87C7-CBE2B120B1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4-8D40-87C7-CBE2B120B1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D4-8D40-87C7-CBE2B120B1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D4-8D40-87C7-CBE2B120B1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D4-8D40-87C7-CBE2B120B1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'My Code'!$T$33:$T$37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shf</c:v>
                </c:pt>
                <c:pt idx="4">
                  <c:v>mv</c:v>
                </c:pt>
              </c:strCache>
            </c:strRef>
          </c:cat>
          <c:val>
            <c:numRef>
              <c:f>'My Code'!$Z$38:$Z$42</c:f>
              <c:numCache>
                <c:formatCode>0.00%</c:formatCode>
                <c:ptCount val="5"/>
                <c:pt idx="0">
                  <c:v>3.0947775628626689E-2</c:v>
                </c:pt>
                <c:pt idx="1">
                  <c:v>9.5230256389151821E-2</c:v>
                </c:pt>
                <c:pt idx="2">
                  <c:v>0.16673525659492164</c:v>
                </c:pt>
                <c:pt idx="3">
                  <c:v>1.8519280628832462E-3</c:v>
                </c:pt>
                <c:pt idx="4">
                  <c:v>0.547018395818758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D4-8D40-87C7-CBE2B120B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 Weight (%, /100)</a:t>
            </a:r>
            <a:r>
              <a:rPr lang="en-GB" baseline="0"/>
              <a:t> (perf report aolin)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AC-D44C-A31D-0F77BECCBE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AC-D44C-A31D-0F77BECCBE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AC-D44C-A31D-0F77BECCBE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AC-D44C-A31D-0F77BECCBE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'My Code'!$T$33:$T$37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shf</c:v>
                </c:pt>
                <c:pt idx="4">
                  <c:v>mv</c:v>
                </c:pt>
              </c:strCache>
            </c:strRef>
          </c:cat>
          <c:val>
            <c:numRef>
              <c:f>'My Code'!$AC$38:$AC$41</c:f>
              <c:numCache>
                <c:formatCode>0.00%</c:formatCode>
                <c:ptCount val="4"/>
                <c:pt idx="0">
                  <c:v>0.16647747616356112</c:v>
                </c:pt>
                <c:pt idx="1">
                  <c:v>0.20754695129703787</c:v>
                </c:pt>
                <c:pt idx="2">
                  <c:v>0.61232839193707134</c:v>
                </c:pt>
                <c:pt idx="3">
                  <c:v>1.3647180602329664E-2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AC-D44C-A31D-0F77BECC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>
                <a:latin typeface="Times New Roman" panose="02020603050405020304" pitchFamily="18" charset="0"/>
                <a:cs typeface="Times New Roman" panose="02020603050405020304" pitchFamily="18" charset="0"/>
              </a:rPr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8.2552107457156076E-2"/>
          <c:y val="0.14130128470783257"/>
          <c:w val="0.89722730430754982"/>
          <c:h val="0.77005318414145596"/>
        </c:manualLayout>
      </c:layout>
      <c:lineChart>
        <c:grouping val="standard"/>
        <c:varyColors val="0"/>
        <c:ser>
          <c:idx val="0"/>
          <c:order val="0"/>
          <c:tx>
            <c:strRef>
              <c:f>Speedup!$E$6:$E$7</c:f>
              <c:strCache>
                <c:ptCount val="2"/>
                <c:pt idx="0">
                  <c:v>Speedup</c:v>
                </c:pt>
                <c:pt idx="1">
                  <c:v>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2381852551984897E-2"/>
                  <c:y val="0.160818713450292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BF-EA4C-8AA7-E0554D7A37A3}"/>
                </c:ext>
              </c:extLst>
            </c:dLbl>
            <c:dLbl>
              <c:idx val="1"/>
              <c:layout>
                <c:manualLayout>
                  <c:x val="-5.6710775047258979E-2"/>
                  <c:y val="9.35672514619882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BF-EA4C-8AA7-E0554D7A37A3}"/>
                </c:ext>
              </c:extLst>
            </c:dLbl>
            <c:dLbl>
              <c:idx val="2"/>
              <c:layout>
                <c:manualLayout>
                  <c:x val="-5.6710775047259118E-2"/>
                  <c:y val="9.35672514619882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BF-EA4C-8AA7-E0554D7A37A3}"/>
                </c:ext>
              </c:extLst>
            </c:dLbl>
            <c:dLbl>
              <c:idx val="3"/>
              <c:layout>
                <c:manualLayout>
                  <c:x val="-6.0491493383743052E-2"/>
                  <c:y val="7.8947368421052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BF-EA4C-8AA7-E0554D7A37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Speedup!$B$8:$B$11</c:f>
              <c:strCache>
                <c:ptCount val="4"/>
                <c:pt idx="0">
                  <c:v>O1</c:v>
                </c:pt>
                <c:pt idx="1">
                  <c:v>O2</c:v>
                </c:pt>
                <c:pt idx="2">
                  <c:v>O3</c:v>
                </c:pt>
                <c:pt idx="3">
                  <c:v>OFAST</c:v>
                </c:pt>
              </c:strCache>
            </c:strRef>
          </c:cat>
          <c:val>
            <c:numRef>
              <c:f>Speedup!$E$8:$E$11</c:f>
              <c:numCache>
                <c:formatCode>General</c:formatCode>
                <c:ptCount val="4"/>
                <c:pt idx="0">
                  <c:v>4.0292500000000002</c:v>
                </c:pt>
                <c:pt idx="1">
                  <c:v>1.4321600000000001</c:v>
                </c:pt>
                <c:pt idx="2">
                  <c:v>1.2655099999999999</c:v>
                </c:pt>
                <c:pt idx="3">
                  <c:v>1.00092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F-EA4C-8AA7-E0554D7A37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Speedup!$B$8:$B$11</c:f>
              <c:strCache>
                <c:ptCount val="4"/>
                <c:pt idx="0">
                  <c:v>O1</c:v>
                </c:pt>
                <c:pt idx="1">
                  <c:v>O2</c:v>
                </c:pt>
                <c:pt idx="2">
                  <c:v>O3</c:v>
                </c:pt>
                <c:pt idx="3">
                  <c:v>OFAST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6BF-EA4C-8AA7-E0554D7A3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63823"/>
        <c:axId val="187065471"/>
      </c:lineChart>
      <c:catAx>
        <c:axId val="18706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ES"/>
          </a:p>
        </c:txPr>
        <c:crossAx val="187065471"/>
        <c:crossesAt val="0"/>
        <c:auto val="0"/>
        <c:lblAlgn val="ctr"/>
        <c:lblOffset val="100"/>
        <c:noMultiLvlLbl val="0"/>
      </c:catAx>
      <c:valAx>
        <c:axId val="187065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ES"/>
          </a:p>
        </c:txPr>
        <c:crossAx val="18706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829732</xdr:colOff>
      <xdr:row>7</xdr:row>
      <xdr:rowOff>101600</xdr:rowOff>
    </xdr:from>
    <xdr:to>
      <xdr:col>17</xdr:col>
      <xdr:colOff>812799</xdr:colOff>
      <xdr:row>25</xdr:row>
      <xdr:rowOff>186265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38AC47-793A-4B4F-B91C-EFA4260ED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23092</xdr:colOff>
      <xdr:row>9</xdr:row>
      <xdr:rowOff>11545</xdr:rowOff>
    </xdr:from>
    <xdr:to>
      <xdr:col>38</xdr:col>
      <xdr:colOff>311624</xdr:colOff>
      <xdr:row>21</xdr:row>
      <xdr:rowOff>144016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9029D5-A32F-B54C-AB4C-092755725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13729</xdr:colOff>
      <xdr:row>28</xdr:row>
      <xdr:rowOff>152400</xdr:rowOff>
    </xdr:from>
    <xdr:to>
      <xdr:col>17</xdr:col>
      <xdr:colOff>795867</xdr:colOff>
      <xdr:row>46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12472B-F234-354D-98F4-F2C859E13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8237</xdr:colOff>
      <xdr:row>48</xdr:row>
      <xdr:rowOff>67732</xdr:rowOff>
    </xdr:from>
    <xdr:to>
      <xdr:col>17</xdr:col>
      <xdr:colOff>762000</xdr:colOff>
      <xdr:row>65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E7A706-CFAD-FC4B-A031-E98017879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11545</xdr:colOff>
      <xdr:row>30</xdr:row>
      <xdr:rowOff>69273</xdr:rowOff>
    </xdr:from>
    <xdr:to>
      <xdr:col>41</xdr:col>
      <xdr:colOff>80816</xdr:colOff>
      <xdr:row>43</xdr:row>
      <xdr:rowOff>80819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D85F86-ABB9-8247-B7EB-59D2A7D6C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386772</xdr:colOff>
      <xdr:row>9</xdr:row>
      <xdr:rowOff>23090</xdr:rowOff>
    </xdr:from>
    <xdr:to>
      <xdr:col>32</xdr:col>
      <xdr:colOff>438728</xdr:colOff>
      <xdr:row>21</xdr:row>
      <xdr:rowOff>150089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176861-FCA0-1042-A452-17763A76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305954</xdr:colOff>
      <xdr:row>30</xdr:row>
      <xdr:rowOff>42719</xdr:rowOff>
    </xdr:from>
    <xdr:to>
      <xdr:col>35</xdr:col>
      <xdr:colOff>721590</xdr:colOff>
      <xdr:row>43</xdr:row>
      <xdr:rowOff>84282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DA0E47-2323-5440-82EF-0B36B99CA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311728</xdr:colOff>
      <xdr:row>45</xdr:row>
      <xdr:rowOff>23091</xdr:rowOff>
    </xdr:from>
    <xdr:to>
      <xdr:col>35</xdr:col>
      <xdr:colOff>380998</xdr:colOff>
      <xdr:row>58</xdr:row>
      <xdr:rowOff>34637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125D0E-9D99-F246-B619-E05387C50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829732</xdr:colOff>
      <xdr:row>7</xdr:row>
      <xdr:rowOff>101600</xdr:rowOff>
    </xdr:from>
    <xdr:to>
      <xdr:col>16</xdr:col>
      <xdr:colOff>812799</xdr:colOff>
      <xdr:row>25</xdr:row>
      <xdr:rowOff>186265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4E1F1-CE81-D14F-BCF4-1FBA86294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13729</xdr:colOff>
      <xdr:row>28</xdr:row>
      <xdr:rowOff>152400</xdr:rowOff>
    </xdr:from>
    <xdr:to>
      <xdr:col>16</xdr:col>
      <xdr:colOff>795867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92BC6D-71C2-4B42-8FF1-A00707BBD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8237</xdr:colOff>
      <xdr:row>48</xdr:row>
      <xdr:rowOff>67732</xdr:rowOff>
    </xdr:from>
    <xdr:to>
      <xdr:col>16</xdr:col>
      <xdr:colOff>762000</xdr:colOff>
      <xdr:row>65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8268FE-CD98-E044-8244-4AB5E2749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23091</xdr:colOff>
      <xdr:row>29</xdr:row>
      <xdr:rowOff>34636</xdr:rowOff>
    </xdr:from>
    <xdr:to>
      <xdr:col>35</xdr:col>
      <xdr:colOff>542637</xdr:colOff>
      <xdr:row>44</xdr:row>
      <xdr:rowOff>11546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67EB01-2E2A-7249-B557-6FF9C689E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5773</xdr:colOff>
      <xdr:row>13</xdr:row>
      <xdr:rowOff>23090</xdr:rowOff>
    </xdr:from>
    <xdr:to>
      <xdr:col>35</xdr:col>
      <xdr:colOff>669637</xdr:colOff>
      <xdr:row>28</xdr:row>
      <xdr:rowOff>23089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C814BB-0FE0-0C47-904F-A8DC660F3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11545</xdr:colOff>
      <xdr:row>46</xdr:row>
      <xdr:rowOff>11545</xdr:rowOff>
    </xdr:from>
    <xdr:to>
      <xdr:col>35</xdr:col>
      <xdr:colOff>531091</xdr:colOff>
      <xdr:row>60</xdr:row>
      <xdr:rowOff>196273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CE42B5-024B-8641-A40E-9E522B626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8</xdr:row>
      <xdr:rowOff>165100</xdr:rowOff>
    </xdr:from>
    <xdr:to>
      <xdr:col>16</xdr:col>
      <xdr:colOff>444500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CC7EF-9E0A-B542-A421-69259490D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7C53-14F0-3B4C-A59F-3812A3F1CA89}">
  <dimension ref="B4:AC56"/>
  <sheetViews>
    <sheetView tabSelected="1" topLeftCell="X18" zoomScale="110" zoomScaleNormal="110" workbookViewId="0">
      <selection activeCell="AJ50" sqref="AJ50"/>
    </sheetView>
  </sheetViews>
  <sheetFormatPr baseColWidth="10" defaultRowHeight="16" x14ac:dyDescent="0.2"/>
  <cols>
    <col min="2" max="2" width="22" bestFit="1" customWidth="1"/>
    <col min="3" max="3" width="13" customWidth="1"/>
    <col min="8" max="8" width="13" bestFit="1" customWidth="1"/>
    <col min="9" max="9" width="10.83203125" customWidth="1"/>
    <col min="12" max="12" width="11.6640625" bestFit="1" customWidth="1"/>
    <col min="21" max="21" width="17" customWidth="1"/>
    <col min="24" max="24" width="10.5" bestFit="1" customWidth="1"/>
    <col min="25" max="25" width="15.33203125" bestFit="1" customWidth="1"/>
    <col min="26" max="26" width="13" bestFit="1" customWidth="1"/>
    <col min="27" max="27" width="18.83203125" bestFit="1" customWidth="1"/>
    <col min="28" max="28" width="31.33203125" bestFit="1" customWidth="1"/>
  </cols>
  <sheetData>
    <row r="4" spans="2:27" x14ac:dyDescent="0.2">
      <c r="B4" t="s">
        <v>1</v>
      </c>
      <c r="C4" t="s">
        <v>11</v>
      </c>
    </row>
    <row r="5" spans="2:27" x14ac:dyDescent="0.2">
      <c r="B5" t="s">
        <v>12</v>
      </c>
      <c r="C5">
        <v>100000</v>
      </c>
    </row>
    <row r="6" spans="2:27" x14ac:dyDescent="0.2">
      <c r="B6" t="s">
        <v>12</v>
      </c>
      <c r="C6">
        <v>100000</v>
      </c>
    </row>
    <row r="9" spans="2:27" x14ac:dyDescent="0.2">
      <c r="B9" s="1" t="s">
        <v>13</v>
      </c>
      <c r="U9" s="1" t="s">
        <v>68</v>
      </c>
    </row>
    <row r="10" spans="2:27" x14ac:dyDescent="0.2">
      <c r="B10" s="12" t="s">
        <v>0</v>
      </c>
      <c r="C10" s="12" t="s">
        <v>7</v>
      </c>
      <c r="D10" s="12" t="s">
        <v>8</v>
      </c>
      <c r="E10" s="12" t="s">
        <v>9</v>
      </c>
      <c r="M10" s="6"/>
      <c r="U10" s="12" t="s">
        <v>14</v>
      </c>
      <c r="V10" s="12" t="s">
        <v>75</v>
      </c>
      <c r="W10" s="12" t="s">
        <v>76</v>
      </c>
      <c r="X10" s="12" t="s">
        <v>77</v>
      </c>
      <c r="Y10" s="12" t="s">
        <v>72</v>
      </c>
      <c r="Z10" s="12" t="s">
        <v>73</v>
      </c>
      <c r="AA10" s="12" t="s">
        <v>78</v>
      </c>
    </row>
    <row r="11" spans="2:27" x14ac:dyDescent="0.2">
      <c r="B11" s="7" t="s">
        <v>2</v>
      </c>
      <c r="C11" s="8">
        <v>50.413952999999999</v>
      </c>
      <c r="D11" s="8">
        <v>50.385098999999997</v>
      </c>
      <c r="E11" s="8" t="s">
        <v>10</v>
      </c>
      <c r="M11" s="3"/>
      <c r="U11" s="4" t="s">
        <v>15</v>
      </c>
      <c r="V11" s="22">
        <v>0.4929</v>
      </c>
      <c r="W11" s="22">
        <v>0.47360000000000002</v>
      </c>
      <c r="X11" s="22">
        <v>7.9000000000000008E-3</v>
      </c>
      <c r="Y11" s="18" t="s">
        <v>10</v>
      </c>
      <c r="Z11" s="18" t="s">
        <v>10</v>
      </c>
      <c r="AA11" s="5"/>
    </row>
    <row r="12" spans="2:27" x14ac:dyDescent="0.2">
      <c r="B12" s="7" t="s">
        <v>3</v>
      </c>
      <c r="C12" s="8">
        <v>16.130939000000001</v>
      </c>
      <c r="D12" s="8">
        <v>16.116174999999998</v>
      </c>
      <c r="E12" s="8">
        <f>C11/C12</f>
        <v>3.1252956198024178</v>
      </c>
      <c r="M12" s="3"/>
      <c r="U12" s="7" t="s">
        <v>16</v>
      </c>
      <c r="V12" s="19">
        <v>2</v>
      </c>
      <c r="W12" s="19">
        <v>2</v>
      </c>
      <c r="X12" s="19">
        <v>5</v>
      </c>
      <c r="Y12" s="20">
        <f>SUM(V12:X12)/SUM(V22:X22)</f>
        <v>0.15517241379310345</v>
      </c>
      <c r="Z12" s="19"/>
      <c r="AA12" s="5"/>
    </row>
    <row r="13" spans="2:27" x14ac:dyDescent="0.2">
      <c r="B13" s="7" t="s">
        <v>4</v>
      </c>
      <c r="C13" s="8">
        <v>14.950329999999999</v>
      </c>
      <c r="D13" s="8">
        <v>14.948642</v>
      </c>
      <c r="E13" s="8">
        <f t="shared" ref="E13:E15" si="0">C12/C13</f>
        <v>1.0789687585491425</v>
      </c>
      <c r="M13" s="3"/>
      <c r="U13" s="7" t="s">
        <v>19</v>
      </c>
      <c r="V13" s="19">
        <v>0</v>
      </c>
      <c r="W13" s="19">
        <v>1</v>
      </c>
      <c r="X13" s="19">
        <v>3</v>
      </c>
      <c r="Y13" s="20">
        <f>SUM(V13:X13)/SUM(V22:X22)</f>
        <v>6.8965517241379309E-2</v>
      </c>
      <c r="Z13" s="19"/>
      <c r="AA13" s="5"/>
    </row>
    <row r="14" spans="2:27" x14ac:dyDescent="0.2">
      <c r="B14" s="7" t="s">
        <v>5</v>
      </c>
      <c r="C14" s="8">
        <v>15.135937999999999</v>
      </c>
      <c r="D14" s="8">
        <v>15.134026</v>
      </c>
      <c r="E14" s="8">
        <f t="shared" si="0"/>
        <v>0.98773726478002222</v>
      </c>
      <c r="U14" s="7" t="s">
        <v>18</v>
      </c>
      <c r="V14" s="19">
        <v>0</v>
      </c>
      <c r="W14" s="19">
        <v>2</v>
      </c>
      <c r="X14" s="19">
        <v>0</v>
      </c>
      <c r="Y14" s="20">
        <f>SUM(V14:X14)/SUM(V22:X22)</f>
        <v>3.4482758620689655E-2</v>
      </c>
      <c r="Z14" s="19"/>
      <c r="AA14" s="5"/>
    </row>
    <row r="15" spans="2:27" x14ac:dyDescent="0.2">
      <c r="B15" s="7" t="s">
        <v>6</v>
      </c>
      <c r="C15" s="8">
        <v>16.005939000000001</v>
      </c>
      <c r="D15" s="8">
        <v>15.988974000000001</v>
      </c>
      <c r="E15" s="8">
        <f t="shared" si="0"/>
        <v>0.94564511335448664</v>
      </c>
      <c r="U15" s="7" t="s">
        <v>17</v>
      </c>
      <c r="V15" s="19">
        <v>11</v>
      </c>
      <c r="W15" s="19">
        <v>11</v>
      </c>
      <c r="X15" s="19">
        <v>16</v>
      </c>
      <c r="Y15" s="20">
        <f>SUM(V15:X15)/SUM(V22:X22)</f>
        <v>0.65517241379310343</v>
      </c>
      <c r="Z15" s="19"/>
      <c r="AA15" s="5"/>
    </row>
    <row r="16" spans="2:27" x14ac:dyDescent="0.2">
      <c r="B16" s="2"/>
      <c r="C16" s="3"/>
      <c r="D16" s="3"/>
      <c r="E16" s="3"/>
      <c r="U16" s="7" t="s">
        <v>25</v>
      </c>
      <c r="V16" s="19">
        <v>1</v>
      </c>
      <c r="W16" s="19">
        <v>1</v>
      </c>
      <c r="X16" s="19">
        <v>3</v>
      </c>
      <c r="Y16" s="20">
        <f>SUM(V16:X16)/SUM(V22:X22)</f>
        <v>8.6206896551724144E-2</v>
      </c>
      <c r="Z16" s="19"/>
      <c r="AA16" s="5"/>
    </row>
    <row r="17" spans="2:28" x14ac:dyDescent="0.2">
      <c r="U17" s="10" t="s">
        <v>62</v>
      </c>
      <c r="V17" s="23">
        <f>5.05/100</f>
        <v>5.0499999999999996E-2</v>
      </c>
      <c r="W17" s="23">
        <v>0.57099999999999995</v>
      </c>
      <c r="X17" s="23">
        <f>(6.63+5.46+7.6+4.68+6.24)/100</f>
        <v>0.30609999999999998</v>
      </c>
      <c r="Y17" s="23">
        <f>SUM(V17:X17)/SUM(V23:X23)</f>
        <v>0.31349487985399982</v>
      </c>
      <c r="Z17" s="24">
        <f>(V17*V11+W17*W11+X11*X17)/3</f>
        <v>9.9245079999999986E-2</v>
      </c>
      <c r="AA17" s="26">
        <f>Z17*(1/Z23)</f>
        <v>0.27209207229700816</v>
      </c>
    </row>
    <row r="18" spans="2:28" x14ac:dyDescent="0.2">
      <c r="B18" s="1" t="s">
        <v>33</v>
      </c>
      <c r="U18" s="10" t="s">
        <v>63</v>
      </c>
      <c r="V18" s="23">
        <v>0</v>
      </c>
      <c r="W18" s="23">
        <v>0.26069999999999999</v>
      </c>
      <c r="X18" s="23">
        <f>0+0+0</f>
        <v>0</v>
      </c>
      <c r="Y18" s="23">
        <f>SUM(V18:X18)/SUM(V23:X23)</f>
        <v>8.8107066815370574E-2</v>
      </c>
      <c r="Z18" s="24">
        <f>(V18*V11+W18*W11+X18*X11)/3</f>
        <v>4.1155839999999999E-2</v>
      </c>
      <c r="AA18" s="26">
        <f>Z18*(1/Z23)</f>
        <v>0.11283358119842417</v>
      </c>
    </row>
    <row r="19" spans="2:28" x14ac:dyDescent="0.2">
      <c r="B19" s="13" t="s">
        <v>22</v>
      </c>
      <c r="C19" s="13" t="s">
        <v>23</v>
      </c>
      <c r="D19" s="13" t="s">
        <v>32</v>
      </c>
      <c r="U19" s="10" t="s">
        <v>64</v>
      </c>
      <c r="V19" s="23">
        <v>0</v>
      </c>
      <c r="W19" s="23">
        <v>0.10589999999999999</v>
      </c>
      <c r="X19" s="23">
        <v>0</v>
      </c>
      <c r="Y19" s="23">
        <f>SUM(V19:X19)/SUM(V23:X23)</f>
        <v>3.5790327486565951E-2</v>
      </c>
      <c r="Z19" s="24">
        <f>(V19*V11+W19*W11+X11*X19)/3</f>
        <v>1.671808E-2</v>
      </c>
      <c r="AA19" s="26">
        <f>Z19*(1/Z23)</f>
        <v>4.5834584767599232E-2</v>
      </c>
    </row>
    <row r="20" spans="2:28" x14ac:dyDescent="0.2">
      <c r="B20" s="7" t="s">
        <v>27</v>
      </c>
      <c r="C20" s="8">
        <v>87</v>
      </c>
      <c r="D20" s="9">
        <f>C20/C25</f>
        <v>0.4702702702702703</v>
      </c>
      <c r="U20" s="10" t="s">
        <v>65</v>
      </c>
      <c r="V20" s="23">
        <v>0.68489999999999995</v>
      </c>
      <c r="W20" s="23">
        <v>0.35639999999999999</v>
      </c>
      <c r="X20" s="23">
        <f>(5.65+0.39+2.14+5.65+0.39+0.58+1.56+6.24+0.39+0.58+3.12+7.02)/100</f>
        <v>0.33710000000000001</v>
      </c>
      <c r="Y20" s="23">
        <f>SUM(V20:X20)/SUM(V23:X23)</f>
        <v>0.46584879516036359</v>
      </c>
      <c r="Z20" s="24">
        <f>(V20*V11+W20*W11+X20*X11)/3</f>
        <v>0.16968044666666668</v>
      </c>
      <c r="AA20" s="26">
        <f>Z20*1/Z23</f>
        <v>0.46519892333015722</v>
      </c>
    </row>
    <row r="21" spans="2:28" x14ac:dyDescent="0.2">
      <c r="B21" s="7" t="s">
        <v>28</v>
      </c>
      <c r="C21" s="8">
        <f>35+27</f>
        <v>62</v>
      </c>
      <c r="D21" s="9">
        <f>C21/C25</f>
        <v>0.33513513513513515</v>
      </c>
      <c r="U21" s="10" t="s">
        <v>66</v>
      </c>
      <c r="V21" s="23">
        <v>0.14249999999999999</v>
      </c>
      <c r="W21" s="23">
        <v>9.1200000000000003E-2</v>
      </c>
      <c r="X21" s="23">
        <f>(1.56+1.75+1.95)/100</f>
        <v>5.2600000000000001E-2</v>
      </c>
      <c r="Y21" s="23">
        <f>SUM(V21:X21)/SUM(V23:X23)</f>
        <v>9.6758930683700034E-2</v>
      </c>
      <c r="Z21" s="24">
        <f>(V21*V11+W21*W11+X21*X11)/3</f>
        <v>3.7948703333333333E-2</v>
      </c>
      <c r="AA21" s="26">
        <f>Z21*1/Z23</f>
        <v>0.10404083840681121</v>
      </c>
    </row>
    <row r="22" spans="2:28" x14ac:dyDescent="0.2">
      <c r="B22" s="7" t="s">
        <v>31</v>
      </c>
      <c r="C22" s="8">
        <f>5+3</f>
        <v>8</v>
      </c>
      <c r="D22" s="9">
        <f>C22/C25</f>
        <v>4.3243243243243246E-2</v>
      </c>
      <c r="U22" s="7" t="s">
        <v>26</v>
      </c>
      <c r="V22" s="19">
        <f>SUM(V12:V16)</f>
        <v>14</v>
      </c>
      <c r="W22" s="19">
        <f t="shared" ref="W22:X22" si="1">SUM(W12:W16)</f>
        <v>17</v>
      </c>
      <c r="X22" s="19">
        <f t="shared" si="1"/>
        <v>27</v>
      </c>
      <c r="Y22" s="19"/>
      <c r="Z22" s="19"/>
      <c r="AA22" s="5"/>
    </row>
    <row r="23" spans="2:28" x14ac:dyDescent="0.2">
      <c r="B23" s="7" t="s">
        <v>29</v>
      </c>
      <c r="C23" s="8">
        <f>12+9</f>
        <v>21</v>
      </c>
      <c r="D23" s="9">
        <f>C23/C25</f>
        <v>0.11351351351351352</v>
      </c>
      <c r="U23" s="10" t="s">
        <v>67</v>
      </c>
      <c r="V23" s="21">
        <f>SUM(V17:V21)</f>
        <v>0.8778999999999999</v>
      </c>
      <c r="W23" s="21">
        <f>SUM(W17:W21)</f>
        <v>1.3851999999999998</v>
      </c>
      <c r="X23" s="21">
        <f>SUM(X17:X21)</f>
        <v>0.69579999999999997</v>
      </c>
      <c r="Y23" s="21"/>
      <c r="Z23" s="24">
        <f>SUM(Z17:Z21)</f>
        <v>0.36474814999999999</v>
      </c>
      <c r="AA23" s="27"/>
    </row>
    <row r="24" spans="2:28" x14ac:dyDescent="0.2">
      <c r="B24" s="7" t="s">
        <v>30</v>
      </c>
      <c r="C24" s="8">
        <v>7</v>
      </c>
      <c r="D24" s="9">
        <f>C24/C25</f>
        <v>3.783783783783784E-2</v>
      </c>
    </row>
    <row r="25" spans="2:28" x14ac:dyDescent="0.2">
      <c r="B25" s="7" t="s">
        <v>26</v>
      </c>
      <c r="C25" s="8">
        <f>SUM(C20:C24)</f>
        <v>185</v>
      </c>
      <c r="D25" s="8"/>
    </row>
    <row r="28" spans="2:28" x14ac:dyDescent="0.2">
      <c r="B28" s="1" t="s">
        <v>34</v>
      </c>
    </row>
    <row r="29" spans="2:28" x14ac:dyDescent="0.2">
      <c r="B29" s="13" t="s">
        <v>35</v>
      </c>
      <c r="C29" s="13" t="s">
        <v>27</v>
      </c>
      <c r="D29" s="13" t="s">
        <v>28</v>
      </c>
      <c r="E29" s="13" t="s">
        <v>57</v>
      </c>
      <c r="F29" s="13" t="s">
        <v>36</v>
      </c>
      <c r="G29" s="13" t="s">
        <v>37</v>
      </c>
      <c r="H29" s="14" t="s">
        <v>56</v>
      </c>
      <c r="I29" s="13" t="s">
        <v>38</v>
      </c>
      <c r="J29" s="13" t="s">
        <v>26</v>
      </c>
    </row>
    <row r="30" spans="2:28" x14ac:dyDescent="0.2">
      <c r="B30" s="13" t="s">
        <v>20</v>
      </c>
      <c r="C30" s="8">
        <v>2</v>
      </c>
      <c r="D30" s="8">
        <v>1</v>
      </c>
      <c r="E30" s="8">
        <v>1</v>
      </c>
      <c r="F30" s="8">
        <v>1</v>
      </c>
      <c r="G30" s="8">
        <v>1</v>
      </c>
      <c r="H30" s="8">
        <v>5</v>
      </c>
      <c r="I30" s="8">
        <f>1*I32</f>
        <v>624</v>
      </c>
      <c r="J30" s="5"/>
      <c r="U30" s="1" t="s">
        <v>69</v>
      </c>
    </row>
    <row r="31" spans="2:28" x14ac:dyDescent="0.2">
      <c r="B31" s="13" t="s">
        <v>21</v>
      </c>
      <c r="C31" s="8">
        <v>2</v>
      </c>
      <c r="D31" s="8">
        <v>1</v>
      </c>
      <c r="E31" s="8">
        <v>1</v>
      </c>
      <c r="F31" s="8">
        <v>1</v>
      </c>
      <c r="G31" s="8">
        <v>1</v>
      </c>
      <c r="H31" s="8">
        <v>6</v>
      </c>
      <c r="I31" s="8">
        <f>1*I32</f>
        <v>624</v>
      </c>
      <c r="J31" s="5"/>
      <c r="U31" s="12" t="s">
        <v>14</v>
      </c>
      <c r="V31" s="12" t="s">
        <v>75</v>
      </c>
      <c r="W31" s="12" t="s">
        <v>76</v>
      </c>
      <c r="X31" s="12" t="s">
        <v>77</v>
      </c>
      <c r="Y31" s="12" t="s">
        <v>72</v>
      </c>
      <c r="Z31" s="12" t="s">
        <v>74</v>
      </c>
      <c r="AA31" s="12" t="s">
        <v>78</v>
      </c>
      <c r="AB31" s="12" t="s">
        <v>93</v>
      </c>
    </row>
    <row r="32" spans="2:28" x14ac:dyDescent="0.2">
      <c r="B32" s="13" t="s">
        <v>43</v>
      </c>
      <c r="C32" s="8">
        <v>0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  <c r="I32" s="8">
        <f>1*I33+1*I34</f>
        <v>624</v>
      </c>
      <c r="J32" s="5"/>
      <c r="U32" s="4" t="s">
        <v>15</v>
      </c>
      <c r="V32" s="22">
        <v>0.48749999999999999</v>
      </c>
      <c r="W32" s="22">
        <v>0.48920000000000002</v>
      </c>
      <c r="X32" s="22">
        <v>6.7000000000000002E-3</v>
      </c>
      <c r="Y32" s="18" t="s">
        <v>10</v>
      </c>
      <c r="Z32" s="18" t="s">
        <v>10</v>
      </c>
      <c r="AA32" s="5"/>
      <c r="AB32" s="5"/>
    </row>
    <row r="33" spans="2:29" x14ac:dyDescent="0.2">
      <c r="B33" s="13" t="s">
        <v>24</v>
      </c>
      <c r="C33" s="8">
        <v>4</v>
      </c>
      <c r="D33" s="8">
        <v>0</v>
      </c>
      <c r="E33" s="8">
        <v>0</v>
      </c>
      <c r="F33" s="8">
        <v>8</v>
      </c>
      <c r="G33" s="8">
        <v>0</v>
      </c>
      <c r="H33" s="8">
        <v>10</v>
      </c>
      <c r="I33" s="8">
        <f>16*I36+8*I44+8*I45</f>
        <v>400</v>
      </c>
      <c r="J33" s="5"/>
      <c r="U33" s="7" t="s">
        <v>71</v>
      </c>
      <c r="V33" s="19">
        <v>2</v>
      </c>
      <c r="W33" s="19">
        <v>2</v>
      </c>
      <c r="X33" s="19">
        <v>5</v>
      </c>
      <c r="Y33" s="20">
        <f>SUM(V33:X33)/SUM(V43:X43)</f>
        <v>0.12</v>
      </c>
      <c r="Z33" s="19"/>
      <c r="AA33" s="5"/>
      <c r="AB33" s="5"/>
    </row>
    <row r="34" spans="2:29" x14ac:dyDescent="0.2">
      <c r="B34" s="13" t="s">
        <v>44</v>
      </c>
      <c r="C34" s="8">
        <v>3</v>
      </c>
      <c r="D34" s="8">
        <v>0</v>
      </c>
      <c r="E34" s="8">
        <v>0</v>
      </c>
      <c r="F34" s="8">
        <v>6</v>
      </c>
      <c r="G34" s="8">
        <v>0</v>
      </c>
      <c r="H34" s="8">
        <v>7</v>
      </c>
      <c r="I34" s="8">
        <f>16*I37</f>
        <v>224</v>
      </c>
      <c r="J34" s="5"/>
      <c r="U34" s="7" t="s">
        <v>19</v>
      </c>
      <c r="V34" s="19">
        <v>0</v>
      </c>
      <c r="W34" s="19">
        <v>1</v>
      </c>
      <c r="X34" s="19">
        <v>4</v>
      </c>
      <c r="Y34" s="20">
        <f>SUM(V34:X34)/SUM(V43:X43)</f>
        <v>6.6666666666666666E-2</v>
      </c>
      <c r="Z34" s="19"/>
      <c r="AA34" s="5"/>
      <c r="AB34" s="5"/>
    </row>
    <row r="35" spans="2:29" x14ac:dyDescent="0.2">
      <c r="B35" s="13" t="s">
        <v>45</v>
      </c>
      <c r="C35" s="8">
        <v>1</v>
      </c>
      <c r="D35" s="8">
        <v>0</v>
      </c>
      <c r="E35" s="8">
        <v>1</v>
      </c>
      <c r="F35" s="8">
        <v>2</v>
      </c>
      <c r="G35" s="8">
        <v>1</v>
      </c>
      <c r="H35" s="8">
        <v>0</v>
      </c>
      <c r="I35" s="8">
        <f>4*4*I42+9*4*I43</f>
        <v>712</v>
      </c>
      <c r="J35" s="5"/>
      <c r="U35" s="7" t="s">
        <v>70</v>
      </c>
      <c r="V35" s="19">
        <v>2</v>
      </c>
      <c r="W35" s="19">
        <v>2</v>
      </c>
      <c r="X35" s="19">
        <v>0</v>
      </c>
      <c r="Y35" s="20">
        <f>SUM(V35:X35)/SUM(V43:X43)</f>
        <v>5.3333333333333337E-2</v>
      </c>
      <c r="Z35" s="19"/>
      <c r="AA35" s="5"/>
      <c r="AB35" s="5"/>
    </row>
    <row r="36" spans="2:29" x14ac:dyDescent="0.2">
      <c r="B36" s="13" t="s">
        <v>46</v>
      </c>
      <c r="C36" s="8">
        <v>0</v>
      </c>
      <c r="D36" s="8">
        <v>1</v>
      </c>
      <c r="E36" s="8">
        <v>16</v>
      </c>
      <c r="F36" s="8">
        <v>0</v>
      </c>
      <c r="G36" s="8">
        <v>0</v>
      </c>
      <c r="H36" s="8">
        <f>1+16</f>
        <v>17</v>
      </c>
      <c r="I36" s="8">
        <f>14*I48</f>
        <v>14</v>
      </c>
      <c r="J36" s="5"/>
      <c r="U36" s="7" t="s">
        <v>17</v>
      </c>
      <c r="V36" s="19">
        <v>11</v>
      </c>
      <c r="W36" s="19">
        <v>11</v>
      </c>
      <c r="X36" s="19">
        <v>29</v>
      </c>
      <c r="Y36" s="20">
        <f>SUM(V36:X36)/SUM(V43:X43)</f>
        <v>0.68</v>
      </c>
      <c r="Z36" s="19"/>
      <c r="AA36" s="5"/>
      <c r="AB36" s="5"/>
    </row>
    <row r="37" spans="2:29" x14ac:dyDescent="0.2">
      <c r="B37" s="13" t="s">
        <v>47</v>
      </c>
      <c r="C37" s="8">
        <v>0</v>
      </c>
      <c r="D37" s="8">
        <v>1</v>
      </c>
      <c r="E37" s="8">
        <v>16</v>
      </c>
      <c r="F37" s="8">
        <v>0</v>
      </c>
      <c r="G37" s="8">
        <v>0</v>
      </c>
      <c r="H37" s="8">
        <f>1+16</f>
        <v>17</v>
      </c>
      <c r="I37" s="8">
        <f>14*I49</f>
        <v>14</v>
      </c>
      <c r="J37" s="5"/>
      <c r="U37" s="7" t="s">
        <v>25</v>
      </c>
      <c r="V37" s="19">
        <v>1</v>
      </c>
      <c r="W37" s="19">
        <v>1</v>
      </c>
      <c r="X37" s="19">
        <v>4</v>
      </c>
      <c r="Y37" s="20">
        <f>SUM(V37:X37)/SUM(V43:X43)</f>
        <v>0.08</v>
      </c>
      <c r="Z37" s="19"/>
      <c r="AA37" s="5"/>
      <c r="AB37" s="5"/>
    </row>
    <row r="38" spans="2:29" x14ac:dyDescent="0.2">
      <c r="B38" s="13" t="s">
        <v>48</v>
      </c>
      <c r="C38" s="8">
        <v>16</v>
      </c>
      <c r="D38" s="8">
        <v>16</v>
      </c>
      <c r="E38" s="8">
        <v>16</v>
      </c>
      <c r="F38" s="8">
        <v>0</v>
      </c>
      <c r="G38" s="8">
        <v>0</v>
      </c>
      <c r="H38" s="8">
        <v>17</v>
      </c>
      <c r="I38" s="8">
        <f>14*I48+15*I49</f>
        <v>29</v>
      </c>
      <c r="J38" s="5"/>
      <c r="U38" s="10" t="s">
        <v>62</v>
      </c>
      <c r="V38" s="23">
        <f>(5.77+30.52)/100</f>
        <v>0.3629</v>
      </c>
      <c r="W38" s="23">
        <f>(5.62+28.37)/100</f>
        <v>0.33990000000000004</v>
      </c>
      <c r="X38" s="23">
        <f>(6.02+5.92+6.36+5.57+2.03)/100</f>
        <v>0.25900000000000001</v>
      </c>
      <c r="Y38" s="23">
        <f>SUM(V38:X38)/SUM(V44:X44)</f>
        <v>0.34874360926792125</v>
      </c>
      <c r="Z38" s="23">
        <f>(V38*V32+W38*W32+X38*X32)/3</f>
        <v>0.11497604333333333</v>
      </c>
      <c r="AA38" s="26">
        <f>Z38*(1/Z44)</f>
        <v>0.39879804049237799</v>
      </c>
      <c r="AB38" s="27">
        <f>AA38/AB44</f>
        <v>0.59261197691912193</v>
      </c>
    </row>
    <row r="39" spans="2:29" x14ac:dyDescent="0.2">
      <c r="B39" s="13" t="s">
        <v>49</v>
      </c>
      <c r="C39" s="8">
        <v>16</v>
      </c>
      <c r="D39" s="8">
        <v>48</v>
      </c>
      <c r="E39" s="8">
        <v>16</v>
      </c>
      <c r="F39" s="8">
        <v>0</v>
      </c>
      <c r="G39" s="8">
        <v>0</v>
      </c>
      <c r="H39" s="8">
        <v>48</v>
      </c>
      <c r="I39" s="8">
        <f>1*I48+1*I49</f>
        <v>2</v>
      </c>
      <c r="J39" s="5"/>
      <c r="U39" s="10" t="s">
        <v>63</v>
      </c>
      <c r="V39" s="23">
        <v>0</v>
      </c>
      <c r="W39" s="23">
        <f>0.0009</f>
        <v>8.9999999999999998E-4</v>
      </c>
      <c r="X39" s="23">
        <f>0</f>
        <v>0</v>
      </c>
      <c r="Y39" s="23">
        <f>SUM(V39:X39)/SUM(V44:X44)</f>
        <v>3.2633525508539104E-4</v>
      </c>
      <c r="Z39" s="23">
        <f>(V32*V39+W32*W39+X32*X39)/3</f>
        <v>1.4676000000000001E-4</v>
      </c>
      <c r="AA39" s="26">
        <f>Z39*(1/Z44)</f>
        <v>5.0904169882573568E-4</v>
      </c>
      <c r="AB39" s="27">
        <f>AA39/AB44</f>
        <v>7.5643352485618102E-4</v>
      </c>
    </row>
    <row r="40" spans="2:29" x14ac:dyDescent="0.2">
      <c r="B40" s="13" t="s">
        <v>50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16</v>
      </c>
      <c r="I40" s="8">
        <f>14*I48</f>
        <v>14</v>
      </c>
      <c r="J40" s="5"/>
      <c r="U40" s="10" t="s">
        <v>64</v>
      </c>
      <c r="V40" s="23">
        <f>(6.25+6.19)/100</f>
        <v>0.12440000000000001</v>
      </c>
      <c r="W40" s="23">
        <f>0.0005</f>
        <v>5.0000000000000001E-4</v>
      </c>
      <c r="X40" s="23">
        <v>0</v>
      </c>
      <c r="Y40" s="23">
        <f>SUM(V40:X40)/SUM(V44:X44)</f>
        <v>4.5288081511294827E-2</v>
      </c>
      <c r="Z40" s="23">
        <f>(V40*V32+W40*W32+X40*X32)/3</f>
        <v>2.0296533333333335E-2</v>
      </c>
      <c r="AA40" s="26">
        <f>Z40*(1/Z44)</f>
        <v>7.0399167404423355E-2</v>
      </c>
      <c r="AB40" s="27">
        <f>AA40/AB44</f>
        <v>0.10461282537267856</v>
      </c>
    </row>
    <row r="41" spans="2:29" x14ac:dyDescent="0.2">
      <c r="B41" s="13" t="s">
        <v>51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16</v>
      </c>
      <c r="I41" s="8">
        <f>14*I49</f>
        <v>14</v>
      </c>
      <c r="J41" s="5"/>
      <c r="U41" s="10" t="s">
        <v>65</v>
      </c>
      <c r="V41" s="23">
        <f>(0.17+0.09+6.82+18.75+18.66+0.04+0.04+0.07+0.13)/100</f>
        <v>0.44769999999999999</v>
      </c>
      <c r="W41" s="23">
        <f>(0.03+0.02+0.03+17.52+0.26+0.29+17.43+0.13+0.44)/100</f>
        <v>0.36149999999999999</v>
      </c>
      <c r="X41" s="23">
        <f>(0.12+1.67+0.12+0.9+0.24+0.12+8.34+3.28+1.73+1.97+8.57+1.73+0.06+8.01+5.92+2.15+0.06+9.3+1.55+0.24+9.58+8.45)/100</f>
        <v>0.74110000000000009</v>
      </c>
      <c r="Y41" s="23">
        <f>SUM(V41:X41)/SUM(V44:X44)</f>
        <v>0.56213060662097969</v>
      </c>
      <c r="Z41" s="23">
        <f>(V41*V32+W41*W32+X41*X32)/3</f>
        <v>0.13335497333333332</v>
      </c>
      <c r="AA41" s="26">
        <f>Z41*(1/Z44)</f>
        <v>0.4625459401230626</v>
      </c>
      <c r="AB41" s="27">
        <f>AA42/AB44</f>
        <v>0.10067292139444779</v>
      </c>
      <c r="AC41" t="s">
        <v>94</v>
      </c>
    </row>
    <row r="42" spans="2:29" x14ac:dyDescent="0.2">
      <c r="B42" s="13" t="s">
        <v>52</v>
      </c>
      <c r="C42" s="8">
        <f>15*4</f>
        <v>60</v>
      </c>
      <c r="D42" s="8">
        <f>4+6*4</f>
        <v>28</v>
      </c>
      <c r="E42" s="8">
        <v>4</v>
      </c>
      <c r="F42" s="8">
        <v>0</v>
      </c>
      <c r="G42" s="8">
        <v>0</v>
      </c>
      <c r="H42" s="8">
        <f>1+4+9*4</f>
        <v>41</v>
      </c>
      <c r="I42" s="8">
        <f>13*I48</f>
        <v>13</v>
      </c>
      <c r="J42" s="5"/>
      <c r="U42" s="10" t="s">
        <v>66</v>
      </c>
      <c r="V42" s="23">
        <f>6.33/100</f>
        <v>6.3299999999999995E-2</v>
      </c>
      <c r="W42" s="23">
        <f>5.67/100</f>
        <v>5.67E-2</v>
      </c>
      <c r="X42" s="23">
        <v>0</v>
      </c>
      <c r="Y42" s="23">
        <f>SUM(V42:X42)/SUM(V44:X44)</f>
        <v>4.3511367344718804E-2</v>
      </c>
      <c r="Z42" s="23">
        <f>(V42*V32+W42*W32+X42*X32)/3</f>
        <v>1.9532129999999998E-2</v>
      </c>
      <c r="AA42" s="26">
        <f>Z42*(1/Z44)</f>
        <v>6.7747810281310411E-2</v>
      </c>
      <c r="AB42" s="27"/>
    </row>
    <row r="43" spans="2:29" x14ac:dyDescent="0.2">
      <c r="B43" s="13" t="s">
        <v>53</v>
      </c>
      <c r="C43" s="8">
        <f>4*21</f>
        <v>84</v>
      </c>
      <c r="D43" s="8">
        <f>4+6*4</f>
        <v>28</v>
      </c>
      <c r="E43" s="8">
        <v>4</v>
      </c>
      <c r="F43" s="8">
        <v>0</v>
      </c>
      <c r="G43" s="8">
        <v>0</v>
      </c>
      <c r="H43" s="8">
        <f>1+4+12*4</f>
        <v>53</v>
      </c>
      <c r="I43" s="8">
        <f>14*I49</f>
        <v>14</v>
      </c>
      <c r="J43" s="5"/>
      <c r="U43" s="7" t="s">
        <v>26</v>
      </c>
      <c r="V43" s="19">
        <f>SUM(V33:V37)</f>
        <v>16</v>
      </c>
      <c r="W43" s="19">
        <f t="shared" ref="W43:X43" si="2">SUM(W33:W37)</f>
        <v>17</v>
      </c>
      <c r="X43" s="19">
        <f t="shared" si="2"/>
        <v>42</v>
      </c>
      <c r="Y43" s="19"/>
      <c r="Z43" s="25"/>
      <c r="AA43" s="5"/>
      <c r="AB43" s="5"/>
    </row>
    <row r="44" spans="2:29" x14ac:dyDescent="0.2">
      <c r="B44" s="13" t="s">
        <v>54</v>
      </c>
      <c r="C44" s="8">
        <f>5+4*3+4+4*3</f>
        <v>33</v>
      </c>
      <c r="D44" s="8">
        <f>8*3+8*3</f>
        <v>48</v>
      </c>
      <c r="E44" s="8">
        <v>6</v>
      </c>
      <c r="F44" s="8">
        <v>0</v>
      </c>
      <c r="G44" s="8">
        <v>0</v>
      </c>
      <c r="H44" s="8">
        <f>9+5*3+5*3</f>
        <v>39</v>
      </c>
      <c r="I44" s="8">
        <f>8*I46+13*I48</f>
        <v>21</v>
      </c>
      <c r="J44" s="5"/>
      <c r="U44" s="10" t="s">
        <v>67</v>
      </c>
      <c r="V44" s="21">
        <f>SUM(V38:V42)</f>
        <v>0.99830000000000008</v>
      </c>
      <c r="W44" s="21">
        <f>SUM(W38:W42)</f>
        <v>0.75950000000000006</v>
      </c>
      <c r="X44" s="21">
        <f>SUM(X38:X42)</f>
        <v>1.0001000000000002</v>
      </c>
      <c r="Y44" s="21"/>
      <c r="Z44" s="24">
        <f>SUM(Z38:Z42)</f>
        <v>0.28830643999999994</v>
      </c>
      <c r="AA44" s="11"/>
      <c r="AB44" s="27" cm="1">
        <f t="array" ref="AB44">SUM(AA38:AA40+AA42)</f>
        <v>0.67294968043955827</v>
      </c>
    </row>
    <row r="45" spans="2:29" x14ac:dyDescent="0.2">
      <c r="B45" s="13" t="s">
        <v>55</v>
      </c>
      <c r="C45" s="8">
        <f>4*3+4*3+9</f>
        <v>33</v>
      </c>
      <c r="D45" s="8">
        <f>8*3+8*3</f>
        <v>48</v>
      </c>
      <c r="E45" s="8">
        <f>3+3</f>
        <v>6</v>
      </c>
      <c r="F45" s="8">
        <v>0</v>
      </c>
      <c r="G45" s="8">
        <v>0</v>
      </c>
      <c r="H45" s="8">
        <v>39</v>
      </c>
      <c r="I45" s="8">
        <f>1*I49</f>
        <v>1</v>
      </c>
      <c r="J45" s="5"/>
    </row>
    <row r="46" spans="2:29" x14ac:dyDescent="0.2">
      <c r="B46" s="13" t="s">
        <v>42</v>
      </c>
      <c r="C46" s="8">
        <f>1+2+C56*2</f>
        <v>35</v>
      </c>
      <c r="D46" s="8">
        <f>8+C56</f>
        <v>24</v>
      </c>
      <c r="E46" s="8">
        <v>8</v>
      </c>
      <c r="F46" s="8">
        <v>0</v>
      </c>
      <c r="G46" s="8">
        <v>0</v>
      </c>
      <c r="H46" s="8">
        <f>C56*2</f>
        <v>32</v>
      </c>
      <c r="I46" s="8">
        <v>1</v>
      </c>
      <c r="J46" s="5"/>
    </row>
    <row r="47" spans="2:29" x14ac:dyDescent="0.2">
      <c r="B47" s="13" t="s">
        <v>41</v>
      </c>
      <c r="C47" s="8">
        <v>0</v>
      </c>
      <c r="D47" s="8">
        <f>1*C56</f>
        <v>16</v>
      </c>
      <c r="E47" s="8">
        <f>1*C56</f>
        <v>16</v>
      </c>
      <c r="F47" s="8">
        <v>0</v>
      </c>
      <c r="G47" s="8">
        <v>0</v>
      </c>
      <c r="H47" s="8">
        <f>3*C56</f>
        <v>48</v>
      </c>
      <c r="I47" s="8"/>
      <c r="J47" s="5"/>
    </row>
    <row r="48" spans="2:29" x14ac:dyDescent="0.2">
      <c r="B48" s="13" t="s">
        <v>40</v>
      </c>
      <c r="C48" s="8">
        <v>0</v>
      </c>
      <c r="D48" s="8">
        <f>13*1</f>
        <v>13</v>
      </c>
      <c r="E48" s="8">
        <v>13</v>
      </c>
      <c r="F48" s="8">
        <v>0</v>
      </c>
      <c r="G48" s="8">
        <f>13*1</f>
        <v>13</v>
      </c>
      <c r="H48" s="8">
        <v>1</v>
      </c>
      <c r="I48" s="15">
        <v>1</v>
      </c>
      <c r="J48" s="5"/>
    </row>
    <row r="49" spans="2:10" x14ac:dyDescent="0.2">
      <c r="B49" s="13" t="s">
        <v>39</v>
      </c>
      <c r="C49" s="8">
        <v>1</v>
      </c>
      <c r="D49" s="8">
        <f>14*1</f>
        <v>14</v>
      </c>
      <c r="E49" s="8">
        <f>14*1</f>
        <v>14</v>
      </c>
      <c r="F49" s="8">
        <v>0</v>
      </c>
      <c r="G49" s="8">
        <f>14*1</f>
        <v>14</v>
      </c>
      <c r="H49" s="8">
        <v>2</v>
      </c>
      <c r="I49" s="15">
        <v>1</v>
      </c>
      <c r="J49" s="5"/>
    </row>
    <row r="50" spans="2:10" x14ac:dyDescent="0.2">
      <c r="B50" s="13" t="s">
        <v>26</v>
      </c>
      <c r="C50" s="8">
        <f>SUM(C30:C49)</f>
        <v>290</v>
      </c>
      <c r="D50" s="8">
        <f t="shared" ref="D50:H50" si="3">SUM(D30:D49)</f>
        <v>288</v>
      </c>
      <c r="E50" s="8">
        <f t="shared" si="3"/>
        <v>139</v>
      </c>
      <c r="F50" s="8">
        <f t="shared" si="3"/>
        <v>18</v>
      </c>
      <c r="G50" s="8">
        <f t="shared" si="3"/>
        <v>30</v>
      </c>
      <c r="H50" s="8">
        <f t="shared" si="3"/>
        <v>414</v>
      </c>
      <c r="I50" s="5"/>
      <c r="J50" s="8">
        <f>SUM(C50:H50)</f>
        <v>1179</v>
      </c>
    </row>
    <row r="51" spans="2:10" x14ac:dyDescent="0.2">
      <c r="B51" s="13" t="s">
        <v>60</v>
      </c>
      <c r="C51" s="9">
        <f>C50/J50</f>
        <v>0.24597116200169636</v>
      </c>
      <c r="D51" s="9">
        <f>D50/J50</f>
        <v>0.24427480916030533</v>
      </c>
      <c r="E51" s="9">
        <f>E50/J50</f>
        <v>0.11789652247667515</v>
      </c>
      <c r="F51" s="9">
        <f>F50/J50</f>
        <v>1.5267175572519083E-2</v>
      </c>
      <c r="G51" s="9">
        <f>G50/J50</f>
        <v>2.5445292620865138E-2</v>
      </c>
      <c r="H51" s="9">
        <f>H50/J50</f>
        <v>0.35114503816793891</v>
      </c>
      <c r="I51" s="5"/>
      <c r="J51" s="5"/>
    </row>
    <row r="52" spans="2:10" x14ac:dyDescent="0.2">
      <c r="B52" s="13" t="s">
        <v>59</v>
      </c>
      <c r="C52" s="8">
        <f>C30*I30+C31*I31+C32*I32+C33*I33+C34*I34+C35*I35+C36*I36+C37*I37+C38*I38+C39*I39+C40*I40+C41*I41+C42*I42+C43*I43+C44*I44+C45*I45+C46*I46+C47*I47+C48*I48+C49*I49</f>
        <v>8694</v>
      </c>
      <c r="D52" s="8">
        <f>D30*I30+D31*I31+D32*I32+D33*I33+D34*I34+D35*I35+D36*I36+D37*I37+D38*I38+D39*I39+D40*I40+D41*I41+D42*I42+D43*I43+D44*I44+D45*I45+D46*I46+D47*I47+D48*I48+D49*I49</f>
        <v>4323</v>
      </c>
      <c r="E52" s="8">
        <f>E30*I30+E31*I31+E32*I32+E33*I33+E34*I34+E35*I35+E36*I36+E37*I37+E38*I38+E39*I39+E40*I40+E41*I41+E42*I42+E43*I43+E44*I44+E45*I45+E46*I46+E47*I47+E48*I48+E49*I49</f>
        <v>3803</v>
      </c>
      <c r="F52" s="8">
        <f>I30*F30+I31*F31+I33*F33+I34*F34+I35*F35</f>
        <v>7216</v>
      </c>
      <c r="G52" s="8">
        <f>I30*G30+I31*G31+I35*G35+I48*G48+I49*G49</f>
        <v>1987</v>
      </c>
      <c r="H52" s="8">
        <f>I30*H30+I31*H31+I32*H32+I33*H33+I34*H34+I35*H35+I36*H36+I37*H37+I38*H38+I39*H39+I40*H40+I41*H41+I42*H42+I43*H43+I44*H44+I45*H45+I46*H46+I47*H47+I48*H48+I49*H49</f>
        <v>16113</v>
      </c>
      <c r="I52" s="5"/>
      <c r="J52" s="8">
        <f>SUM(C52:H52)</f>
        <v>42136</v>
      </c>
    </row>
    <row r="53" spans="2:10" x14ac:dyDescent="0.2">
      <c r="B53" s="13" t="s">
        <v>61</v>
      </c>
      <c r="C53" s="9">
        <f>C52/J52</f>
        <v>0.20633187772925765</v>
      </c>
      <c r="D53" s="9">
        <f>D52/J52</f>
        <v>0.1025963546610974</v>
      </c>
      <c r="E53" s="9">
        <f>E52/J52</f>
        <v>9.0255363584583248E-2</v>
      </c>
      <c r="F53" s="9">
        <f>F52/J52</f>
        <v>0.1712549838617809</v>
      </c>
      <c r="G53" s="9">
        <f>G52/J52</f>
        <v>4.7156825517372318E-2</v>
      </c>
      <c r="H53" s="9">
        <f>H52/J52</f>
        <v>0.38240459464590848</v>
      </c>
      <c r="I53" s="5"/>
      <c r="J53" s="5"/>
    </row>
    <row r="54" spans="2:10" x14ac:dyDescent="0.2">
      <c r="B54" s="6"/>
      <c r="C54" s="3"/>
      <c r="D54" s="3"/>
      <c r="E54" s="3"/>
      <c r="F54" s="3"/>
      <c r="G54" s="3"/>
      <c r="H54" s="3"/>
      <c r="I54" s="3"/>
    </row>
    <row r="56" spans="2:10" x14ac:dyDescent="0.2">
      <c r="B56" s="16" t="s">
        <v>58</v>
      </c>
      <c r="C56" s="17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2F6-E0CF-4444-AF66-0C4173F42585}">
  <dimension ref="B4:AC56"/>
  <sheetViews>
    <sheetView topLeftCell="P26" zoomScale="110" zoomScaleNormal="110" workbookViewId="0">
      <selection activeCell="Z51" sqref="Z51"/>
    </sheetView>
  </sheetViews>
  <sheetFormatPr baseColWidth="10" defaultRowHeight="16" x14ac:dyDescent="0.2"/>
  <cols>
    <col min="1" max="1" width="10.83203125" style="33"/>
    <col min="2" max="2" width="22" style="33" bestFit="1" customWidth="1"/>
    <col min="3" max="3" width="13" style="33" customWidth="1"/>
    <col min="4" max="6" width="10.83203125" style="33"/>
    <col min="7" max="7" width="13" style="33" bestFit="1" customWidth="1"/>
    <col min="8" max="8" width="10.83203125" style="33" customWidth="1"/>
    <col min="9" max="10" width="10.83203125" style="33"/>
    <col min="11" max="11" width="11.6640625" style="33" bestFit="1" customWidth="1"/>
    <col min="12" max="19" width="10.83203125" style="33"/>
    <col min="20" max="25" width="17" style="33" customWidth="1"/>
    <col min="26" max="26" width="15.33203125" style="33" bestFit="1" customWidth="1"/>
    <col min="27" max="27" width="13" style="33" bestFit="1" customWidth="1"/>
    <col min="28" max="28" width="18.83203125" style="33" bestFit="1" customWidth="1"/>
    <col min="29" max="29" width="29.33203125" style="33" bestFit="1" customWidth="1"/>
    <col min="30" max="16384" width="10.83203125" style="33"/>
  </cols>
  <sheetData>
    <row r="4" spans="2:28" x14ac:dyDescent="0.2">
      <c r="B4" s="33" t="s">
        <v>1</v>
      </c>
      <c r="C4" s="33" t="s">
        <v>85</v>
      </c>
    </row>
    <row r="5" spans="2:28" x14ac:dyDescent="0.2">
      <c r="B5" s="33" t="s">
        <v>86</v>
      </c>
      <c r="C5" s="33">
        <v>10000000</v>
      </c>
    </row>
    <row r="9" spans="2:28" x14ac:dyDescent="0.2">
      <c r="B9" s="1" t="s">
        <v>13</v>
      </c>
      <c r="T9" s="1"/>
      <c r="U9" s="1"/>
      <c r="V9" s="1"/>
      <c r="W9" s="1"/>
      <c r="X9" s="1"/>
      <c r="Y9" s="1"/>
    </row>
    <row r="10" spans="2:28" x14ac:dyDescent="0.2">
      <c r="B10" s="12" t="s">
        <v>0</v>
      </c>
      <c r="C10" s="12" t="s">
        <v>7</v>
      </c>
      <c r="D10" s="12" t="s">
        <v>8</v>
      </c>
      <c r="E10" s="12" t="s">
        <v>9</v>
      </c>
      <c r="L10" s="6"/>
      <c r="S10" s="35"/>
      <c r="T10" s="6"/>
      <c r="U10" s="6"/>
      <c r="V10" s="6"/>
      <c r="W10" s="6"/>
      <c r="X10" s="6"/>
      <c r="Y10" s="6"/>
      <c r="Z10" s="6"/>
      <c r="AA10" s="6"/>
      <c r="AB10" s="6"/>
    </row>
    <row r="11" spans="2:28" x14ac:dyDescent="0.2">
      <c r="B11" s="7" t="s">
        <v>2</v>
      </c>
      <c r="C11" s="8">
        <v>57.247312999999998</v>
      </c>
      <c r="D11" s="8">
        <v>57.232492999999998</v>
      </c>
      <c r="E11" s="8" t="s">
        <v>10</v>
      </c>
      <c r="L11" s="3"/>
      <c r="S11" s="35"/>
      <c r="T11" s="6"/>
      <c r="U11" s="6"/>
      <c r="V11" s="6"/>
      <c r="W11" s="6"/>
      <c r="X11" s="6"/>
      <c r="Y11" s="6"/>
      <c r="Z11" s="37"/>
      <c r="AA11" s="37"/>
      <c r="AB11" s="35"/>
    </row>
    <row r="12" spans="2:28" x14ac:dyDescent="0.2">
      <c r="B12" s="7" t="s">
        <v>3</v>
      </c>
      <c r="C12" s="8">
        <v>14.207943</v>
      </c>
      <c r="D12" s="8">
        <v>14.202747</v>
      </c>
      <c r="E12" s="8">
        <f>C11/C12</f>
        <v>4.0292470908702267</v>
      </c>
      <c r="L12" s="3"/>
      <c r="S12" s="35"/>
      <c r="T12" s="6"/>
      <c r="U12" s="6"/>
      <c r="V12" s="6"/>
      <c r="W12" s="6"/>
      <c r="X12" s="6"/>
      <c r="Y12" s="6"/>
      <c r="Z12" s="38"/>
      <c r="AA12" s="37"/>
      <c r="AB12" s="35"/>
    </row>
    <row r="13" spans="2:28" x14ac:dyDescent="0.2">
      <c r="B13" s="7" t="s">
        <v>4</v>
      </c>
      <c r="C13" s="8">
        <v>9.9204650000000001</v>
      </c>
      <c r="D13" s="8">
        <v>9.9147409999999994</v>
      </c>
      <c r="E13" s="8">
        <f t="shared" ref="E13:E15" si="0">C12/C13</f>
        <v>1.4321851848678464</v>
      </c>
      <c r="L13" s="3"/>
      <c r="S13" s="35"/>
      <c r="T13" s="6"/>
      <c r="U13" s="6"/>
      <c r="V13" s="6"/>
      <c r="W13" s="6"/>
      <c r="X13" s="6"/>
      <c r="Y13" s="6"/>
      <c r="Z13" s="38"/>
      <c r="AA13" s="37"/>
      <c r="AB13" s="35"/>
    </row>
    <row r="14" spans="2:28" x14ac:dyDescent="0.2">
      <c r="B14" s="7" t="s">
        <v>5</v>
      </c>
      <c r="C14" s="8">
        <v>7.8390810000000002</v>
      </c>
      <c r="D14" s="8">
        <v>7.8350169999999997</v>
      </c>
      <c r="E14" s="8">
        <f t="shared" si="0"/>
        <v>1.2655137764235374</v>
      </c>
      <c r="S14" s="35"/>
      <c r="T14" s="6"/>
      <c r="U14" s="6"/>
      <c r="V14" s="6"/>
      <c r="W14" s="6"/>
      <c r="X14" s="6"/>
      <c r="Y14" s="6"/>
      <c r="Z14" s="38"/>
      <c r="AA14" s="37"/>
      <c r="AB14" s="35"/>
    </row>
    <row r="15" spans="2:28" x14ac:dyDescent="0.2">
      <c r="B15" s="7" t="s">
        <v>6</v>
      </c>
      <c r="C15" s="8">
        <v>7.8318719999999997</v>
      </c>
      <c r="D15" s="8">
        <v>7.8278189999999999</v>
      </c>
      <c r="E15" s="8">
        <f t="shared" si="0"/>
        <v>1.00092046958888</v>
      </c>
      <c r="S15" s="35"/>
      <c r="T15" s="6"/>
      <c r="U15" s="6"/>
      <c r="V15" s="6"/>
      <c r="W15" s="6"/>
      <c r="X15" s="6"/>
      <c r="Y15" s="6"/>
      <c r="Z15" s="38"/>
      <c r="AA15" s="37"/>
      <c r="AB15" s="35"/>
    </row>
    <row r="16" spans="2:28" x14ac:dyDescent="0.2">
      <c r="B16" s="2"/>
      <c r="C16" s="3"/>
      <c r="D16" s="3"/>
      <c r="E16" s="3"/>
      <c r="S16" s="35"/>
      <c r="T16" s="6"/>
      <c r="U16" s="6"/>
      <c r="V16" s="6"/>
      <c r="W16" s="6"/>
      <c r="X16" s="6"/>
      <c r="Y16" s="6"/>
      <c r="Z16" s="38"/>
      <c r="AA16" s="37"/>
      <c r="AB16" s="35"/>
    </row>
    <row r="17" spans="2:29" x14ac:dyDescent="0.2">
      <c r="S17" s="35"/>
      <c r="T17" s="6"/>
      <c r="U17" s="6"/>
      <c r="V17" s="6"/>
      <c r="W17" s="6"/>
      <c r="X17" s="6"/>
      <c r="Y17" s="6"/>
      <c r="Z17" s="36"/>
      <c r="AA17" s="39"/>
      <c r="AB17" s="40"/>
    </row>
    <row r="18" spans="2:29" x14ac:dyDescent="0.2">
      <c r="B18" s="1" t="s">
        <v>33</v>
      </c>
      <c r="S18" s="35"/>
      <c r="T18" s="6"/>
      <c r="U18" s="6"/>
      <c r="V18" s="6"/>
      <c r="W18" s="6"/>
      <c r="X18" s="6"/>
      <c r="Y18" s="6"/>
      <c r="Z18" s="36"/>
      <c r="AA18" s="39"/>
      <c r="AB18" s="40"/>
    </row>
    <row r="19" spans="2:29" x14ac:dyDescent="0.2">
      <c r="B19" s="13" t="s">
        <v>22</v>
      </c>
      <c r="C19" s="13" t="s">
        <v>23</v>
      </c>
      <c r="D19" s="13" t="s">
        <v>32</v>
      </c>
      <c r="S19" s="35"/>
      <c r="T19" s="6"/>
      <c r="U19" s="6"/>
      <c r="V19" s="6"/>
      <c r="W19" s="6"/>
      <c r="X19" s="6"/>
      <c r="Y19" s="6"/>
      <c r="Z19" s="36"/>
      <c r="AA19" s="39"/>
      <c r="AB19" s="40"/>
    </row>
    <row r="20" spans="2:29" x14ac:dyDescent="0.2">
      <c r="B20" s="7" t="s">
        <v>27</v>
      </c>
      <c r="C20" s="8">
        <v>77</v>
      </c>
      <c r="D20" s="9">
        <f>C20/C25</f>
        <v>0.27500000000000002</v>
      </c>
      <c r="S20" s="35"/>
      <c r="T20" s="6"/>
      <c r="U20" s="6"/>
      <c r="V20" s="6"/>
      <c r="W20" s="6"/>
      <c r="X20" s="6"/>
      <c r="Y20" s="6"/>
      <c r="Z20" s="36"/>
      <c r="AA20" s="39"/>
      <c r="AB20" s="40"/>
    </row>
    <row r="21" spans="2:29" x14ac:dyDescent="0.2">
      <c r="B21" s="7" t="s">
        <v>28</v>
      </c>
      <c r="C21" s="8">
        <v>32</v>
      </c>
      <c r="D21" s="9">
        <f>C21/C25</f>
        <v>0.11428571428571428</v>
      </c>
      <c r="S21" s="35"/>
      <c r="T21" s="6"/>
      <c r="U21" s="6"/>
      <c r="V21" s="6"/>
      <c r="W21" s="6"/>
      <c r="X21" s="6"/>
      <c r="Y21" s="6"/>
      <c r="Z21" s="36"/>
      <c r="AA21" s="39"/>
      <c r="AB21" s="40"/>
    </row>
    <row r="22" spans="2:29" x14ac:dyDescent="0.2">
      <c r="B22" s="7" t="s">
        <v>31</v>
      </c>
      <c r="C22" s="8">
        <v>69</v>
      </c>
      <c r="D22" s="9">
        <f>C22/C25</f>
        <v>0.24642857142857144</v>
      </c>
      <c r="S22" s="35"/>
      <c r="T22" s="6"/>
      <c r="U22" s="6"/>
      <c r="V22" s="6"/>
      <c r="W22" s="6"/>
      <c r="X22" s="6"/>
      <c r="Y22" s="6"/>
      <c r="Z22" s="37"/>
      <c r="AA22" s="37"/>
      <c r="AB22" s="35"/>
    </row>
    <row r="23" spans="2:29" x14ac:dyDescent="0.2">
      <c r="B23" s="47" t="s">
        <v>56</v>
      </c>
      <c r="C23" s="8">
        <v>100</v>
      </c>
      <c r="D23" s="9">
        <f>C23/C25</f>
        <v>0.35714285714285715</v>
      </c>
      <c r="S23" s="35"/>
      <c r="T23" s="6"/>
      <c r="U23" s="6"/>
      <c r="V23" s="6"/>
      <c r="W23" s="6"/>
      <c r="X23" s="6"/>
      <c r="Y23" s="6"/>
      <c r="Z23" s="37"/>
      <c r="AA23" s="37"/>
      <c r="AB23" s="35"/>
    </row>
    <row r="24" spans="2:29" x14ac:dyDescent="0.2">
      <c r="B24" s="7" t="s">
        <v>29</v>
      </c>
      <c r="C24" s="8">
        <v>2</v>
      </c>
      <c r="D24" s="9">
        <f>C24/C25</f>
        <v>7.1428571428571426E-3</v>
      </c>
      <c r="S24" s="35"/>
      <c r="T24" s="6"/>
      <c r="U24" s="6"/>
      <c r="V24" s="6"/>
      <c r="W24" s="6"/>
      <c r="X24" s="6"/>
      <c r="Y24" s="6"/>
      <c r="Z24" s="37"/>
      <c r="AA24" s="39"/>
      <c r="AB24" s="41"/>
    </row>
    <row r="25" spans="2:29" x14ac:dyDescent="0.2">
      <c r="B25" s="7" t="s">
        <v>26</v>
      </c>
      <c r="C25" s="8">
        <f>SUM(C20:C24)</f>
        <v>280</v>
      </c>
      <c r="D25" s="8"/>
    </row>
    <row r="28" spans="2:29" x14ac:dyDescent="0.2">
      <c r="B28" s="1" t="s">
        <v>34</v>
      </c>
    </row>
    <row r="29" spans="2:29" x14ac:dyDescent="0.2">
      <c r="B29" s="13" t="s">
        <v>35</v>
      </c>
      <c r="C29" s="13" t="s">
        <v>27</v>
      </c>
      <c r="D29" s="13" t="s">
        <v>28</v>
      </c>
      <c r="E29" s="13" t="s">
        <v>57</v>
      </c>
      <c r="F29" s="13" t="s">
        <v>36</v>
      </c>
      <c r="G29" s="14" t="s">
        <v>56</v>
      </c>
      <c r="H29" s="13" t="s">
        <v>38</v>
      </c>
      <c r="I29" s="13" t="s">
        <v>26</v>
      </c>
      <c r="S29" s="34"/>
    </row>
    <row r="30" spans="2:29" x14ac:dyDescent="0.2">
      <c r="B30" s="13" t="s">
        <v>80</v>
      </c>
      <c r="C30" s="8">
        <v>60</v>
      </c>
      <c r="D30" s="8"/>
      <c r="E30" s="8">
        <v>36</v>
      </c>
      <c r="F30" s="8">
        <v>0</v>
      </c>
      <c r="G30" s="8">
        <v>48</v>
      </c>
      <c r="H30" s="8">
        <v>1</v>
      </c>
      <c r="I30" s="5"/>
      <c r="S30" s="34"/>
      <c r="T30" s="1" t="s">
        <v>69</v>
      </c>
      <c r="U30" s="1"/>
      <c r="V30" s="1"/>
      <c r="W30" s="1"/>
      <c r="X30" s="1"/>
      <c r="Y30" s="1"/>
    </row>
    <row r="31" spans="2:29" x14ac:dyDescent="0.2">
      <c r="B31" s="13" t="s">
        <v>81</v>
      </c>
      <c r="C31" s="8">
        <v>1</v>
      </c>
      <c r="D31" s="8">
        <v>0</v>
      </c>
      <c r="E31" s="8">
        <v>1</v>
      </c>
      <c r="F31" s="8">
        <v>2</v>
      </c>
      <c r="G31" s="8">
        <v>0</v>
      </c>
      <c r="H31" s="8">
        <f>8*4</f>
        <v>32</v>
      </c>
      <c r="I31" s="5"/>
      <c r="S31" s="34"/>
      <c r="T31" s="12" t="s">
        <v>14</v>
      </c>
      <c r="U31" s="12" t="s">
        <v>87</v>
      </c>
      <c r="V31" s="12" t="s">
        <v>91</v>
      </c>
      <c r="W31" s="12" t="s">
        <v>90</v>
      </c>
      <c r="X31" s="12" t="s">
        <v>89</v>
      </c>
      <c r="Y31" s="12" t="s">
        <v>88</v>
      </c>
      <c r="Z31" s="12" t="s">
        <v>72</v>
      </c>
      <c r="AA31" s="12" t="s">
        <v>74</v>
      </c>
      <c r="AB31" s="12" t="s">
        <v>78</v>
      </c>
      <c r="AC31" s="12" t="s">
        <v>92</v>
      </c>
    </row>
    <row r="32" spans="2:29" x14ac:dyDescent="0.2">
      <c r="B32" s="13" t="s">
        <v>82</v>
      </c>
      <c r="C32" s="8">
        <v>16</v>
      </c>
      <c r="D32" s="8">
        <v>16</v>
      </c>
      <c r="E32" s="8">
        <v>16</v>
      </c>
      <c r="F32" s="8">
        <v>0</v>
      </c>
      <c r="G32" s="42">
        <v>16</v>
      </c>
      <c r="H32" s="8">
        <v>1</v>
      </c>
      <c r="I32" s="5"/>
      <c r="S32" s="34"/>
      <c r="T32" s="4" t="s">
        <v>15</v>
      </c>
      <c r="U32" s="43">
        <v>0.42159999999999997</v>
      </c>
      <c r="V32" s="43">
        <v>0.23930000000000001</v>
      </c>
      <c r="W32" s="43">
        <v>0.15060000000000001</v>
      </c>
      <c r="X32" s="43">
        <v>0.14799999999999999</v>
      </c>
      <c r="Y32" s="43">
        <v>2.9899999999999999E-2</v>
      </c>
      <c r="Z32" s="18" t="s">
        <v>10</v>
      </c>
      <c r="AA32" s="18" t="s">
        <v>10</v>
      </c>
      <c r="AB32" s="5"/>
      <c r="AC32" s="5"/>
    </row>
    <row r="33" spans="2:29" x14ac:dyDescent="0.2">
      <c r="B33" s="13" t="s">
        <v>83</v>
      </c>
      <c r="C33" s="8">
        <v>0</v>
      </c>
      <c r="D33" s="8">
        <v>16</v>
      </c>
      <c r="E33" s="8">
        <v>16</v>
      </c>
      <c r="F33" s="8">
        <v>0</v>
      </c>
      <c r="G33" s="8">
        <v>16</v>
      </c>
      <c r="H33" s="8">
        <v>1</v>
      </c>
      <c r="I33" s="5"/>
      <c r="S33" s="34"/>
      <c r="T33" s="7" t="s">
        <v>71</v>
      </c>
      <c r="U33" s="8">
        <v>13</v>
      </c>
      <c r="V33" s="8">
        <v>1</v>
      </c>
      <c r="W33" s="8">
        <v>1</v>
      </c>
      <c r="X33" s="8">
        <v>0</v>
      </c>
      <c r="Y33" s="8">
        <v>0</v>
      </c>
      <c r="Z33" s="20">
        <f>SUM(U33:Y33)/SUM(U43:Y43)</f>
        <v>5.7034220532319393E-2</v>
      </c>
      <c r="AA33" s="19"/>
      <c r="AB33" s="5"/>
      <c r="AC33" s="5"/>
    </row>
    <row r="34" spans="2:29" x14ac:dyDescent="0.2">
      <c r="B34" s="13" t="s">
        <v>84</v>
      </c>
      <c r="C34" s="8">
        <v>0</v>
      </c>
      <c r="D34" s="8">
        <v>0</v>
      </c>
      <c r="E34" s="8">
        <v>0</v>
      </c>
      <c r="F34" s="8">
        <v>0</v>
      </c>
      <c r="G34" s="8">
        <v>20</v>
      </c>
      <c r="H34" s="8">
        <v>1</v>
      </c>
      <c r="I34" s="5"/>
      <c r="S34" s="34"/>
      <c r="T34" s="7" t="s">
        <v>19</v>
      </c>
      <c r="U34" s="8">
        <v>7</v>
      </c>
      <c r="V34" s="8">
        <v>2</v>
      </c>
      <c r="W34" s="8">
        <v>6</v>
      </c>
      <c r="X34" s="8">
        <v>2</v>
      </c>
      <c r="Y34" s="8">
        <v>12</v>
      </c>
      <c r="Z34" s="20">
        <f>SUM(U34:Y34)/SUM(U43:Y43)</f>
        <v>0.11026615969581749</v>
      </c>
      <c r="AA34" s="19"/>
      <c r="AB34" s="5"/>
      <c r="AC34" s="5"/>
    </row>
    <row r="35" spans="2:29" x14ac:dyDescent="0.2">
      <c r="B35" s="13"/>
      <c r="C35" s="8"/>
      <c r="D35" s="8"/>
      <c r="E35" s="8"/>
      <c r="F35" s="8"/>
      <c r="G35" s="8"/>
      <c r="H35" s="8"/>
      <c r="I35" s="5"/>
      <c r="S35" s="34"/>
      <c r="T35" s="7" t="s">
        <v>70</v>
      </c>
      <c r="U35" s="8">
        <v>24</v>
      </c>
      <c r="V35" s="8">
        <v>3</v>
      </c>
      <c r="W35" s="8">
        <v>12</v>
      </c>
      <c r="X35" s="8">
        <v>7</v>
      </c>
      <c r="Y35" s="8">
        <v>0</v>
      </c>
      <c r="Z35" s="20">
        <f>SUM(U35:Y35)/SUM(U43:Y43)</f>
        <v>0.17490494296577946</v>
      </c>
      <c r="AA35" s="19"/>
      <c r="AB35" s="5"/>
      <c r="AC35" s="5"/>
    </row>
    <row r="36" spans="2:29" x14ac:dyDescent="0.2">
      <c r="B36" s="13"/>
      <c r="C36" s="8"/>
      <c r="D36" s="8"/>
      <c r="E36" s="8"/>
      <c r="F36" s="8"/>
      <c r="G36" s="8"/>
      <c r="H36" s="8"/>
      <c r="I36" s="5"/>
      <c r="S36" s="34"/>
      <c r="T36" s="7" t="s">
        <v>25</v>
      </c>
      <c r="U36" s="8">
        <v>5</v>
      </c>
      <c r="V36" s="8">
        <v>0</v>
      </c>
      <c r="W36" s="8">
        <v>0</v>
      </c>
      <c r="X36" s="8">
        <v>0</v>
      </c>
      <c r="Y36" s="8">
        <v>0</v>
      </c>
      <c r="Z36" s="20">
        <f>SUM(U36:Y36)/SUM(U43:Y43)</f>
        <v>1.9011406844106463E-2</v>
      </c>
      <c r="AA36" s="19"/>
      <c r="AB36" s="5"/>
      <c r="AC36" s="5"/>
    </row>
    <row r="37" spans="2:29" x14ac:dyDescent="0.2">
      <c r="B37" s="13"/>
      <c r="C37" s="8"/>
      <c r="D37" s="8"/>
      <c r="E37" s="8"/>
      <c r="F37" s="8"/>
      <c r="G37" s="8"/>
      <c r="H37" s="8"/>
      <c r="I37" s="5"/>
      <c r="S37" s="34"/>
      <c r="T37" s="7" t="s">
        <v>17</v>
      </c>
      <c r="U37" s="8">
        <v>36</v>
      </c>
      <c r="V37" s="8">
        <v>4</v>
      </c>
      <c r="W37" s="8">
        <v>15</v>
      </c>
      <c r="X37" s="8">
        <v>61</v>
      </c>
      <c r="Y37" s="8">
        <v>52</v>
      </c>
      <c r="Z37" s="20">
        <f>SUM(U37:Y37)/SUM(U43:Y43)</f>
        <v>0.63878326996197721</v>
      </c>
      <c r="AA37" s="19"/>
      <c r="AB37" s="5"/>
      <c r="AC37" s="5"/>
    </row>
    <row r="38" spans="2:29" x14ac:dyDescent="0.2">
      <c r="B38" s="13"/>
      <c r="C38" s="8"/>
      <c r="D38" s="8"/>
      <c r="E38" s="8"/>
      <c r="F38" s="8"/>
      <c r="G38" s="8"/>
      <c r="H38" s="8"/>
      <c r="I38" s="5"/>
      <c r="S38" s="34"/>
      <c r="T38" s="10" t="s">
        <v>62</v>
      </c>
      <c r="U38" s="45">
        <v>7.7399999999999997E-2</v>
      </c>
      <c r="V38" s="46">
        <v>0.03</v>
      </c>
      <c r="W38" s="45">
        <v>4.2999999999999997E-2</v>
      </c>
      <c r="X38" s="46">
        <v>0</v>
      </c>
      <c r="Y38" s="46">
        <v>0</v>
      </c>
      <c r="Z38" s="23">
        <f>SUM(U38:Y38)/SUM(U44:Y44)</f>
        <v>3.0947775628626689E-2</v>
      </c>
      <c r="AA38" s="23">
        <f>(U38*U32+V38*V32+W38*W32+X38*X32+Y32*Y38)/5</f>
        <v>9.2573279999999987E-3</v>
      </c>
      <c r="AB38" s="26">
        <f>AA38*(1/AA44)</f>
        <v>4.7897787951872599E-2</v>
      </c>
      <c r="AC38" s="27">
        <f>(AB38*1)/AC44</f>
        <v>0.16647747616356112</v>
      </c>
    </row>
    <row r="39" spans="2:29" x14ac:dyDescent="0.2">
      <c r="B39" s="13"/>
      <c r="C39" s="8"/>
      <c r="D39" s="8"/>
      <c r="E39" s="8"/>
      <c r="F39" s="8"/>
      <c r="G39" s="8"/>
      <c r="H39" s="8"/>
      <c r="I39" s="5"/>
      <c r="S39" s="34"/>
      <c r="T39" s="10" t="s">
        <v>63</v>
      </c>
      <c r="U39" s="45">
        <v>2.3300000000000001E-2</v>
      </c>
      <c r="V39" s="45">
        <v>4.3799999999999999E-2</v>
      </c>
      <c r="W39" s="45">
        <v>0.13200000000000001</v>
      </c>
      <c r="X39" s="45">
        <v>8.1600000000000006E-2</v>
      </c>
      <c r="Y39" s="45">
        <v>0.18210000000000001</v>
      </c>
      <c r="Z39" s="23">
        <f>SUM(U39:Y39)/SUM(U44:Y44)</f>
        <v>9.5230256389151821E-2</v>
      </c>
      <c r="AA39" s="23">
        <f>(U39*U32+V32*V39+W32*W39+X32*X39+Y39*Y32)/5</f>
        <v>1.1541082000000001E-2</v>
      </c>
      <c r="AB39" s="26">
        <f>AA39*(1/AA44)</f>
        <v>5.9714023136176429E-2</v>
      </c>
      <c r="AC39" s="27">
        <f>AB39/AC44</f>
        <v>0.20754695129703787</v>
      </c>
    </row>
    <row r="40" spans="2:29" x14ac:dyDescent="0.2">
      <c r="B40" s="13"/>
      <c r="C40" s="8"/>
      <c r="D40" s="8"/>
      <c r="E40" s="8"/>
      <c r="F40" s="8"/>
      <c r="G40" s="8"/>
      <c r="H40" s="8"/>
      <c r="I40" s="5"/>
      <c r="S40" s="34"/>
      <c r="T40" s="10" t="s">
        <v>64</v>
      </c>
      <c r="U40" s="45">
        <v>0.14149999999999999</v>
      </c>
      <c r="V40" s="45">
        <v>0.11840000000000001</v>
      </c>
      <c r="W40" s="45">
        <v>0.30780000000000002</v>
      </c>
      <c r="X40" s="45">
        <v>0.24260000000000001</v>
      </c>
      <c r="Y40" s="46">
        <v>0</v>
      </c>
      <c r="Z40" s="23">
        <f>SUM(U40:Y40)/SUM(U44:Y44)</f>
        <v>0.16673525659492164</v>
      </c>
      <c r="AA40" s="23">
        <f>(U40*U32+V32*V40+W40*W32+X32*X40+Y40*Y32)/5</f>
        <v>3.4049799999999998E-2</v>
      </c>
      <c r="AB40" s="26">
        <f>AA40*(1/AA44)</f>
        <v>0.17617503670645265</v>
      </c>
      <c r="AC40" s="27">
        <f>AB40/AC44</f>
        <v>0.61232839193707134</v>
      </c>
    </row>
    <row r="41" spans="2:29" x14ac:dyDescent="0.2">
      <c r="B41" s="13"/>
      <c r="C41" s="8"/>
      <c r="D41" s="8"/>
      <c r="E41" s="8"/>
      <c r="F41" s="8"/>
      <c r="G41" s="8"/>
      <c r="H41" s="8"/>
      <c r="I41" s="5"/>
      <c r="S41" s="34"/>
      <c r="T41" s="10" t="s">
        <v>66</v>
      </c>
      <c r="U41" s="45">
        <v>8.9999999999999993E-3</v>
      </c>
      <c r="V41" s="46">
        <v>0</v>
      </c>
      <c r="W41" s="46">
        <v>0</v>
      </c>
      <c r="X41" s="46">
        <v>0</v>
      </c>
      <c r="Y41" s="46">
        <v>0</v>
      </c>
      <c r="Z41" s="23">
        <f>SUM(U41:Y41)/SUM(U44:Y44)</f>
        <v>1.8519280628832462E-3</v>
      </c>
      <c r="AA41" s="23">
        <f>(U41*U32+V41*V32+W41*W32+X41*X32+Y32*Y41)/5</f>
        <v>7.5887999999999986E-4</v>
      </c>
      <c r="AB41" s="26">
        <f>AA41*(1/AA44)</f>
        <v>3.9264756872519884E-3</v>
      </c>
      <c r="AC41" s="27">
        <f>AB41/AC44</f>
        <v>1.3647180602329664E-2</v>
      </c>
    </row>
    <row r="42" spans="2:29" x14ac:dyDescent="0.2">
      <c r="B42" s="13"/>
      <c r="C42" s="8"/>
      <c r="D42" s="8"/>
      <c r="E42" s="8"/>
      <c r="F42" s="8"/>
      <c r="G42" s="8"/>
      <c r="H42" s="8"/>
      <c r="I42" s="5"/>
      <c r="S42" s="34"/>
      <c r="T42" s="10" t="s">
        <v>65</v>
      </c>
      <c r="U42" s="45">
        <v>0.72670000000000001</v>
      </c>
      <c r="V42" s="45">
        <v>0.7863</v>
      </c>
      <c r="W42" s="45">
        <v>0.49220000000000003</v>
      </c>
      <c r="X42" s="45">
        <v>0.6532</v>
      </c>
      <c r="Y42" s="45">
        <v>0.76890000000000003</v>
      </c>
      <c r="Z42" s="23">
        <f>SUM(U42:X42)/SUM(U44:Y44)</f>
        <v>0.547018395818758</v>
      </c>
      <c r="AA42" s="23">
        <f>(U42*U32+V32*V42+W42*W32+X32*X42+Y32*Y42)/5</f>
        <v>0.13766546800000001</v>
      </c>
      <c r="AB42" s="26">
        <f>AA42*(1/AA44)</f>
        <v>0.7122866765182464</v>
      </c>
      <c r="AC42" s="5"/>
    </row>
    <row r="43" spans="2:29" x14ac:dyDescent="0.2">
      <c r="B43" s="13"/>
      <c r="C43" s="8"/>
      <c r="D43" s="8"/>
      <c r="E43" s="8"/>
      <c r="F43" s="8"/>
      <c r="G43" s="8"/>
      <c r="H43" s="8"/>
      <c r="I43" s="5"/>
      <c r="T43" s="7" t="s">
        <v>26</v>
      </c>
      <c r="U43" s="44">
        <f>SUM(U33:U37)</f>
        <v>85</v>
      </c>
      <c r="V43" s="44">
        <f t="shared" ref="V43:Y43" si="1">SUM(V33:V37)</f>
        <v>10</v>
      </c>
      <c r="W43" s="44">
        <f t="shared" si="1"/>
        <v>34</v>
      </c>
      <c r="X43" s="44">
        <f t="shared" si="1"/>
        <v>70</v>
      </c>
      <c r="Y43" s="44">
        <f t="shared" si="1"/>
        <v>64</v>
      </c>
      <c r="Z43" s="19"/>
      <c r="AA43" s="25"/>
      <c r="AB43" s="5"/>
      <c r="AC43" s="5"/>
    </row>
    <row r="44" spans="2:29" x14ac:dyDescent="0.2">
      <c r="B44" s="13"/>
      <c r="C44" s="8"/>
      <c r="D44" s="8"/>
      <c r="E44" s="8"/>
      <c r="F44" s="8"/>
      <c r="G44" s="8"/>
      <c r="H44" s="8"/>
      <c r="I44" s="5"/>
      <c r="T44" s="10" t="s">
        <v>67</v>
      </c>
      <c r="U44" s="45">
        <f>SUM(U38:U42)</f>
        <v>0.97789999999999999</v>
      </c>
      <c r="V44" s="45">
        <f t="shared" ref="V44:Y44" si="2">SUM(V38:V42)</f>
        <v>0.97850000000000004</v>
      </c>
      <c r="W44" s="45">
        <f t="shared" si="2"/>
        <v>0.97500000000000009</v>
      </c>
      <c r="X44" s="45">
        <f t="shared" si="2"/>
        <v>0.97740000000000005</v>
      </c>
      <c r="Y44" s="45">
        <f t="shared" si="2"/>
        <v>0.95100000000000007</v>
      </c>
      <c r="Z44" s="21"/>
      <c r="AA44" s="24">
        <f>SUM(AA38:AA42)</f>
        <v>0.19327255800000001</v>
      </c>
      <c r="AB44" s="27">
        <f>SUM(AB38:AB42)</f>
        <v>1</v>
      </c>
      <c r="AC44" s="27">
        <f>SUM(AB38:AB41)</f>
        <v>0.28771332348175366</v>
      </c>
    </row>
    <row r="45" spans="2:29" x14ac:dyDescent="0.2">
      <c r="B45" s="13"/>
      <c r="C45" s="8"/>
      <c r="D45" s="8"/>
      <c r="E45" s="8"/>
      <c r="F45" s="8"/>
      <c r="G45" s="8"/>
      <c r="H45" s="8"/>
      <c r="I45" s="5"/>
    </row>
    <row r="46" spans="2:29" x14ac:dyDescent="0.2">
      <c r="B46" s="13"/>
      <c r="C46" s="8"/>
      <c r="D46" s="8"/>
      <c r="E46" s="8"/>
      <c r="F46" s="8"/>
      <c r="G46" s="8"/>
      <c r="H46" s="8"/>
      <c r="I46" s="5"/>
    </row>
    <row r="47" spans="2:29" x14ac:dyDescent="0.2">
      <c r="B47" s="13"/>
      <c r="C47" s="8"/>
      <c r="D47" s="8"/>
      <c r="E47" s="8"/>
      <c r="F47" s="8"/>
      <c r="G47" s="8"/>
      <c r="H47" s="8"/>
      <c r="I47" s="5"/>
    </row>
    <row r="48" spans="2:29" x14ac:dyDescent="0.2">
      <c r="B48" s="13"/>
      <c r="C48" s="8"/>
      <c r="D48" s="8"/>
      <c r="E48" s="8"/>
      <c r="F48" s="8"/>
      <c r="G48" s="8"/>
      <c r="H48" s="15"/>
      <c r="I48" s="5"/>
    </row>
    <row r="49" spans="2:9" x14ac:dyDescent="0.2">
      <c r="B49" s="13"/>
      <c r="C49" s="8"/>
      <c r="D49" s="8"/>
      <c r="E49" s="8"/>
      <c r="F49" s="8"/>
      <c r="G49" s="8"/>
      <c r="H49" s="15"/>
      <c r="I49" s="5"/>
    </row>
    <row r="50" spans="2:9" x14ac:dyDescent="0.2">
      <c r="B50" s="13" t="s">
        <v>26</v>
      </c>
      <c r="C50" s="8">
        <f>SUM(C30:C49)</f>
        <v>77</v>
      </c>
      <c r="D50" s="8">
        <f t="shared" ref="D50:G50" si="3">SUM(D30:D49)</f>
        <v>32</v>
      </c>
      <c r="E50" s="8">
        <f t="shared" si="3"/>
        <v>69</v>
      </c>
      <c r="F50" s="8">
        <f t="shared" si="3"/>
        <v>2</v>
      </c>
      <c r="G50" s="8">
        <f t="shared" si="3"/>
        <v>100</v>
      </c>
      <c r="H50" s="5"/>
      <c r="I50" s="8">
        <f>SUM(C50:G50)</f>
        <v>280</v>
      </c>
    </row>
    <row r="51" spans="2:9" x14ac:dyDescent="0.2">
      <c r="B51" s="13" t="s">
        <v>60</v>
      </c>
      <c r="C51" s="9">
        <f>C50/I50</f>
        <v>0.27500000000000002</v>
      </c>
      <c r="D51" s="9">
        <f>D50/I50</f>
        <v>0.11428571428571428</v>
      </c>
      <c r="E51" s="9">
        <f>E50/I50</f>
        <v>0.24642857142857144</v>
      </c>
      <c r="F51" s="9">
        <f>F50/I50</f>
        <v>7.1428571428571426E-3</v>
      </c>
      <c r="G51" s="9">
        <f>G50/I50</f>
        <v>0.35714285714285715</v>
      </c>
      <c r="H51" s="5"/>
      <c r="I51" s="5"/>
    </row>
    <row r="52" spans="2:9" x14ac:dyDescent="0.2">
      <c r="B52" s="13" t="s">
        <v>59</v>
      </c>
      <c r="C52" s="8">
        <f>C30*H30+C31*H31+C32*H32+C33*H33+C34*H34+C35*H35+C36*H36+C37*H37+C38*H38+C39*H39+C40*H40+C41*H41+C42*H42+C43*H43+C44*H44+C45*H45+C46*H46+C47*H47+C48*H48+C49*H49</f>
        <v>108</v>
      </c>
      <c r="D52" s="8">
        <f>D30*H30+D31*H31+D32*H32+D33*H33+D34*H34+D35*H35+D36*H36+D37*H37+D38*H38+D39*H39+D40*H40+D41*H41+D42*H42+D43*H43+D44*H44+D45*H45+D46*H46+D47*H47+D48*H48+D49*H49</f>
        <v>32</v>
      </c>
      <c r="E52" s="8">
        <f>E30*H30+E31*H31+E32*H32+E33*H33+E34*H34+E35*H35</f>
        <v>100</v>
      </c>
      <c r="F52" s="8">
        <f>H30*F30+H31*F31+H33*F33+H34*F34+H35*F35</f>
        <v>64</v>
      </c>
      <c r="G52" s="8">
        <f>H30*G30+H31*G31+H32*G33+H33+H34*G34</f>
        <v>85</v>
      </c>
      <c r="H52" s="5"/>
      <c r="I52" s="8">
        <f>SUM(C52:G52)</f>
        <v>389</v>
      </c>
    </row>
    <row r="53" spans="2:9" x14ac:dyDescent="0.2">
      <c r="B53" s="13" t="s">
        <v>61</v>
      </c>
      <c r="C53" s="9">
        <f>C52/I52</f>
        <v>0.27763496143958871</v>
      </c>
      <c r="D53" s="9">
        <f>D52/I52</f>
        <v>8.2262210796915161E-2</v>
      </c>
      <c r="E53" s="9">
        <f>E52/I52</f>
        <v>0.25706940874035988</v>
      </c>
      <c r="F53" s="9">
        <f>F52/I52</f>
        <v>0.16452442159383032</v>
      </c>
      <c r="G53" s="9">
        <f>G52/I52</f>
        <v>0.21850899742930591</v>
      </c>
      <c r="H53" s="5"/>
      <c r="I53" s="5"/>
    </row>
    <row r="54" spans="2:9" x14ac:dyDescent="0.2">
      <c r="B54" s="6"/>
      <c r="C54" s="3"/>
      <c r="D54" s="3"/>
      <c r="E54" s="3"/>
      <c r="F54" s="3"/>
      <c r="G54" s="3"/>
      <c r="H54" s="3"/>
    </row>
    <row r="56" spans="2:9" x14ac:dyDescent="0.2">
      <c r="B56" s="16" t="s">
        <v>58</v>
      </c>
      <c r="C56" s="17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F819-6599-8149-BC21-A96B80CA6951}">
  <dimension ref="B4:E11"/>
  <sheetViews>
    <sheetView workbookViewId="0">
      <selection activeCell="B7" sqref="B7:E11"/>
    </sheetView>
  </sheetViews>
  <sheetFormatPr baseColWidth="10" defaultRowHeight="16" x14ac:dyDescent="0.2"/>
  <sheetData>
    <row r="4" spans="2:5" x14ac:dyDescent="0.2">
      <c r="B4" s="48" t="s">
        <v>13</v>
      </c>
      <c r="C4" s="50"/>
      <c r="D4" s="50"/>
      <c r="E4" s="50"/>
    </row>
    <row r="5" spans="2:5" ht="17" thickBot="1" x14ac:dyDescent="0.25">
      <c r="B5" s="49"/>
      <c r="C5" s="51"/>
      <c r="D5" s="51"/>
      <c r="E5" s="51"/>
    </row>
    <row r="6" spans="2:5" ht="17" thickBot="1" x14ac:dyDescent="0.25">
      <c r="B6" s="28" t="s">
        <v>0</v>
      </c>
      <c r="C6" s="29" t="s">
        <v>7</v>
      </c>
      <c r="D6" s="29" t="s">
        <v>8</v>
      </c>
      <c r="E6" s="29" t="s">
        <v>9</v>
      </c>
    </row>
    <row r="7" spans="2:5" ht="17" thickBot="1" x14ac:dyDescent="0.25">
      <c r="B7" s="30" t="s">
        <v>2</v>
      </c>
      <c r="C7" s="31">
        <v>57.247312999999998</v>
      </c>
      <c r="D7" s="31">
        <v>57.232492999999998</v>
      </c>
      <c r="E7" s="32" t="s">
        <v>10</v>
      </c>
    </row>
    <row r="8" spans="2:5" ht="17" thickBot="1" x14ac:dyDescent="0.25">
      <c r="B8" s="30" t="s">
        <v>3</v>
      </c>
      <c r="C8" s="31">
        <v>14.207943</v>
      </c>
      <c r="D8" s="31">
        <v>14.202747</v>
      </c>
      <c r="E8" s="31">
        <v>4.0292500000000002</v>
      </c>
    </row>
    <row r="9" spans="2:5" ht="17" thickBot="1" x14ac:dyDescent="0.25">
      <c r="B9" s="30" t="s">
        <v>4</v>
      </c>
      <c r="C9" s="31">
        <v>9.9204650000000001</v>
      </c>
      <c r="D9" s="31">
        <v>9.9147409999999994</v>
      </c>
      <c r="E9" s="31">
        <v>1.4321600000000001</v>
      </c>
    </row>
    <row r="10" spans="2:5" ht="17" thickBot="1" x14ac:dyDescent="0.25">
      <c r="B10" s="30" t="s">
        <v>5</v>
      </c>
      <c r="C10" s="31">
        <v>7.8390810000000002</v>
      </c>
      <c r="D10" s="31">
        <v>7.8350169999999997</v>
      </c>
      <c r="E10" s="31">
        <v>1.2655099999999999</v>
      </c>
    </row>
    <row r="11" spans="2:5" ht="17" thickBot="1" x14ac:dyDescent="0.25">
      <c r="B11" s="30" t="s">
        <v>79</v>
      </c>
      <c r="C11" s="31">
        <v>7.8318719999999997</v>
      </c>
      <c r="D11" s="31">
        <v>7.8278189999999999</v>
      </c>
      <c r="E11" s="31">
        <v>1.00092</v>
      </c>
    </row>
  </sheetData>
  <mergeCells count="4">
    <mergeCell ref="B4:B5"/>
    <mergeCell ref="C4:C5"/>
    <mergeCell ref="D4:D5"/>
    <mergeCell ref="E4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Cornell Univ. Code</vt:lpstr>
      <vt:lpstr>My Code</vt:lpstr>
      <vt:lpstr>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Carcan</dc:creator>
  <cp:lastModifiedBy>Adrià Carcan</cp:lastModifiedBy>
  <dcterms:created xsi:type="dcterms:W3CDTF">2021-06-25T07:52:35Z</dcterms:created>
  <dcterms:modified xsi:type="dcterms:W3CDTF">2022-03-12T23:12:34Z</dcterms:modified>
</cp:coreProperties>
</file>