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34B3E1E0-69FD-47CB-AF1F-7EE9FE4C755C}" xr6:coauthVersionLast="47" xr6:coauthVersionMax="47" xr10:uidLastSave="{00000000-0000-0000-0000-000000000000}"/>
  <bookViews>
    <workbookView xWindow="-108" yWindow="-108" windowWidth="30936" windowHeight="16896" xr2:uid="{0CC84E26-4E15-4509-9343-9894A5AA2FA4}"/>
  </bookViews>
  <sheets>
    <sheet name="07.23.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H2" i="1"/>
  <c r="H15" i="1" s="1"/>
  <c r="I2" i="1"/>
  <c r="I15" i="1" s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9" i="1"/>
  <c r="G9" i="1"/>
  <c r="H9" i="1"/>
  <c r="I9" i="1"/>
  <c r="F17" i="1"/>
  <c r="G17" i="1"/>
  <c r="H17" i="1"/>
  <c r="I17" i="1"/>
  <c r="F18" i="1"/>
  <c r="G18" i="1"/>
  <c r="G22" i="1" s="1"/>
  <c r="H18" i="1"/>
  <c r="I18" i="1"/>
  <c r="F21" i="1"/>
  <c r="G21" i="1"/>
  <c r="H21" i="1"/>
  <c r="I21" i="1"/>
  <c r="F22" i="1"/>
  <c r="H22" i="1"/>
  <c r="I22" i="1"/>
  <c r="F24" i="1"/>
  <c r="F29" i="1" s="1"/>
  <c r="G24" i="1"/>
  <c r="H24" i="1"/>
  <c r="I24" i="1"/>
  <c r="F25" i="1"/>
  <c r="G25" i="1"/>
  <c r="H25" i="1"/>
  <c r="I25" i="1"/>
  <c r="F28" i="1"/>
  <c r="G28" i="1"/>
  <c r="H28" i="1"/>
  <c r="I28" i="1"/>
  <c r="G29" i="1"/>
  <c r="H29" i="1"/>
  <c r="I29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7" i="1"/>
  <c r="G37" i="1"/>
  <c r="H37" i="1"/>
  <c r="I37" i="1"/>
  <c r="F38" i="1"/>
  <c r="G38" i="1"/>
  <c r="H38" i="1"/>
  <c r="I38" i="1"/>
  <c r="F41" i="1"/>
  <c r="G41" i="1"/>
  <c r="H41" i="1"/>
  <c r="I41" i="1"/>
  <c r="F42" i="1"/>
  <c r="G42" i="1"/>
  <c r="H42" i="1"/>
  <c r="I42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N2" i="1" l="1"/>
  <c r="N6" i="1" s="1"/>
  <c r="M2" i="1"/>
  <c r="M6" i="1" s="1"/>
  <c r="G15" i="1"/>
  <c r="F15" i="1"/>
  <c r="K2" i="1" s="1"/>
  <c r="N7" i="1" s="1"/>
  <c r="N8" i="1" s="1"/>
  <c r="L2" i="1"/>
  <c r="L6" i="1" s="1"/>
  <c r="N5" i="1" l="1"/>
  <c r="L4" i="1"/>
  <c r="M4" i="1" l="1"/>
  <c r="N4" i="1"/>
</calcChain>
</file>

<file path=xl/sharedStrings.xml><?xml version="1.0" encoding="utf-8"?>
<sst xmlns="http://schemas.openxmlformats.org/spreadsheetml/2006/main" count="81" uniqueCount="36">
  <si>
    <t>50 grams</t>
  </si>
  <si>
    <t>Baby Spinach</t>
  </si>
  <si>
    <t>Mushroom</t>
  </si>
  <si>
    <t>170 grams</t>
  </si>
  <si>
    <t>Carrot</t>
  </si>
  <si>
    <t>70 grams</t>
  </si>
  <si>
    <t>White Rice (Mahatma)</t>
  </si>
  <si>
    <t>227 grams</t>
  </si>
  <si>
    <t>Ground Chicken</t>
  </si>
  <si>
    <t>Meal</t>
  </si>
  <si>
    <t>200 grams</t>
  </si>
  <si>
    <t>Strawberry</t>
  </si>
  <si>
    <t>100 grams</t>
  </si>
  <si>
    <t>Banana</t>
  </si>
  <si>
    <t>36 grams</t>
  </si>
  <si>
    <t>Whey Protein</t>
  </si>
  <si>
    <t>2 grams</t>
  </si>
  <si>
    <t>Ground Cinnamon</t>
  </si>
  <si>
    <t>240 mL</t>
  </si>
  <si>
    <t>Almond Milk (Blue Diamond)</t>
  </si>
  <si>
    <t>140 grams</t>
  </si>
  <si>
    <t>Fish Oil Pill</t>
  </si>
  <si>
    <t>3 mL</t>
  </si>
  <si>
    <t>Olive Oil</t>
  </si>
  <si>
    <t>25 grams</t>
  </si>
  <si>
    <t>Oatmeal (HEB, Steel-Cut)</t>
  </si>
  <si>
    <t>40 mL</t>
  </si>
  <si>
    <t>92 grams</t>
  </si>
  <si>
    <t>Liquid Egg Whites</t>
  </si>
  <si>
    <t>Large Brown Eggs (Central Market)</t>
  </si>
  <si>
    <t>Protein</t>
  </si>
  <si>
    <t>Carb</t>
  </si>
  <si>
    <t>Fat</t>
  </si>
  <si>
    <t>Calorie</t>
  </si>
  <si>
    <t>Quantity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</si>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</sst>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2" fillId="0" borderId="0" xfId="0" applyNumberFormat="1" applyFont="1"/>
    <xf numFmtId="1" fontId="0" fillId="3" borderId="0" xfId="0" applyNumberFormat="1" applyFill="1"/>
    <xf numFmtId="1" fontId="2" fillId="3" borderId="0" xfId="0" applyNumberFormat="1" applyFont="1" applyFill="1" applyAlignment="1">
      <alignment horizontal="center"/>
    </xf>
    <xf numFmtId="9" fontId="2" fillId="4" borderId="0" xfId="2" applyFont="1" applyFill="1" applyAlignment="1">
      <alignment horizontal="center"/>
    </xf>
    <xf numFmtId="165" fontId="0" fillId="0" borderId="0" xfId="1" applyNumberFormat="1" applyFont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3" fillId="0" borderId="3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rgb="FF00B050"/>
        </patternFill>
      </fill>
    </dxf>
    <dxf>
      <fill>
        <patternFill>
          <bgColor rgb="FFFF29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838B-A57D-4ECE-908D-B838736B18EE}">
  <dimension ref="C1:N50"/>
  <sheetViews>
    <sheetView tabSelected="1" zoomScaleNormal="100" workbookViewId="0">
      <pane ySplit="1" topLeftCell="A2" activePane="bottomLeft" state="frozen"/>
      <selection activeCell="I27" sqref="I27"/>
      <selection pane="bottomLeft" activeCell="I35" sqref="I35"/>
    </sheetView>
  </sheetViews>
  <sheetFormatPr defaultColWidth="10.5546875" defaultRowHeight="14.4" x14ac:dyDescent="0.3"/>
  <cols>
    <col min="2" max="2" width="10.44140625" customWidth="1"/>
    <col min="3" max="3" width="10.44140625" bestFit="1" customWidth="1"/>
    <col min="4" max="4" width="29.5546875" style="1" bestFit="1" customWidth="1"/>
    <col min="5" max="5" width="9.33203125" style="1" bestFit="1" customWidth="1"/>
    <col min="6" max="6" width="7" bestFit="1" customWidth="1"/>
    <col min="7" max="7" width="5" bestFit="1" customWidth="1"/>
    <col min="8" max="8" width="4.88671875" bestFit="1" customWidth="1"/>
    <col min="9" max="9" width="7.109375" bestFit="1" customWidth="1"/>
    <col min="11" max="11" width="7.33203125" bestFit="1" customWidth="1"/>
    <col min="12" max="13" width="5.109375" bestFit="1" customWidth="1"/>
    <col min="14" max="14" width="7.109375" bestFit="1" customWidth="1"/>
  </cols>
  <sheetData>
    <row r="1" spans="3:14" x14ac:dyDescent="0.3">
      <c r="C1" s="13"/>
      <c r="D1" s="12" t="s">
        <v>35</v>
      </c>
      <c r="E1" s="12" t="s">
        <v>34</v>
      </c>
      <c r="F1" s="12" t="s">
        <v>33</v>
      </c>
      <c r="G1" s="12" t="s">
        <v>32</v>
      </c>
      <c r="H1" s="12" t="s">
        <v>31</v>
      </c>
      <c r="I1" s="12" t="s">
        <v>30</v>
      </c>
      <c r="K1" s="11" t="s">
        <v>33</v>
      </c>
      <c r="L1" s="11" t="s">
        <v>32</v>
      </c>
      <c r="M1" s="11" t="s">
        <v>31</v>
      </c>
      <c r="N1" s="11" t="s">
        <v>30</v>
      </c>
    </row>
    <row r="2" spans="3:14" x14ac:dyDescent="0.3">
      <c r="C2" s="3" t="s">
        <v>9</v>
      </c>
      <c r="D2" s="1" t="s">
        <v>29</v>
      </c>
      <c r="E2" s="1" t="s">
        <v>12</v>
      </c>
      <c r="F2">
        <f>(((((((70*(206/50))*(213/206))*(206/213))*(200/206))*(250/200))*(200/250))*(150/200))*(100/150)</f>
        <v>140.00000000000003</v>
      </c>
      <c r="G2">
        <f>(((((((5*(206/50))*(213/206))*(206/213))*(200/206))*(250/200))*(200/250))*(150/200))*(100/150)</f>
        <v>10</v>
      </c>
      <c r="H2">
        <f>(((((((0*(206/50))*(213/206))*(206/213))*(200/206))*(250/200))*(200/250))*(150/200))*(100/150)</f>
        <v>0</v>
      </c>
      <c r="I2">
        <f>(((((((6*(206/50))*(213/206))*(206/213))*(200/206))*(250/200))*(200/250))*(150/200))*(100/150)</f>
        <v>12</v>
      </c>
      <c r="K2" s="10">
        <f>ROUND(SUBTOTAL(9,F:F),0)</f>
        <v>3134</v>
      </c>
      <c r="L2" s="10">
        <f>ROUND(SUBTOTAL(9,G:G),0)</f>
        <v>75</v>
      </c>
      <c r="M2" s="10">
        <f>ROUND(SUBTOTAL(9,H:H),0)</f>
        <v>406</v>
      </c>
      <c r="N2" s="10">
        <f>ROUND(SUBTOTAL(9,I:I),0)</f>
        <v>210</v>
      </c>
    </row>
    <row r="3" spans="3:14" x14ac:dyDescent="0.3">
      <c r="C3" s="3"/>
      <c r="D3" s="1" t="s">
        <v>28</v>
      </c>
      <c r="E3" s="1" t="s">
        <v>27</v>
      </c>
      <c r="F3">
        <f>25*(92/46)</f>
        <v>50</v>
      </c>
      <c r="G3">
        <f>0*(92/46)</f>
        <v>0</v>
      </c>
      <c r="H3">
        <f>0*(92/46)</f>
        <v>0</v>
      </c>
      <c r="I3">
        <f>5*(92/46)</f>
        <v>10</v>
      </c>
    </row>
    <row r="4" spans="3:14" x14ac:dyDescent="0.3">
      <c r="C4" s="3"/>
      <c r="D4" s="1" t="s">
        <v>19</v>
      </c>
      <c r="E4" s="1" t="s">
        <v>26</v>
      </c>
      <c r="F4">
        <f>(((30*(6/8))*(5/6))*(8/5))*(40/240)</f>
        <v>5</v>
      </c>
      <c r="G4">
        <f>(((2.5*(6/8))*(5/6))*(8/5))*(40/240)</f>
        <v>0.41666666666666663</v>
      </c>
      <c r="H4">
        <f>(((1*(6/8))*(5/6))*(8/5))*(40/240)</f>
        <v>0.16666666666666666</v>
      </c>
      <c r="I4">
        <f>(((1*(6/8))*(5/6))*(8/5))*(40/240)</f>
        <v>0.16666666666666666</v>
      </c>
      <c r="L4" s="9">
        <f>L6/$N$5</f>
        <v>0.21503663587129659</v>
      </c>
      <c r="M4" s="9">
        <f>M6/$N$5</f>
        <v>0.51736221726664544</v>
      </c>
      <c r="N4" s="9">
        <f>N6/$N$5</f>
        <v>0.26760114686205799</v>
      </c>
    </row>
    <row r="5" spans="3:14" x14ac:dyDescent="0.3">
      <c r="C5" s="3"/>
      <c r="D5" s="1" t="s">
        <v>25</v>
      </c>
      <c r="E5" s="1" t="s">
        <v>0</v>
      </c>
      <c r="F5">
        <f>150*(50/40)</f>
        <v>187.5</v>
      </c>
      <c r="G5">
        <f>2.5*(50/40)</f>
        <v>3.125</v>
      </c>
      <c r="H5">
        <f>27*(50/40)</f>
        <v>33.75</v>
      </c>
      <c r="I5">
        <f>5*(50/40)</f>
        <v>6.25</v>
      </c>
      <c r="N5" s="8">
        <f>SUM(L6:N6)</f>
        <v>3139</v>
      </c>
    </row>
    <row r="6" spans="3:14" x14ac:dyDescent="0.3">
      <c r="C6" s="3"/>
      <c r="D6" s="1" t="s">
        <v>1</v>
      </c>
      <c r="E6" s="1" t="s">
        <v>24</v>
      </c>
      <c r="F6">
        <f>((27)*(50/100))*(25/50)</f>
        <v>6.75</v>
      </c>
      <c r="G6">
        <f>((0.62)*(50/100))*(25/50)</f>
        <v>0.155</v>
      </c>
      <c r="H6">
        <f>((2.41)*(50/100))*(25/50)</f>
        <v>0.60250000000000004</v>
      </c>
      <c r="I6">
        <f>((2.85)*(50/100))*(25/50)</f>
        <v>0.71250000000000002</v>
      </c>
      <c r="L6" s="7">
        <f>+L2*9</f>
        <v>675</v>
      </c>
      <c r="M6" s="7">
        <f>M2*4</f>
        <v>1624</v>
      </c>
      <c r="N6" s="7">
        <f>N2*4</f>
        <v>840</v>
      </c>
    </row>
    <row r="7" spans="3:14" x14ac:dyDescent="0.3">
      <c r="C7" s="3"/>
      <c r="D7" s="1" t="s">
        <v>2</v>
      </c>
      <c r="E7" s="1" t="s">
        <v>0</v>
      </c>
      <c r="F7">
        <f>((31*(112/100))*(25/112))*(50/25)</f>
        <v>15.500000000000004</v>
      </c>
      <c r="G7">
        <f>((0.37*(112/100))*(25/112))*(50/25)</f>
        <v>0.18500000000000003</v>
      </c>
      <c r="H7">
        <f>((4.08*(112/100))*(25/112))*(50/25)</f>
        <v>2.04</v>
      </c>
      <c r="I7">
        <f>((2.89*(112/100))*(25/112))*(50/25)</f>
        <v>1.4450000000000003</v>
      </c>
      <c r="N7" s="6">
        <f>SUM(L6:N6)-K2</f>
        <v>5</v>
      </c>
    </row>
    <row r="8" spans="3:14" x14ac:dyDescent="0.3">
      <c r="C8" s="3"/>
      <c r="D8" s="1" t="s">
        <v>4</v>
      </c>
      <c r="E8" s="1" t="s">
        <v>12</v>
      </c>
      <c r="F8">
        <v>48</v>
      </c>
      <c r="G8">
        <v>0.35</v>
      </c>
      <c r="H8">
        <v>10.3</v>
      </c>
      <c r="I8">
        <v>0.94</v>
      </c>
      <c r="N8" t="str">
        <f>IF(N7&lt;0,"Overstated",IF(N7&gt;0,"Understated","On Point"))</f>
        <v>Understated</v>
      </c>
    </row>
    <row r="9" spans="3:14" x14ac:dyDescent="0.3">
      <c r="C9" s="3"/>
      <c r="D9" s="1" t="s">
        <v>23</v>
      </c>
      <c r="E9" s="1" t="s">
        <v>22</v>
      </c>
      <c r="F9">
        <f>120*(3/15)</f>
        <v>24</v>
      </c>
      <c r="G9">
        <f>14*(3/15)</f>
        <v>2.8000000000000003</v>
      </c>
      <c r="H9">
        <f>0*(3/15)</f>
        <v>0</v>
      </c>
      <c r="I9">
        <f>0*(3/15)</f>
        <v>0</v>
      </c>
    </row>
    <row r="10" spans="3:14" x14ac:dyDescent="0.3">
      <c r="C10" s="3"/>
      <c r="D10" s="5"/>
      <c r="E10" s="5"/>
      <c r="F10" s="4"/>
      <c r="G10" s="4"/>
      <c r="H10" s="4"/>
      <c r="I10" s="4"/>
    </row>
    <row r="11" spans="3:14" x14ac:dyDescent="0.3">
      <c r="C11" s="3"/>
      <c r="D11" s="5"/>
      <c r="E11" s="5"/>
      <c r="F11" s="4"/>
      <c r="G11" s="4"/>
      <c r="H11" s="4"/>
      <c r="I11" s="4"/>
    </row>
    <row r="12" spans="3:14" x14ac:dyDescent="0.3">
      <c r="C12" s="3"/>
      <c r="D12" s="5"/>
      <c r="E12" s="5"/>
      <c r="F12" s="4"/>
      <c r="G12" s="4"/>
      <c r="H12" s="4"/>
      <c r="I12" s="4"/>
    </row>
    <row r="13" spans="3:14" x14ac:dyDescent="0.3">
      <c r="C13" s="3"/>
      <c r="D13" s="5"/>
      <c r="E13" s="5"/>
      <c r="F13" s="4"/>
      <c r="G13" s="4"/>
      <c r="H13" s="4"/>
      <c r="I13" s="4"/>
    </row>
    <row r="14" spans="3:14" x14ac:dyDescent="0.3">
      <c r="C14" s="3"/>
      <c r="D14" s="1" t="s">
        <v>21</v>
      </c>
      <c r="E14" s="1">
        <v>3</v>
      </c>
      <c r="F14">
        <v>30</v>
      </c>
      <c r="G14">
        <v>3</v>
      </c>
      <c r="H14">
        <v>0</v>
      </c>
      <c r="I14">
        <v>0</v>
      </c>
    </row>
    <row r="15" spans="3:14" ht="15" thickBot="1" x14ac:dyDescent="0.35">
      <c r="F15" s="2">
        <f>SUBTOTAL(9,F2:F14)</f>
        <v>506.75</v>
      </c>
      <c r="G15" s="2">
        <f>SUBTOTAL(9,G2:G14)</f>
        <v>20.031666666666666</v>
      </c>
      <c r="H15" s="2">
        <f>SUBTOTAL(9,H2:H14)</f>
        <v>46.859166666666667</v>
      </c>
      <c r="I15" s="2">
        <f>SUBTOTAL(9,I2:I14)</f>
        <v>31.514166666666668</v>
      </c>
    </row>
    <row r="16" spans="3:14" ht="15" thickTop="1" x14ac:dyDescent="0.3"/>
    <row r="17" spans="3:9" x14ac:dyDescent="0.3">
      <c r="C17" s="3" t="s">
        <v>9</v>
      </c>
      <c r="D17" s="1" t="s">
        <v>19</v>
      </c>
      <c r="E17" s="1" t="s">
        <v>18</v>
      </c>
      <c r="F17">
        <f>((30*(6/8))*(5/6))*(8/5)</f>
        <v>30</v>
      </c>
      <c r="G17">
        <f>((2.5*(6/8))*(5/6))*(8/5)</f>
        <v>2.5</v>
      </c>
      <c r="H17">
        <f>((1*(6/8))*(5/6))*(8/5)</f>
        <v>1</v>
      </c>
      <c r="I17">
        <f>((1*(6/8))*(5/6))*(8/5)</f>
        <v>1</v>
      </c>
    </row>
    <row r="18" spans="3:9" x14ac:dyDescent="0.3">
      <c r="C18" s="3"/>
      <c r="D18" s="1" t="s">
        <v>17</v>
      </c>
      <c r="E18" s="1" t="s">
        <v>16</v>
      </c>
      <c r="F18">
        <f>(247*(1/100))*(2/1)</f>
        <v>4.9400000000000004</v>
      </c>
      <c r="G18">
        <f>(1.24*(1/100))*(2/1)</f>
        <v>2.4799999999999999E-2</v>
      </c>
      <c r="H18">
        <f>(80.6*(1/100))*(2/1)</f>
        <v>1.6119999999999999</v>
      </c>
      <c r="I18">
        <f>(3.99*(1/100))*(2/1)</f>
        <v>7.980000000000001E-2</v>
      </c>
    </row>
    <row r="19" spans="3:9" x14ac:dyDescent="0.3">
      <c r="C19" s="3"/>
      <c r="D19" s="1" t="s">
        <v>15</v>
      </c>
      <c r="E19" s="1" t="s">
        <v>14</v>
      </c>
      <c r="F19">
        <v>140</v>
      </c>
      <c r="G19">
        <v>2.5</v>
      </c>
      <c r="H19">
        <v>9</v>
      </c>
      <c r="I19">
        <v>20</v>
      </c>
    </row>
    <row r="20" spans="3:9" x14ac:dyDescent="0.3">
      <c r="C20" s="3"/>
      <c r="D20" s="1" t="s">
        <v>13</v>
      </c>
      <c r="E20" s="1" t="s">
        <v>12</v>
      </c>
      <c r="F20">
        <v>98</v>
      </c>
      <c r="G20">
        <v>0.28999999999999998</v>
      </c>
      <c r="H20">
        <v>23</v>
      </c>
      <c r="I20">
        <v>0.74</v>
      </c>
    </row>
    <row r="21" spans="3:9" x14ac:dyDescent="0.3">
      <c r="C21" s="3"/>
      <c r="D21" s="1" t="s">
        <v>11</v>
      </c>
      <c r="E21" s="1" t="s">
        <v>10</v>
      </c>
      <c r="F21">
        <f>36*(200/100)</f>
        <v>72</v>
      </c>
      <c r="G21">
        <f>0.22*(200/100)</f>
        <v>0.44</v>
      </c>
      <c r="H21">
        <f>7.96*(200/100)</f>
        <v>15.92</v>
      </c>
      <c r="I21">
        <f>0.64*(200/100)</f>
        <v>1.28</v>
      </c>
    </row>
    <row r="22" spans="3:9" ht="15" thickBot="1" x14ac:dyDescent="0.35">
      <c r="F22" s="2">
        <f>SUBTOTAL(9,F17:F21)</f>
        <v>344.94</v>
      </c>
      <c r="G22" s="2">
        <f>SUBTOTAL(9,G17:G21)</f>
        <v>5.7548000000000004</v>
      </c>
      <c r="H22" s="2">
        <f>SUBTOTAL(9,H17:H21)</f>
        <v>50.532000000000004</v>
      </c>
      <c r="I22" s="2">
        <f>SUBTOTAL(9,I17:I21)</f>
        <v>23.099799999999998</v>
      </c>
    </row>
    <row r="23" spans="3:9" ht="15" thickTop="1" x14ac:dyDescent="0.3"/>
    <row r="24" spans="3:9" x14ac:dyDescent="0.3">
      <c r="C24" s="3" t="s">
        <v>9</v>
      </c>
      <c r="D24" s="1" t="s">
        <v>19</v>
      </c>
      <c r="E24" s="1" t="s">
        <v>18</v>
      </c>
      <c r="F24">
        <f>((30*(6/8))*(5/6))*(8/5)</f>
        <v>30</v>
      </c>
      <c r="G24">
        <f>((2.5*(6/8))*(5/6))*(8/5)</f>
        <v>2.5</v>
      </c>
      <c r="H24">
        <f>((1*(6/8))*(5/6))*(8/5)</f>
        <v>1</v>
      </c>
      <c r="I24">
        <f>((1*(6/8))*(5/6))*(8/5)</f>
        <v>1</v>
      </c>
    </row>
    <row r="25" spans="3:9" x14ac:dyDescent="0.3">
      <c r="C25" s="3"/>
      <c r="D25" s="1" t="s">
        <v>17</v>
      </c>
      <c r="E25" s="1" t="s">
        <v>16</v>
      </c>
      <c r="F25">
        <f>(247*(1/100))*(2/1)</f>
        <v>4.9400000000000004</v>
      </c>
      <c r="G25">
        <f>(1.24*(1/100))*(2/1)</f>
        <v>2.4799999999999999E-2</v>
      </c>
      <c r="H25">
        <f>(80.6*(1/100))*(2/1)</f>
        <v>1.6119999999999999</v>
      </c>
      <c r="I25">
        <f>(3.99*(1/100))*(2/1)</f>
        <v>7.980000000000001E-2</v>
      </c>
    </row>
    <row r="26" spans="3:9" x14ac:dyDescent="0.3">
      <c r="C26" s="3"/>
      <c r="D26" s="1" t="s">
        <v>15</v>
      </c>
      <c r="E26" s="1" t="s">
        <v>14</v>
      </c>
      <c r="F26">
        <v>140</v>
      </c>
      <c r="G26">
        <v>2.5</v>
      </c>
      <c r="H26">
        <v>9</v>
      </c>
      <c r="I26">
        <v>20</v>
      </c>
    </row>
    <row r="27" spans="3:9" x14ac:dyDescent="0.3">
      <c r="C27" s="3"/>
      <c r="D27" s="1" t="s">
        <v>13</v>
      </c>
      <c r="E27" s="1" t="s">
        <v>12</v>
      </c>
      <c r="F27">
        <v>98</v>
      </c>
      <c r="G27">
        <v>0.28999999999999998</v>
      </c>
      <c r="H27">
        <v>23</v>
      </c>
      <c r="I27">
        <v>0.74</v>
      </c>
    </row>
    <row r="28" spans="3:9" x14ac:dyDescent="0.3">
      <c r="C28" s="3"/>
      <c r="D28" s="1" t="s">
        <v>11</v>
      </c>
      <c r="E28" s="1" t="s">
        <v>10</v>
      </c>
      <c r="F28">
        <f>36*(200/100)</f>
        <v>72</v>
      </c>
      <c r="G28">
        <f>0.22*(200/100)</f>
        <v>0.44</v>
      </c>
      <c r="H28">
        <f>7.96*(200/100)</f>
        <v>15.92</v>
      </c>
      <c r="I28">
        <f>0.64*(200/100)</f>
        <v>1.28</v>
      </c>
    </row>
    <row r="29" spans="3:9" ht="15" thickBot="1" x14ac:dyDescent="0.35">
      <c r="F29" s="2">
        <f>SUBTOTAL(9,F24:F28)</f>
        <v>344.94</v>
      </c>
      <c r="G29" s="2">
        <f>SUBTOTAL(9,G24:G28)</f>
        <v>5.7548000000000004</v>
      </c>
      <c r="H29" s="2">
        <f>SUBTOTAL(9,H24:H28)</f>
        <v>50.532000000000004</v>
      </c>
      <c r="I29" s="2">
        <f>SUBTOTAL(9,I24:I28)</f>
        <v>23.099799999999998</v>
      </c>
    </row>
    <row r="30" spans="3:9" ht="15" thickTop="1" x14ac:dyDescent="0.3"/>
    <row r="31" spans="3:9" x14ac:dyDescent="0.3">
      <c r="C31" s="3" t="s">
        <v>9</v>
      </c>
      <c r="D31" s="1" t="s">
        <v>8</v>
      </c>
      <c r="E31" s="1" t="s">
        <v>7</v>
      </c>
      <c r="F31">
        <v>320</v>
      </c>
      <c r="G31">
        <v>18</v>
      </c>
      <c r="H31">
        <v>0</v>
      </c>
      <c r="I31">
        <v>44</v>
      </c>
    </row>
    <row r="32" spans="3:9" x14ac:dyDescent="0.3">
      <c r="C32" s="3"/>
      <c r="D32" s="1" t="s">
        <v>6</v>
      </c>
      <c r="E32" s="1" t="s">
        <v>20</v>
      </c>
      <c r="F32">
        <f>(((160*(71/45))*(81/71))*(70/81))*(140/70)</f>
        <v>497.77777777777777</v>
      </c>
      <c r="G32">
        <f>(((0*(71/45))*(81/71))*(70/81))*(140/70)</f>
        <v>0</v>
      </c>
      <c r="H32">
        <f>(((36*(71/45))*(81/71))*(70/81))*(140/70)</f>
        <v>111.99999999999999</v>
      </c>
      <c r="I32">
        <f>(((3*(71/45))*(81/71))*(70/81))*(140/70)</f>
        <v>9.3333333333333339</v>
      </c>
    </row>
    <row r="33" spans="3:9" x14ac:dyDescent="0.3">
      <c r="C33" s="3"/>
      <c r="D33" s="1" t="s">
        <v>4</v>
      </c>
      <c r="E33" s="1" t="s">
        <v>3</v>
      </c>
      <c r="F33">
        <f>48*(170/100)</f>
        <v>81.599999999999994</v>
      </c>
      <c r="G33">
        <f>0.35*(170/100)</f>
        <v>0.59499999999999997</v>
      </c>
      <c r="H33">
        <f>10.3*(170/100)</f>
        <v>17.510000000000002</v>
      </c>
      <c r="I33">
        <f>0.94*(170/100)</f>
        <v>1.5979999999999999</v>
      </c>
    </row>
    <row r="34" spans="3:9" x14ac:dyDescent="0.3">
      <c r="C34" s="3"/>
      <c r="D34" s="1" t="s">
        <v>1</v>
      </c>
      <c r="E34" s="1" t="s">
        <v>0</v>
      </c>
      <c r="F34">
        <f>(((27)*(50/100))*(100/50))*(50/100)</f>
        <v>13.5</v>
      </c>
      <c r="G34">
        <f>(((0.62)*(50/100))*(100/50))*(50/100)</f>
        <v>0.31</v>
      </c>
      <c r="H34">
        <f>(((2.41)*(50/100))*(100/50))*(50/100)</f>
        <v>1.2050000000000001</v>
      </c>
      <c r="I34">
        <f>(((2.85)*(50/100))*(100/50))*(50/100)</f>
        <v>1.425</v>
      </c>
    </row>
    <row r="35" spans="3:9" ht="15" thickBot="1" x14ac:dyDescent="0.35">
      <c r="F35" s="2">
        <f>SUBTOTAL(9,F31:F34)</f>
        <v>912.87777777777785</v>
      </c>
      <c r="G35" s="2">
        <f>SUBTOTAL(9,G31:G34)</f>
        <v>18.904999999999998</v>
      </c>
      <c r="H35" s="2">
        <f>SUBTOTAL(9,H31:H34)</f>
        <v>130.715</v>
      </c>
      <c r="I35" s="2">
        <f>SUBTOTAL(9,I31:I34)</f>
        <v>56.356333333333332</v>
      </c>
    </row>
    <row r="36" spans="3:9" ht="15" thickTop="1" x14ac:dyDescent="0.3"/>
    <row r="37" spans="3:9" x14ac:dyDescent="0.3">
      <c r="C37" s="3" t="s">
        <v>9</v>
      </c>
      <c r="D37" s="1" t="s">
        <v>19</v>
      </c>
      <c r="E37" s="1" t="s">
        <v>18</v>
      </c>
      <c r="F37">
        <f>((30*(6/8))*(5/6))*(8/5)</f>
        <v>30</v>
      </c>
      <c r="G37">
        <f>((2.5*(6/8))*(5/6))*(8/5)</f>
        <v>2.5</v>
      </c>
      <c r="H37">
        <f>((1*(6/8))*(5/6))*(8/5)</f>
        <v>1</v>
      </c>
      <c r="I37">
        <f>((1*(6/8))*(5/6))*(8/5)</f>
        <v>1</v>
      </c>
    </row>
    <row r="38" spans="3:9" x14ac:dyDescent="0.3">
      <c r="C38" s="3"/>
      <c r="D38" s="1" t="s">
        <v>17</v>
      </c>
      <c r="E38" s="1" t="s">
        <v>16</v>
      </c>
      <c r="F38">
        <f>(247*(1/100))*(2/1)</f>
        <v>4.9400000000000004</v>
      </c>
      <c r="G38">
        <f>(1.24*(1/100))*(2/1)</f>
        <v>2.4799999999999999E-2</v>
      </c>
      <c r="H38">
        <f>(80.6*(1/100))*(2/1)</f>
        <v>1.6119999999999999</v>
      </c>
      <c r="I38">
        <f>(3.99*(1/100))*(2/1)</f>
        <v>7.980000000000001E-2</v>
      </c>
    </row>
    <row r="39" spans="3:9" x14ac:dyDescent="0.3">
      <c r="C39" s="3"/>
      <c r="D39" s="1" t="s">
        <v>15</v>
      </c>
      <c r="E39" s="1" t="s">
        <v>14</v>
      </c>
      <c r="F39">
        <v>140</v>
      </c>
      <c r="G39">
        <v>2.5</v>
      </c>
      <c r="H39">
        <v>9</v>
      </c>
      <c r="I39">
        <v>20</v>
      </c>
    </row>
    <row r="40" spans="3:9" x14ac:dyDescent="0.3">
      <c r="C40" s="3"/>
      <c r="D40" s="1" t="s">
        <v>13</v>
      </c>
      <c r="E40" s="1" t="s">
        <v>12</v>
      </c>
      <c r="F40">
        <v>98</v>
      </c>
      <c r="G40">
        <v>0.28999999999999998</v>
      </c>
      <c r="H40">
        <v>23</v>
      </c>
      <c r="I40">
        <v>0.74</v>
      </c>
    </row>
    <row r="41" spans="3:9" x14ac:dyDescent="0.3">
      <c r="C41" s="3"/>
      <c r="D41" s="1" t="s">
        <v>11</v>
      </c>
      <c r="E41" s="1" t="s">
        <v>10</v>
      </c>
      <c r="F41">
        <f>36*(200/100)</f>
        <v>72</v>
      </c>
      <c r="G41">
        <f>0.22*(200/100)</f>
        <v>0.44</v>
      </c>
      <c r="H41">
        <f>7.96*(200/100)</f>
        <v>15.92</v>
      </c>
      <c r="I41">
        <f>0.64*(200/100)</f>
        <v>1.28</v>
      </c>
    </row>
    <row r="42" spans="3:9" ht="15" thickBot="1" x14ac:dyDescent="0.35">
      <c r="F42" s="2">
        <f>SUBTOTAL(9,F37:F41)</f>
        <v>344.94</v>
      </c>
      <c r="G42" s="2">
        <f>SUBTOTAL(9,G37:G41)</f>
        <v>5.7548000000000004</v>
      </c>
      <c r="H42" s="2">
        <f>SUBTOTAL(9,H37:H41)</f>
        <v>50.532000000000004</v>
      </c>
      <c r="I42" s="2">
        <f>SUBTOTAL(9,I37:I41)</f>
        <v>23.099799999999998</v>
      </c>
    </row>
    <row r="43" spans="3:9" ht="15" thickTop="1" x14ac:dyDescent="0.3"/>
    <row r="44" spans="3:9" x14ac:dyDescent="0.3">
      <c r="C44" s="3" t="s">
        <v>9</v>
      </c>
      <c r="D44" s="1" t="s">
        <v>8</v>
      </c>
      <c r="E44" s="1" t="s">
        <v>7</v>
      </c>
      <c r="F44">
        <v>320</v>
      </c>
      <c r="G44">
        <v>18</v>
      </c>
      <c r="H44">
        <v>0</v>
      </c>
      <c r="I44">
        <v>44</v>
      </c>
    </row>
    <row r="45" spans="3:9" x14ac:dyDescent="0.3">
      <c r="C45" s="3"/>
      <c r="D45" s="1" t="s">
        <v>6</v>
      </c>
      <c r="E45" s="1" t="s">
        <v>5</v>
      </c>
      <c r="F45">
        <f>((160*(71/45))*(81/71))*(70/81)</f>
        <v>248.88888888888889</v>
      </c>
      <c r="G45">
        <f>((0*(71/45))*(81/71))*(70/81)</f>
        <v>0</v>
      </c>
      <c r="H45">
        <f>((36*(71/45))*(81/71))*(70/81)</f>
        <v>55.999999999999993</v>
      </c>
      <c r="I45">
        <f>((3*(71/45))*(81/71))*(70/81)</f>
        <v>4.666666666666667</v>
      </c>
    </row>
    <row r="46" spans="3:9" x14ac:dyDescent="0.3">
      <c r="C46" s="3"/>
      <c r="D46" s="1" t="s">
        <v>4</v>
      </c>
      <c r="E46" s="1" t="s">
        <v>3</v>
      </c>
      <c r="F46">
        <f>48*(170/100)</f>
        <v>81.599999999999994</v>
      </c>
      <c r="G46">
        <f>0.35*(170/100)</f>
        <v>0.59499999999999997</v>
      </c>
      <c r="H46">
        <f>10.3*(170/100)</f>
        <v>17.510000000000002</v>
      </c>
      <c r="I46">
        <f>0.94*(170/100)</f>
        <v>1.5979999999999999</v>
      </c>
    </row>
    <row r="47" spans="3:9" x14ac:dyDescent="0.3">
      <c r="C47" s="3"/>
      <c r="D47" s="1" t="s">
        <v>2</v>
      </c>
      <c r="E47" s="1" t="s">
        <v>0</v>
      </c>
      <c r="F47">
        <f>((31*(112/100))*(25/112))*(50/25)</f>
        <v>15.500000000000004</v>
      </c>
      <c r="G47">
        <f>((0.37*(112/100))*(25/112))*(50/25)</f>
        <v>0.18500000000000003</v>
      </c>
      <c r="H47">
        <f>((4.08*(112/100))*(25/112))*(50/25)</f>
        <v>2.04</v>
      </c>
      <c r="I47">
        <f>((2.89*(112/100))*(25/112))*(50/25)</f>
        <v>1.4450000000000003</v>
      </c>
    </row>
    <row r="48" spans="3:9" x14ac:dyDescent="0.3">
      <c r="C48" s="3"/>
      <c r="D48" s="1" t="s">
        <v>1</v>
      </c>
      <c r="E48" s="1" t="s">
        <v>0</v>
      </c>
      <c r="F48">
        <f>(((27)*(50/100))*(100/50))*(50/100)</f>
        <v>13.5</v>
      </c>
      <c r="G48">
        <f>(((0.62)*(50/100))*(100/50))*(50/100)</f>
        <v>0.31</v>
      </c>
      <c r="H48">
        <f>(((2.41)*(50/100))*(100/50))*(50/100)</f>
        <v>1.2050000000000001</v>
      </c>
      <c r="I48">
        <f>(((2.85)*(50/100))*(100/50))*(50/100)</f>
        <v>1.425</v>
      </c>
    </row>
    <row r="49" spans="6:9" ht="15" thickBot="1" x14ac:dyDescent="0.35">
      <c r="F49" s="2">
        <f>SUBTOTAL(9,F44:F48)</f>
        <v>679.48888888888894</v>
      </c>
      <c r="G49" s="2">
        <f>SUBTOTAL(9,G44:G48)</f>
        <v>19.089999999999996</v>
      </c>
      <c r="H49" s="2">
        <f>SUBTOTAL(9,H44:H48)</f>
        <v>76.754999999999995</v>
      </c>
      <c r="I49" s="2">
        <f>SUBTOTAL(9,I44:I48)</f>
        <v>53.134666666666661</v>
      </c>
    </row>
    <row r="50" spans="6:9" ht="15" thickTop="1" x14ac:dyDescent="0.3"/>
  </sheetData>
  <mergeCells count="6">
    <mergeCell ref="C44:C48"/>
    <mergeCell ref="C2:C14"/>
    <mergeCell ref="C17:C21"/>
    <mergeCell ref="C24:C28"/>
    <mergeCell ref="C31:C34"/>
    <mergeCell ref="C37:C41"/>
  </mergeCells>
  <conditionalFormatting sqref="N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07.23.25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Carter</dc:creator>
  <cp:lastModifiedBy>Alex Carter</cp:lastModifiedBy>
  <dcterms:created xsi:type="dcterms:W3CDTF">2025-07-23T20:47:31Z</dcterms:created>
  <dcterms:modified xsi:type="dcterms:W3CDTF">2025-07-23T20:48:17Z</dcterms:modified>
</cp:coreProperties>
</file>