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xr:revisionPtr revIDLastSave="0" documentId="8_{79411368-80C0-401F-8559-1E5BDE0F3791}" xr6:coauthVersionLast="47" xr6:coauthVersionMax="47" xr10:uidLastSave="{00000000-0000-0000-0000-000000000000}"/>
  <bookViews>
    <workbookView xWindow="-110" yWindow="-110" windowWidth="23260" windowHeight="15580" xr2:uid="{87D8332B-C696-8743-9894-7EB253657344}"/>
  </bookViews>
  <sheets>
    <sheet name="Dashboard" sheetId="13" r:id="rId1"/>
    <sheet name="OperatingModel " sheetId="3" r:id="rId2"/>
    <sheet name="DCF" sheetId="6" r:id="rId3"/>
    <sheet name="Revenue Build" sheetId="2" r:id="rId4"/>
    <sheet name="Wacc Build" sheetId="8" r:id="rId5"/>
    <sheet name="Capex Build" sheetId="11" r:id="rId6"/>
    <sheet name="COGS build" sheetId="9" r:id="rId7"/>
    <sheet name="Convertible Debt" sheetId="10" r:id="rId8"/>
    <sheet name="Ebitda Margin " sheetId="12" r:id="rId9"/>
    <sheet name="Product mix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3" l="1"/>
  <c r="J11" i="2"/>
  <c r="E11" i="6"/>
  <c r="E10" i="6"/>
  <c r="G12" i="8"/>
  <c r="E24" i="6" l="1"/>
  <c r="E23" i="6" s="1"/>
  <c r="K10" i="12"/>
  <c r="E11" i="13"/>
  <c r="C14" i="2"/>
  <c r="C13" i="2"/>
  <c r="C12" i="2"/>
  <c r="D121" i="3"/>
  <c r="E7" i="13"/>
  <c r="G5" i="13"/>
  <c r="F40" i="13"/>
  <c r="F38" i="13"/>
  <c r="F30" i="13"/>
  <c r="F28" i="13"/>
  <c r="M30" i="2"/>
  <c r="L30" i="2"/>
  <c r="K30" i="2"/>
  <c r="N30" i="2" s="1"/>
  <c r="H30" i="2"/>
  <c r="G30" i="2"/>
  <c r="F30" i="2"/>
  <c r="M25" i="2"/>
  <c r="M14" i="2"/>
  <c r="L14" i="2"/>
  <c r="D8" i="7"/>
  <c r="F14" i="2" s="1"/>
  <c r="D9" i="7"/>
  <c r="D10" i="7"/>
  <c r="D11" i="7"/>
  <c r="D12" i="7"/>
  <c r="K25" i="2" s="1"/>
  <c r="D13" i="7"/>
  <c r="L35" i="2" s="1"/>
  <c r="D14" i="7"/>
  <c r="D8" i="10"/>
  <c r="C31" i="6" s="1"/>
  <c r="D6" i="12"/>
  <c r="C6" i="12"/>
  <c r="C4" i="12"/>
  <c r="D3" i="12"/>
  <c r="C3" i="12"/>
  <c r="C123" i="3"/>
  <c r="F15" i="6"/>
  <c r="E99" i="3"/>
  <c r="F99" i="3" s="1"/>
  <c r="G99" i="3" s="1"/>
  <c r="H99" i="3" s="1"/>
  <c r="I99" i="3" s="1"/>
  <c r="J99" i="3" s="1"/>
  <c r="F45" i="3"/>
  <c r="G45" i="3"/>
  <c r="H45" i="3"/>
  <c r="I45" i="3"/>
  <c r="J45" i="3"/>
  <c r="D120" i="3"/>
  <c r="E120" i="3" s="1"/>
  <c r="F120" i="3" s="1"/>
  <c r="G120" i="3" s="1"/>
  <c r="H120" i="3" s="1"/>
  <c r="I120" i="3" s="1"/>
  <c r="J120" i="3" s="1"/>
  <c r="C121" i="3"/>
  <c r="C122" i="3"/>
  <c r="D122" i="3"/>
  <c r="E122" i="3"/>
  <c r="F122" i="3" s="1"/>
  <c r="G122" i="3" s="1"/>
  <c r="H122" i="3" s="1"/>
  <c r="I122" i="3" s="1"/>
  <c r="J122" i="3" s="1"/>
  <c r="E70" i="3"/>
  <c r="F66" i="3"/>
  <c r="G66" i="3"/>
  <c r="H66" i="3"/>
  <c r="I66" i="3"/>
  <c r="J66" i="3"/>
  <c r="E66" i="3"/>
  <c r="F33" i="3"/>
  <c r="G33" i="3" s="1"/>
  <c r="H33" i="3" s="1"/>
  <c r="I33" i="3" s="1"/>
  <c r="J33" i="3" s="1"/>
  <c r="F38" i="3"/>
  <c r="G38" i="3"/>
  <c r="H38" i="3"/>
  <c r="I38" i="3"/>
  <c r="J38" i="3"/>
  <c r="F39" i="3"/>
  <c r="G39" i="3"/>
  <c r="H39" i="3"/>
  <c r="I39" i="3"/>
  <c r="J39" i="3"/>
  <c r="F40" i="3"/>
  <c r="G40" i="3"/>
  <c r="H40" i="3"/>
  <c r="I40" i="3"/>
  <c r="J40" i="3"/>
  <c r="F41" i="3"/>
  <c r="G41" i="3"/>
  <c r="H41" i="3"/>
  <c r="I41" i="3"/>
  <c r="J41" i="3"/>
  <c r="F42" i="3"/>
  <c r="G42" i="3"/>
  <c r="H42" i="3"/>
  <c r="I42" i="3"/>
  <c r="J42" i="3"/>
  <c r="F43" i="3"/>
  <c r="G43" i="3"/>
  <c r="H43" i="3"/>
  <c r="I43" i="3"/>
  <c r="J43" i="3"/>
  <c r="F44" i="3"/>
  <c r="G44" i="3"/>
  <c r="H44" i="3"/>
  <c r="I44" i="3"/>
  <c r="J44" i="3"/>
  <c r="E38" i="3"/>
  <c r="E39" i="3"/>
  <c r="E40" i="3"/>
  <c r="E41" i="3"/>
  <c r="E42" i="3"/>
  <c r="E43" i="3"/>
  <c r="E44" i="3"/>
  <c r="D23" i="11"/>
  <c r="D36" i="11"/>
  <c r="C36" i="11"/>
  <c r="D33" i="11"/>
  <c r="E33" i="11" s="1"/>
  <c r="F33" i="11" s="1"/>
  <c r="G33" i="11" s="1"/>
  <c r="H33" i="11" s="1"/>
  <c r="I33" i="11" s="1"/>
  <c r="J33" i="11" s="1"/>
  <c r="D6" i="11"/>
  <c r="D25" i="11"/>
  <c r="E22" i="11" s="1"/>
  <c r="C25" i="11"/>
  <c r="D22" i="11" s="1"/>
  <c r="B15" i="11"/>
  <c r="B16" i="11" s="1"/>
  <c r="B17" i="11" s="1"/>
  <c r="B18" i="11" s="1"/>
  <c r="D5" i="11"/>
  <c r="D35" i="11" s="1"/>
  <c r="C5" i="11"/>
  <c r="C35" i="11" s="1"/>
  <c r="C6" i="11"/>
  <c r="D3" i="11"/>
  <c r="E3" i="11" s="1"/>
  <c r="F3" i="11" s="1"/>
  <c r="G3" i="11" s="1"/>
  <c r="H3" i="11" s="1"/>
  <c r="I3" i="11" s="1"/>
  <c r="J3" i="11" s="1"/>
  <c r="D97" i="3"/>
  <c r="D123" i="3" s="1"/>
  <c r="E123" i="3" s="1"/>
  <c r="F26" i="3"/>
  <c r="G26" i="3" s="1"/>
  <c r="H26" i="3" s="1"/>
  <c r="I26" i="3" s="1"/>
  <c r="J26" i="3" s="1"/>
  <c r="C34" i="9"/>
  <c r="C33" i="9"/>
  <c r="M27" i="9"/>
  <c r="M21" i="9"/>
  <c r="I14" i="2"/>
  <c r="N22" i="2"/>
  <c r="O22" i="2" s="1"/>
  <c r="J22" i="2"/>
  <c r="F12" i="2"/>
  <c r="N16" i="9"/>
  <c r="M11" i="9"/>
  <c r="M12" i="9"/>
  <c r="M13" i="9"/>
  <c r="M7" i="9"/>
  <c r="N7" i="9" s="1"/>
  <c r="M6" i="9"/>
  <c r="N6" i="9" s="1"/>
  <c r="M5" i="9"/>
  <c r="N5" i="9" s="1"/>
  <c r="M4" i="9"/>
  <c r="N4" i="9" s="1"/>
  <c r="N11" i="2"/>
  <c r="O11" i="2" s="1"/>
  <c r="C5" i="12" l="1"/>
  <c r="C7" i="12" s="1"/>
  <c r="F9" i="13"/>
  <c r="C26" i="2" s="1"/>
  <c r="T11" i="2" s="1"/>
  <c r="Y11" i="2" s="1"/>
  <c r="F12" i="13"/>
  <c r="C20" i="2" s="1"/>
  <c r="E26" i="6"/>
  <c r="E27" i="6" s="1"/>
  <c r="F11" i="13"/>
  <c r="C27" i="2" s="1"/>
  <c r="T22" i="2" s="1"/>
  <c r="R22" i="2" s="1"/>
  <c r="F8" i="13"/>
  <c r="L121" i="3" s="1"/>
  <c r="F10" i="13"/>
  <c r="C19" i="2" s="1"/>
  <c r="F13" i="13"/>
  <c r="C28" i="2" s="1"/>
  <c r="P30" i="2" s="1"/>
  <c r="Q30" i="2" s="1"/>
  <c r="R30" i="2" s="1"/>
  <c r="F14" i="13"/>
  <c r="C29" i="2" s="1"/>
  <c r="O30" i="2"/>
  <c r="K14" i="2"/>
  <c r="F25" i="2"/>
  <c r="M35" i="2"/>
  <c r="K35" i="2"/>
  <c r="H25" i="2"/>
  <c r="I25" i="2"/>
  <c r="H14" i="2"/>
  <c r="I35" i="2"/>
  <c r="F29" i="11"/>
  <c r="D37" i="11"/>
  <c r="C37" i="11"/>
  <c r="C11" i="11"/>
  <c r="D24" i="11"/>
  <c r="D7" i="11" s="1"/>
  <c r="D24" i="3" s="1"/>
  <c r="G14" i="2"/>
  <c r="I30" i="2"/>
  <c r="J30" i="2" s="1"/>
  <c r="L25" i="2"/>
  <c r="F35" i="2"/>
  <c r="G35" i="2"/>
  <c r="G25" i="2"/>
  <c r="H35" i="2"/>
  <c r="N13" i="9"/>
  <c r="N11" i="9"/>
  <c r="N12" i="9"/>
  <c r="C11" i="2"/>
  <c r="F23" i="2"/>
  <c r="G21" i="2" s="1"/>
  <c r="G9" i="8"/>
  <c r="S30" i="2" l="1"/>
  <c r="T30" i="2" s="1"/>
  <c r="P22" i="2"/>
  <c r="Y22" i="2"/>
  <c r="V22" i="2" s="1"/>
  <c r="S22" i="2"/>
  <c r="Q22" i="2"/>
  <c r="Q11" i="2"/>
  <c r="P11" i="2"/>
  <c r="R11" i="2"/>
  <c r="S11" i="2"/>
  <c r="AD11" i="2"/>
  <c r="U11" i="2"/>
  <c r="V11" i="2" s="1"/>
  <c r="W11" i="2" s="1"/>
  <c r="X11" i="2" s="1"/>
  <c r="G23" i="2"/>
  <c r="H21" i="2" s="1"/>
  <c r="H23" i="2" s="1"/>
  <c r="I21" i="2" s="1"/>
  <c r="I23" i="2" s="1"/>
  <c r="K21" i="2" s="1"/>
  <c r="K23" i="2" s="1"/>
  <c r="L21" i="2" s="1"/>
  <c r="L23" i="2" s="1"/>
  <c r="M21" i="2" s="1"/>
  <c r="M23" i="2" s="1"/>
  <c r="N21" i="2" s="1"/>
  <c r="N23" i="2" s="1"/>
  <c r="N25" i="2" s="1"/>
  <c r="O25" i="2" s="1"/>
  <c r="N35" i="2"/>
  <c r="P35" i="2" s="1"/>
  <c r="K40" i="2"/>
  <c r="M40" i="2"/>
  <c r="H40" i="2"/>
  <c r="J25" i="2"/>
  <c r="I40" i="2"/>
  <c r="J35" i="2"/>
  <c r="L40" i="2"/>
  <c r="G29" i="11"/>
  <c r="E37" i="11"/>
  <c r="F37" i="11" s="1"/>
  <c r="G37" i="11" s="1"/>
  <c r="H37" i="11" s="1"/>
  <c r="I37" i="11" s="1"/>
  <c r="J37" i="11" s="1"/>
  <c r="D13" i="11"/>
  <c r="E13" i="11" s="1"/>
  <c r="G40" i="2"/>
  <c r="F40" i="2"/>
  <c r="N14" i="9"/>
  <c r="M14" i="9" s="1"/>
  <c r="J14" i="2"/>
  <c r="D18" i="7" s="1"/>
  <c r="G10" i="2"/>
  <c r="G12" i="2" s="1"/>
  <c r="G18" i="8"/>
  <c r="U22" i="2" l="1"/>
  <c r="W22" i="2"/>
  <c r="AD22" i="2"/>
  <c r="AA22" i="2" s="1"/>
  <c r="X22" i="2"/>
  <c r="P21" i="2"/>
  <c r="AI11" i="2"/>
  <c r="AN11" i="2" s="1"/>
  <c r="Z11" i="2"/>
  <c r="AA11" i="2" s="1"/>
  <c r="AB11" i="2" s="1"/>
  <c r="AC11" i="2" s="1"/>
  <c r="O35" i="2"/>
  <c r="G19" i="7" s="1"/>
  <c r="C19" i="9"/>
  <c r="C22" i="9" s="1"/>
  <c r="C20" i="9" s="1"/>
  <c r="F18" i="7"/>
  <c r="D12" i="9"/>
  <c r="D15" i="9" s="1"/>
  <c r="D13" i="9" s="1"/>
  <c r="E19" i="7"/>
  <c r="C26" i="9"/>
  <c r="C29" i="9" s="1"/>
  <c r="G18" i="7"/>
  <c r="C12" i="9"/>
  <c r="C15" i="9" s="1"/>
  <c r="C13" i="9" s="1"/>
  <c r="E18" i="7"/>
  <c r="D19" i="9"/>
  <c r="D22" i="9" s="1"/>
  <c r="D20" i="9" s="1"/>
  <c r="F19" i="7"/>
  <c r="F13" i="11"/>
  <c r="H29" i="11"/>
  <c r="C5" i="9"/>
  <c r="J40" i="2"/>
  <c r="Q35" i="2"/>
  <c r="P23" i="2"/>
  <c r="P25" i="2" s="1"/>
  <c r="H10" i="2"/>
  <c r="G17" i="8"/>
  <c r="G19" i="8" s="1"/>
  <c r="G21" i="8" l="1"/>
  <c r="C36" i="6" s="1"/>
  <c r="Z22" i="2"/>
  <c r="AI22" i="2"/>
  <c r="AF22" i="2" s="1"/>
  <c r="AB22" i="2"/>
  <c r="AC22" i="2"/>
  <c r="AE11" i="2"/>
  <c r="AJ11" i="2"/>
  <c r="AK11" i="2" s="1"/>
  <c r="AL11" i="2" s="1"/>
  <c r="AM11" i="2" s="1"/>
  <c r="D26" i="9"/>
  <c r="D29" i="9" s="1"/>
  <c r="H18" i="7"/>
  <c r="D28" i="7" s="1"/>
  <c r="C27" i="9"/>
  <c r="G13" i="11"/>
  <c r="I29" i="11"/>
  <c r="C8" i="9"/>
  <c r="M26" i="9" s="1"/>
  <c r="M29" i="9" s="1"/>
  <c r="R35" i="2"/>
  <c r="Q21" i="2"/>
  <c r="H12" i="2"/>
  <c r="I10" i="2" s="1"/>
  <c r="D74" i="3"/>
  <c r="E74" i="3" s="1"/>
  <c r="F74" i="3" s="1"/>
  <c r="G74" i="3" s="1"/>
  <c r="H74" i="3" s="1"/>
  <c r="I74" i="3" s="1"/>
  <c r="J74" i="3" s="1"/>
  <c r="C83" i="3"/>
  <c r="D83" i="3"/>
  <c r="E84" i="3"/>
  <c r="E85" i="3"/>
  <c r="E86" i="3"/>
  <c r="E101" i="3"/>
  <c r="E102" i="3"/>
  <c r="D18" i="3"/>
  <c r="E18" i="3" s="1"/>
  <c r="F18" i="3" s="1"/>
  <c r="G18" i="3" s="1"/>
  <c r="H18" i="3" s="1"/>
  <c r="I18" i="3" s="1"/>
  <c r="J18" i="3" s="1"/>
  <c r="F27" i="3"/>
  <c r="E28" i="3"/>
  <c r="F28" i="3" s="1"/>
  <c r="G28" i="3" s="1"/>
  <c r="H28" i="3" s="1"/>
  <c r="I28" i="3" s="1"/>
  <c r="J28" i="3" s="1"/>
  <c r="F29" i="3"/>
  <c r="G29" i="3" s="1"/>
  <c r="H29" i="3" s="1"/>
  <c r="I29" i="3" s="1"/>
  <c r="J29" i="3" s="1"/>
  <c r="F30" i="3"/>
  <c r="G30" i="3" s="1"/>
  <c r="H30" i="3" s="1"/>
  <c r="I30" i="3" s="1"/>
  <c r="J30" i="3" s="1"/>
  <c r="F31" i="3"/>
  <c r="G31" i="3" s="1"/>
  <c r="H31" i="3" s="1"/>
  <c r="I31" i="3" s="1"/>
  <c r="J31" i="3" s="1"/>
  <c r="F32" i="3"/>
  <c r="G32" i="3" s="1"/>
  <c r="H32" i="3" s="1"/>
  <c r="I32" i="3" s="1"/>
  <c r="J32" i="3" s="1"/>
  <c r="D51" i="3"/>
  <c r="C51" i="3"/>
  <c r="F55" i="3"/>
  <c r="G55" i="3" s="1"/>
  <c r="H55" i="3" s="1"/>
  <c r="I55" i="3" s="1"/>
  <c r="J55" i="3" s="1"/>
  <c r="AG22" i="2" l="1"/>
  <c r="AH22" i="2"/>
  <c r="AN22" i="2"/>
  <c r="AM22" i="2" s="1"/>
  <c r="AE22" i="2"/>
  <c r="E19" i="9"/>
  <c r="E22" i="9" s="1"/>
  <c r="E20" i="9" s="1"/>
  <c r="AF11" i="2"/>
  <c r="AG11" i="2" s="1"/>
  <c r="AH11" i="2" s="1"/>
  <c r="G28" i="7"/>
  <c r="F28" i="7"/>
  <c r="E28" i="7"/>
  <c r="U30" i="2"/>
  <c r="V30" i="2" s="1"/>
  <c r="W30" i="2" s="1"/>
  <c r="X30" i="2" s="1"/>
  <c r="G27" i="3"/>
  <c r="F84" i="3"/>
  <c r="G84" i="3" s="1"/>
  <c r="H84" i="3" s="1"/>
  <c r="I84" i="3" s="1"/>
  <c r="J84" i="3" s="1"/>
  <c r="F102" i="3"/>
  <c r="G102" i="3" s="1"/>
  <c r="H102" i="3" s="1"/>
  <c r="I102" i="3" s="1"/>
  <c r="J102" i="3" s="1"/>
  <c r="F101" i="3"/>
  <c r="G101" i="3" s="1"/>
  <c r="H101" i="3" s="1"/>
  <c r="I101" i="3" s="1"/>
  <c r="J101" i="3" s="1"/>
  <c r="H13" i="11"/>
  <c r="F86" i="3"/>
  <c r="G86" i="3" s="1"/>
  <c r="H86" i="3" s="1"/>
  <c r="I86" i="3" s="1"/>
  <c r="J86" i="3" s="1"/>
  <c r="F85" i="3"/>
  <c r="G85" i="3" s="1"/>
  <c r="H85" i="3" s="1"/>
  <c r="I85" i="3" s="1"/>
  <c r="J85" i="3" s="1"/>
  <c r="J29" i="11"/>
  <c r="D56" i="3"/>
  <c r="C56" i="3"/>
  <c r="C87" i="3"/>
  <c r="C115" i="3" s="1"/>
  <c r="D87" i="3"/>
  <c r="D115" i="3" s="1"/>
  <c r="S35" i="2"/>
  <c r="T35" i="2" s="1"/>
  <c r="G20" i="7" s="1"/>
  <c r="D27" i="9"/>
  <c r="C6" i="9"/>
  <c r="Q23" i="2"/>
  <c r="Q25" i="2" s="1"/>
  <c r="I12" i="2"/>
  <c r="K10" i="2" s="1"/>
  <c r="AL22" i="2" l="1"/>
  <c r="AK22" i="2"/>
  <c r="AJ22" i="2"/>
  <c r="F20" i="7"/>
  <c r="Y30" i="2"/>
  <c r="Z30" i="2"/>
  <c r="AA30" i="2" s="1"/>
  <c r="AB30" i="2" s="1"/>
  <c r="AC30" i="2" s="1"/>
  <c r="M20" i="9"/>
  <c r="M23" i="9" s="1"/>
  <c r="H27" i="3"/>
  <c r="I13" i="11"/>
  <c r="E26" i="9"/>
  <c r="U35" i="2"/>
  <c r="R21" i="2"/>
  <c r="K12" i="2"/>
  <c r="AD30" i="2" l="1"/>
  <c r="G19" i="9" s="1"/>
  <c r="G22" i="9" s="1"/>
  <c r="G20" i="9" s="1"/>
  <c r="F19" i="9"/>
  <c r="F22" i="9" s="1"/>
  <c r="F20" i="9" s="1"/>
  <c r="F21" i="7"/>
  <c r="AE30" i="2"/>
  <c r="AF30" i="2" s="1"/>
  <c r="AG30" i="2" s="1"/>
  <c r="AH30" i="2" s="1"/>
  <c r="AI30" i="2" s="1"/>
  <c r="I27" i="3"/>
  <c r="J13" i="11"/>
  <c r="V35" i="2"/>
  <c r="E29" i="9"/>
  <c r="E27" i="9" s="1"/>
  <c r="R23" i="2"/>
  <c r="R25" i="2" s="1"/>
  <c r="L10" i="2"/>
  <c r="F22" i="7" l="1"/>
  <c r="H19" i="9"/>
  <c r="H22" i="9" s="1"/>
  <c r="H20" i="9" s="1"/>
  <c r="F23" i="7"/>
  <c r="AJ30" i="2"/>
  <c r="AK30" i="2" s="1"/>
  <c r="AL30" i="2" s="1"/>
  <c r="AM30" i="2" s="1"/>
  <c r="J27" i="3"/>
  <c r="W35" i="2"/>
  <c r="S21" i="2"/>
  <c r="L12" i="2"/>
  <c r="AN30" i="2" l="1"/>
  <c r="F24" i="7" s="1"/>
  <c r="X35" i="2"/>
  <c r="Y35" i="2" s="1"/>
  <c r="G21" i="7" s="1"/>
  <c r="S23" i="2"/>
  <c r="S25" i="2" s="1"/>
  <c r="M10" i="2"/>
  <c r="C29" i="6"/>
  <c r="F16" i="6"/>
  <c r="D13" i="3"/>
  <c r="D124" i="3" s="1"/>
  <c r="C13" i="3"/>
  <c r="C124" i="3" s="1"/>
  <c r="F7" i="6"/>
  <c r="E7" i="6"/>
  <c r="E5" i="6"/>
  <c r="F3" i="6"/>
  <c r="F5" i="6" s="1"/>
  <c r="I19" i="9" l="1"/>
  <c r="I22" i="9" s="1"/>
  <c r="I20" i="9" s="1"/>
  <c r="Z35" i="2"/>
  <c r="F26" i="9"/>
  <c r="U21" i="2"/>
  <c r="M12" i="2"/>
  <c r="C15" i="3"/>
  <c r="D15" i="3"/>
  <c r="G15" i="6"/>
  <c r="G3" i="6"/>
  <c r="H3" i="6" s="1"/>
  <c r="H5" i="6" s="1"/>
  <c r="T25" i="2" l="1"/>
  <c r="E20" i="7" s="1"/>
  <c r="F29" i="9"/>
  <c r="AA35" i="2"/>
  <c r="U23" i="2"/>
  <c r="U25" i="2" s="1"/>
  <c r="N10" i="2"/>
  <c r="G5" i="6"/>
  <c r="H15" i="6"/>
  <c r="G16" i="6"/>
  <c r="I3" i="6"/>
  <c r="J3" i="6" s="1"/>
  <c r="AB35" i="2" l="1"/>
  <c r="E12" i="9"/>
  <c r="F27" i="9"/>
  <c r="V21" i="2"/>
  <c r="N12" i="2"/>
  <c r="P10" i="2" s="1"/>
  <c r="I15" i="6"/>
  <c r="H16" i="6"/>
  <c r="J5" i="6"/>
  <c r="K3" i="6"/>
  <c r="K5" i="6" s="1"/>
  <c r="I5" i="6"/>
  <c r="E15" i="9" l="1"/>
  <c r="E13" i="9" s="1"/>
  <c r="AC35" i="2"/>
  <c r="V23" i="2"/>
  <c r="V25" i="2" s="1"/>
  <c r="N14" i="2"/>
  <c r="J15" i="6"/>
  <c r="I16" i="6"/>
  <c r="AD35" i="2" l="1"/>
  <c r="G22" i="7" s="1"/>
  <c r="AE35" i="2"/>
  <c r="O14" i="2"/>
  <c r="D19" i="7" s="1"/>
  <c r="N40" i="2"/>
  <c r="W21" i="2"/>
  <c r="P12" i="2"/>
  <c r="J16" i="6"/>
  <c r="K15" i="6"/>
  <c r="K16" i="6" s="1"/>
  <c r="C24" i="6" s="1"/>
  <c r="H19" i="7" l="1"/>
  <c r="D29" i="7" s="1"/>
  <c r="D5" i="9"/>
  <c r="O40" i="2"/>
  <c r="E3" i="3" s="1"/>
  <c r="G26" i="9"/>
  <c r="AF35" i="2"/>
  <c r="W23" i="2"/>
  <c r="W25" i="2" s="1"/>
  <c r="Q10" i="2"/>
  <c r="P14" i="2"/>
  <c r="E6" i="3"/>
  <c r="E121" i="3" l="1"/>
  <c r="F121" i="3" s="1"/>
  <c r="G121" i="3" s="1"/>
  <c r="H121" i="3" s="1"/>
  <c r="I121" i="3" s="1"/>
  <c r="J121" i="3" s="1"/>
  <c r="E6" i="12"/>
  <c r="F29" i="7"/>
  <c r="E29" i="7"/>
  <c r="G29" i="7"/>
  <c r="E5" i="11"/>
  <c r="AG35" i="2"/>
  <c r="G29" i="9"/>
  <c r="E78" i="3"/>
  <c r="E35" i="3" s="1"/>
  <c r="D8" i="9"/>
  <c r="D34" i="9" s="1"/>
  <c r="P40" i="2"/>
  <c r="X21" i="2"/>
  <c r="Q12" i="2"/>
  <c r="D11" i="11" l="1"/>
  <c r="E11" i="11" s="1"/>
  <c r="E6" i="11" s="1"/>
  <c r="E35" i="11"/>
  <c r="E36" i="11" s="1"/>
  <c r="E50" i="3" s="1"/>
  <c r="D6" i="9"/>
  <c r="D33" i="9" s="1"/>
  <c r="E4" i="3" s="1"/>
  <c r="G27" i="9"/>
  <c r="AH35" i="2"/>
  <c r="X23" i="2"/>
  <c r="X25" i="2" s="1"/>
  <c r="Q14" i="2"/>
  <c r="R10" i="2"/>
  <c r="R12" i="2" s="1"/>
  <c r="I11" i="11" l="1"/>
  <c r="H11" i="11"/>
  <c r="G11" i="11"/>
  <c r="F11" i="11"/>
  <c r="J11" i="11"/>
  <c r="E49" i="3"/>
  <c r="E14" i="11"/>
  <c r="E7" i="11" s="1"/>
  <c r="E89" i="3"/>
  <c r="AJ35" i="2"/>
  <c r="Q40" i="2"/>
  <c r="E79" i="3"/>
  <c r="E5" i="3"/>
  <c r="AI35" i="2"/>
  <c r="G23" i="7" s="1"/>
  <c r="Z21" i="2"/>
  <c r="E23" i="11" l="1"/>
  <c r="E51" i="3"/>
  <c r="F11" i="6" s="1"/>
  <c r="E36" i="3"/>
  <c r="E97" i="3"/>
  <c r="E103" i="3" s="1"/>
  <c r="E37" i="3"/>
  <c r="F14" i="11"/>
  <c r="E81" i="3"/>
  <c r="Y25" i="2"/>
  <c r="E21" i="7" s="1"/>
  <c r="AK35" i="2"/>
  <c r="H26" i="9"/>
  <c r="Z23" i="2"/>
  <c r="Z25" i="2" s="1"/>
  <c r="R14" i="2"/>
  <c r="S10" i="2"/>
  <c r="S12" i="2" s="1"/>
  <c r="D2" i="3"/>
  <c r="E2" i="3" s="1"/>
  <c r="F2" i="3" s="1"/>
  <c r="G2" i="3" s="1"/>
  <c r="H2" i="3" s="1"/>
  <c r="I2" i="3" s="1"/>
  <c r="J2" i="3" s="1"/>
  <c r="E56" i="3" l="1"/>
  <c r="E25" i="11"/>
  <c r="E24" i="11" s="1"/>
  <c r="E34" i="3"/>
  <c r="F10" i="6" s="1"/>
  <c r="AL35" i="2"/>
  <c r="F12" i="9"/>
  <c r="H29" i="9"/>
  <c r="H27" i="9" s="1"/>
  <c r="R40" i="2"/>
  <c r="AA21" i="2"/>
  <c r="E11" i="3"/>
  <c r="E3" i="12" l="1"/>
  <c r="F6" i="6"/>
  <c r="F8" i="6" s="1"/>
  <c r="F22" i="11"/>
  <c r="F15" i="9"/>
  <c r="F13" i="9" s="1"/>
  <c r="AM35" i="2"/>
  <c r="AN35" i="2" s="1"/>
  <c r="G24" i="7" s="1"/>
  <c r="AA23" i="2"/>
  <c r="AA25" i="2" s="1"/>
  <c r="U10" i="2"/>
  <c r="S14" i="2"/>
  <c r="E13" i="3"/>
  <c r="E14" i="3" s="1"/>
  <c r="E124" i="3" s="1"/>
  <c r="G7" i="6" l="1"/>
  <c r="S40" i="2"/>
  <c r="T14" i="2"/>
  <c r="D20" i="7" s="1"/>
  <c r="I26" i="9"/>
  <c r="AB21" i="2"/>
  <c r="U12" i="2"/>
  <c r="V10" i="2" s="1"/>
  <c r="V12" i="2" s="1"/>
  <c r="H20" i="7" l="1"/>
  <c r="E15" i="3"/>
  <c r="I29" i="9"/>
  <c r="I27" i="9" s="1"/>
  <c r="E5" i="9"/>
  <c r="T40" i="2"/>
  <c r="F3" i="3" s="1"/>
  <c r="AB23" i="2"/>
  <c r="AB25" i="2" s="1"/>
  <c r="U14" i="2"/>
  <c r="U40" i="2" s="1"/>
  <c r="V14" i="2"/>
  <c r="V40" i="2" s="1"/>
  <c r="W10" i="2"/>
  <c r="W12" i="2" s="1"/>
  <c r="D30" i="7" l="1"/>
  <c r="G30" i="7"/>
  <c r="F30" i="7"/>
  <c r="E30" i="7"/>
  <c r="E109" i="3"/>
  <c r="E20" i="3"/>
  <c r="E8" i="9"/>
  <c r="E34" i="9" s="1"/>
  <c r="AC21" i="2"/>
  <c r="X10" i="2"/>
  <c r="X12" i="2" s="1"/>
  <c r="W14" i="2"/>
  <c r="W40" i="2" s="1"/>
  <c r="F78" i="3" l="1"/>
  <c r="F35" i="3" s="1"/>
  <c r="F6" i="12"/>
  <c r="F5" i="11"/>
  <c r="F6" i="11" s="1"/>
  <c r="F6" i="3"/>
  <c r="E111" i="3"/>
  <c r="G14" i="11"/>
  <c r="E24" i="3"/>
  <c r="E6" i="9"/>
  <c r="E33" i="9" s="1"/>
  <c r="F4" i="3" s="1"/>
  <c r="AC23" i="2"/>
  <c r="AC25" i="2" s="1"/>
  <c r="Z10" i="2"/>
  <c r="Z12" i="2" s="1"/>
  <c r="X14" i="2"/>
  <c r="F35" i="11" l="1"/>
  <c r="F36" i="11" s="1"/>
  <c r="F50" i="3" s="1"/>
  <c r="E113" i="3"/>
  <c r="H14" i="11"/>
  <c r="F15" i="11"/>
  <c r="F7" i="11" s="1"/>
  <c r="F49" i="3"/>
  <c r="F89" i="3"/>
  <c r="F37" i="3" s="1"/>
  <c r="Y14" i="2"/>
  <c r="D21" i="7" s="1"/>
  <c r="X40" i="2"/>
  <c r="F79" i="3"/>
  <c r="F5" i="3"/>
  <c r="F11" i="3" s="1"/>
  <c r="AE21" i="2"/>
  <c r="Z14" i="2"/>
  <c r="AA10" i="2"/>
  <c r="AA12" i="2" s="1"/>
  <c r="F3" i="12" l="1"/>
  <c r="G6" i="6"/>
  <c r="G8" i="6" s="1"/>
  <c r="Z40" i="2"/>
  <c r="H21" i="7"/>
  <c r="F23" i="11"/>
  <c r="F51" i="3"/>
  <c r="G11" i="6" s="1"/>
  <c r="F36" i="3"/>
  <c r="F34" i="3" s="1"/>
  <c r="G10" i="6" s="1"/>
  <c r="F81" i="3"/>
  <c r="F25" i="11" s="1"/>
  <c r="I14" i="11"/>
  <c r="F97" i="3"/>
  <c r="F103" i="3" s="1"/>
  <c r="AD25" i="2"/>
  <c r="E22" i="7" s="1"/>
  <c r="F13" i="3"/>
  <c r="F14" i="3" s="1"/>
  <c r="F124" i="3" s="1"/>
  <c r="F5" i="9"/>
  <c r="Y40" i="2"/>
  <c r="AE23" i="2"/>
  <c r="AE25" i="2" s="1"/>
  <c r="AB10" i="2"/>
  <c r="AB12" i="2" s="1"/>
  <c r="AA14" i="2"/>
  <c r="AA40" i="2" s="1"/>
  <c r="G3" i="3" l="1"/>
  <c r="G6" i="12" s="1"/>
  <c r="D31" i="7"/>
  <c r="F31" i="7"/>
  <c r="G31" i="7"/>
  <c r="E31" i="7"/>
  <c r="F56" i="3"/>
  <c r="H7" i="6"/>
  <c r="G22" i="11"/>
  <c r="F24" i="11"/>
  <c r="J14" i="11"/>
  <c r="G12" i="9"/>
  <c r="F8" i="9"/>
  <c r="F34" i="9" s="1"/>
  <c r="AF21" i="2"/>
  <c r="AB14" i="2"/>
  <c r="AB40" i="2" s="1"/>
  <c r="AC10" i="2"/>
  <c r="AC12" i="2" s="1"/>
  <c r="G6" i="3" l="1"/>
  <c r="G5" i="11"/>
  <c r="G35" i="11" s="1"/>
  <c r="G36" i="11" s="1"/>
  <c r="G50" i="3" s="1"/>
  <c r="G78" i="3"/>
  <c r="G35" i="3" s="1"/>
  <c r="F15" i="3"/>
  <c r="G15" i="11"/>
  <c r="F24" i="3"/>
  <c r="G15" i="9"/>
  <c r="G13" i="9" s="1"/>
  <c r="F6" i="9"/>
  <c r="F33" i="9" s="1"/>
  <c r="AF23" i="2"/>
  <c r="AF25" i="2" s="1"/>
  <c r="AE10" i="2"/>
  <c r="AC14" i="2"/>
  <c r="AC40" i="2" s="1"/>
  <c r="AD14" i="2" l="1"/>
  <c r="D22" i="7" s="1"/>
  <c r="G6" i="11"/>
  <c r="G49" i="3" s="1"/>
  <c r="F109" i="3"/>
  <c r="F111" i="3" s="1"/>
  <c r="F113" i="3" s="1"/>
  <c r="F20" i="3"/>
  <c r="H15" i="11"/>
  <c r="G4" i="3"/>
  <c r="G89" i="3"/>
  <c r="G37" i="3" s="1"/>
  <c r="AG21" i="2"/>
  <c r="AE12" i="2"/>
  <c r="AE14" i="2" s="1"/>
  <c r="AE40" i="2" s="1"/>
  <c r="G16" i="11" l="1"/>
  <c r="G7" i="11" s="1"/>
  <c r="G81" i="3" s="1"/>
  <c r="G25" i="11" s="1"/>
  <c r="H22" i="11" s="1"/>
  <c r="H22" i="7"/>
  <c r="AF10" i="2"/>
  <c r="G23" i="11"/>
  <c r="G51" i="3"/>
  <c r="H11" i="6" s="1"/>
  <c r="I15" i="11"/>
  <c r="G5" i="9"/>
  <c r="AD40" i="2"/>
  <c r="H3" i="3" s="1"/>
  <c r="H6" i="12" s="1"/>
  <c r="G79" i="3"/>
  <c r="G5" i="3"/>
  <c r="G11" i="3" s="1"/>
  <c r="G97" i="3"/>
  <c r="G103" i="3" s="1"/>
  <c r="AG23" i="2"/>
  <c r="AG25" i="2" s="1"/>
  <c r="G3" i="12" l="1"/>
  <c r="H6" i="6"/>
  <c r="H8" i="6" s="1"/>
  <c r="AF12" i="2"/>
  <c r="AG10" i="2" s="1"/>
  <c r="AG12" i="2" s="1"/>
  <c r="D32" i="7"/>
  <c r="F32" i="7"/>
  <c r="G32" i="7"/>
  <c r="E32" i="7"/>
  <c r="G56" i="3"/>
  <c r="G36" i="3"/>
  <c r="G34" i="3" s="1"/>
  <c r="H10" i="6" s="1"/>
  <c r="G24" i="11"/>
  <c r="J15" i="11"/>
  <c r="H5" i="11"/>
  <c r="H6" i="3"/>
  <c r="H78" i="3"/>
  <c r="G13" i="3"/>
  <c r="G8" i="9"/>
  <c r="G34" i="9" s="1"/>
  <c r="AH21" i="2"/>
  <c r="G14" i="3" l="1"/>
  <c r="AH10" i="2"/>
  <c r="AH12" i="2" s="1"/>
  <c r="AJ10" i="2" s="1"/>
  <c r="AG14" i="2"/>
  <c r="AG40" i="2" s="1"/>
  <c r="AF14" i="2"/>
  <c r="AF40" i="2" s="1"/>
  <c r="H35" i="3"/>
  <c r="H35" i="11"/>
  <c r="H36" i="11" s="1"/>
  <c r="H50" i="3" s="1"/>
  <c r="H6" i="11"/>
  <c r="H16" i="11"/>
  <c r="G24" i="3"/>
  <c r="G15" i="3"/>
  <c r="G6" i="9"/>
  <c r="G33" i="9" s="1"/>
  <c r="AH23" i="2"/>
  <c r="AH25" i="2" s="1"/>
  <c r="I7" i="6" l="1"/>
  <c r="G124" i="3"/>
  <c r="AH14" i="2"/>
  <c r="AI14" i="2" s="1"/>
  <c r="H5" i="9" s="1"/>
  <c r="H8" i="9" s="1"/>
  <c r="H6" i="9" s="1"/>
  <c r="G109" i="3"/>
  <c r="G111" i="3" s="1"/>
  <c r="G113" i="3" s="1"/>
  <c r="G20" i="3"/>
  <c r="H17" i="11"/>
  <c r="H49" i="3"/>
  <c r="I16" i="11"/>
  <c r="H4" i="3"/>
  <c r="H89" i="3"/>
  <c r="H37" i="3" s="1"/>
  <c r="AJ21" i="2"/>
  <c r="AJ12" i="2"/>
  <c r="D23" i="7" l="1"/>
  <c r="AK10" i="2"/>
  <c r="AK12" i="2" s="1"/>
  <c r="AK14" i="2" s="1"/>
  <c r="AJ14" i="2"/>
  <c r="H23" i="11"/>
  <c r="H51" i="3"/>
  <c r="I11" i="6" s="1"/>
  <c r="I17" i="11"/>
  <c r="H7" i="11"/>
  <c r="H81" i="3" s="1"/>
  <c r="H25" i="11" s="1"/>
  <c r="I22" i="11" s="1"/>
  <c r="J16" i="11"/>
  <c r="AI25" i="2"/>
  <c r="E23" i="7" s="1"/>
  <c r="AH40" i="2"/>
  <c r="H97" i="3"/>
  <c r="H103" i="3" s="1"/>
  <c r="H79" i="3"/>
  <c r="H5" i="3"/>
  <c r="H11" i="3" s="1"/>
  <c r="AJ23" i="2"/>
  <c r="AJ25" i="2" s="1"/>
  <c r="H3" i="12" l="1"/>
  <c r="I6" i="6"/>
  <c r="I8" i="6" s="1"/>
  <c r="AL10" i="2"/>
  <c r="AL12" i="2" s="1"/>
  <c r="AL14" i="2" s="1"/>
  <c r="H23" i="7"/>
  <c r="E33" i="7" s="1"/>
  <c r="H56" i="3"/>
  <c r="H36" i="3"/>
  <c r="H34" i="3" s="1"/>
  <c r="I10" i="6" s="1"/>
  <c r="H24" i="11"/>
  <c r="H13" i="3"/>
  <c r="H12" i="9"/>
  <c r="AI40" i="2"/>
  <c r="I3" i="3" s="1"/>
  <c r="I6" i="12" s="1"/>
  <c r="AJ40" i="2"/>
  <c r="AK21" i="2"/>
  <c r="H14" i="3" l="1"/>
  <c r="H15" i="3" s="1"/>
  <c r="AM10" i="2"/>
  <c r="AM12" i="2" s="1"/>
  <c r="AM14" i="2" s="1"/>
  <c r="AN14" i="2" s="1"/>
  <c r="D24" i="7" s="1"/>
  <c r="D33" i="7"/>
  <c r="F33" i="7"/>
  <c r="G33" i="7"/>
  <c r="I5" i="11"/>
  <c r="H15" i="9"/>
  <c r="H34" i="9" s="1"/>
  <c r="I6" i="3"/>
  <c r="I78" i="3"/>
  <c r="AK23" i="2"/>
  <c r="AK25" i="2" s="1"/>
  <c r="J7" i="6" l="1"/>
  <c r="H124" i="3"/>
  <c r="I5" i="9"/>
  <c r="I8" i="9" s="1"/>
  <c r="I6" i="9" s="1"/>
  <c r="H109" i="3"/>
  <c r="H111" i="3" s="1"/>
  <c r="H113" i="3" s="1"/>
  <c r="H20" i="3"/>
  <c r="I35" i="3"/>
  <c r="I35" i="11"/>
  <c r="I36" i="11" s="1"/>
  <c r="I50" i="3" s="1"/>
  <c r="I6" i="11"/>
  <c r="H13" i="9"/>
  <c r="H33" i="9" s="1"/>
  <c r="I4" i="3" s="1"/>
  <c r="AL21" i="2"/>
  <c r="AK40" i="2"/>
  <c r="I49" i="3" l="1"/>
  <c r="I18" i="11"/>
  <c r="I7" i="11" s="1"/>
  <c r="J17" i="11"/>
  <c r="H24" i="3"/>
  <c r="I89" i="3"/>
  <c r="I79" i="3"/>
  <c r="I5" i="3"/>
  <c r="I11" i="3" s="1"/>
  <c r="AL23" i="2"/>
  <c r="AL25" i="2" s="1"/>
  <c r="I3" i="12" l="1"/>
  <c r="J6" i="6"/>
  <c r="J8" i="6" s="1"/>
  <c r="I23" i="11"/>
  <c r="I51" i="3"/>
  <c r="J11" i="6" s="1"/>
  <c r="I97" i="3"/>
  <c r="I103" i="3" s="1"/>
  <c r="I37" i="3"/>
  <c r="I36" i="3"/>
  <c r="I81" i="3"/>
  <c r="I25" i="11" s="1"/>
  <c r="J22" i="11" s="1"/>
  <c r="I13" i="3"/>
  <c r="AL40" i="2"/>
  <c r="AM21" i="2"/>
  <c r="I14" i="3" l="1"/>
  <c r="I15" i="3" s="1"/>
  <c r="I34" i="3"/>
  <c r="J10" i="6" s="1"/>
  <c r="I56" i="3"/>
  <c r="I24" i="11"/>
  <c r="AM23" i="2"/>
  <c r="K7" i="6" l="1"/>
  <c r="I124" i="3"/>
  <c r="AM25" i="2"/>
  <c r="AM40" i="2" s="1"/>
  <c r="I109" i="3"/>
  <c r="I111" i="3" s="1"/>
  <c r="I113" i="3" s="1"/>
  <c r="I20" i="3"/>
  <c r="AN25" i="2" l="1"/>
  <c r="I12" i="9" s="1"/>
  <c r="I15" i="9" s="1"/>
  <c r="I34" i="9" s="1"/>
  <c r="AN40" i="2" l="1"/>
  <c r="J3" i="3" s="1"/>
  <c r="E24" i="7"/>
  <c r="H24" i="7" s="1"/>
  <c r="E34" i="7" s="1"/>
  <c r="I13" i="9"/>
  <c r="I33" i="9" s="1"/>
  <c r="D34" i="7" l="1"/>
  <c r="F34" i="7"/>
  <c r="G34" i="7"/>
  <c r="J5" i="11"/>
  <c r="J35" i="11" s="1"/>
  <c r="J36" i="11" s="1"/>
  <c r="J50" i="3" s="1"/>
  <c r="J6" i="12"/>
  <c r="J78" i="3"/>
  <c r="J35" i="3" s="1"/>
  <c r="J6" i="3"/>
  <c r="I24" i="3"/>
  <c r="J18" i="11"/>
  <c r="J4" i="3"/>
  <c r="J89" i="3"/>
  <c r="J37" i="3" s="1"/>
  <c r="J6" i="11" l="1"/>
  <c r="J19" i="11" s="1"/>
  <c r="J97" i="3"/>
  <c r="J103" i="3" s="1"/>
  <c r="J79" i="3"/>
  <c r="J36" i="3" s="1"/>
  <c r="J34" i="3" s="1"/>
  <c r="K10" i="6" s="1"/>
  <c r="J5" i="3"/>
  <c r="J11" i="3" s="1"/>
  <c r="J3" i="12" l="1"/>
  <c r="K6" i="6"/>
  <c r="J49" i="3"/>
  <c r="J23" i="11" s="1"/>
  <c r="J7" i="11"/>
  <c r="J24" i="3" s="1"/>
  <c r="J80" i="3"/>
  <c r="J13" i="3"/>
  <c r="J14" i="3" s="1"/>
  <c r="J124" i="3" s="1"/>
  <c r="J51" i="3" l="1"/>
  <c r="J81" i="3"/>
  <c r="J15" i="3"/>
  <c r="K8" i="6"/>
  <c r="J56" i="3" l="1"/>
  <c r="K11" i="6"/>
  <c r="J25" i="11"/>
  <c r="J24" i="11" s="1"/>
  <c r="J109" i="3"/>
  <c r="J111" i="3" s="1"/>
  <c r="J113" i="3" s="1"/>
  <c r="J20" i="3"/>
  <c r="D27" i="11" l="1"/>
  <c r="D4" i="12"/>
  <c r="D5" i="12" s="1"/>
  <c r="D7" i="12" s="1"/>
  <c r="D28" i="11" l="1"/>
  <c r="D23" i="3" s="1"/>
  <c r="E27" i="11"/>
  <c r="E9" i="6"/>
  <c r="E6" i="6" s="1"/>
  <c r="E8" i="6" s="1"/>
  <c r="E12" i="6" s="1"/>
  <c r="E28" i="11" l="1"/>
  <c r="E23" i="3" s="1"/>
  <c r="E82" i="3" s="1"/>
  <c r="E83" i="3" s="1"/>
  <c r="F9" i="6"/>
  <c r="F12" i="6" s="1"/>
  <c r="F27" i="11"/>
  <c r="E25" i="3"/>
  <c r="F17" i="6" l="1"/>
  <c r="G27" i="11"/>
  <c r="F28" i="11"/>
  <c r="F23" i="3" s="1"/>
  <c r="F82" i="3" s="1"/>
  <c r="F83" i="3" s="1"/>
  <c r="G9" i="6"/>
  <c r="G12" i="6" s="1"/>
  <c r="F25" i="3"/>
  <c r="E4" i="12"/>
  <c r="E5" i="12" s="1"/>
  <c r="E7" i="12" s="1"/>
  <c r="E46" i="3"/>
  <c r="E71" i="3" s="1"/>
  <c r="G17" i="6" l="1"/>
  <c r="F4" i="12"/>
  <c r="F5" i="12" s="1"/>
  <c r="F46" i="3"/>
  <c r="E77" i="3"/>
  <c r="F70" i="3"/>
  <c r="H27" i="11"/>
  <c r="G28" i="11"/>
  <c r="G23" i="3" s="1"/>
  <c r="G82" i="3" s="1"/>
  <c r="G83" i="3" s="1"/>
  <c r="G25" i="3"/>
  <c r="H9" i="6"/>
  <c r="H12" i="6" s="1"/>
  <c r="H17" i="6" l="1"/>
  <c r="F71" i="3"/>
  <c r="F77" i="3" s="1"/>
  <c r="I27" i="11"/>
  <c r="J27" i="11" s="1"/>
  <c r="I9" i="6"/>
  <c r="I12" i="6" s="1"/>
  <c r="H28" i="11"/>
  <c r="H23" i="3" s="1"/>
  <c r="H82" i="3" s="1"/>
  <c r="H83" i="3" s="1"/>
  <c r="H25" i="3"/>
  <c r="E80" i="3"/>
  <c r="E87" i="3"/>
  <c r="E115" i="3" s="1"/>
  <c r="G4" i="12"/>
  <c r="G5" i="12" s="1"/>
  <c r="G46" i="3"/>
  <c r="F7" i="12"/>
  <c r="I17" i="6" l="1"/>
  <c r="G70" i="3"/>
  <c r="G71" i="3" s="1"/>
  <c r="G77" i="3" s="1"/>
  <c r="F87" i="3"/>
  <c r="F80" i="3"/>
  <c r="H4" i="12"/>
  <c r="H5" i="12" s="1"/>
  <c r="H46" i="3"/>
  <c r="G7" i="12"/>
  <c r="I28" i="11"/>
  <c r="I23" i="3" s="1"/>
  <c r="I82" i="3" s="1"/>
  <c r="I83" i="3" s="1"/>
  <c r="J9" i="6"/>
  <c r="J12" i="6" s="1"/>
  <c r="I25" i="3"/>
  <c r="J17" i="6" l="1"/>
  <c r="H70" i="3"/>
  <c r="H71" i="3" s="1"/>
  <c r="F115" i="3"/>
  <c r="H7" i="12"/>
  <c r="J28" i="11"/>
  <c r="J23" i="3" s="1"/>
  <c r="J82" i="3" s="1"/>
  <c r="J83" i="3" s="1"/>
  <c r="J25" i="3"/>
  <c r="K9" i="6"/>
  <c r="K12" i="6" s="1"/>
  <c r="I4" i="12"/>
  <c r="I5" i="12" s="1"/>
  <c r="I46" i="3"/>
  <c r="G87" i="3"/>
  <c r="G80" i="3"/>
  <c r="K17" i="6" l="1"/>
  <c r="C26" i="6" s="1"/>
  <c r="G115" i="3"/>
  <c r="C22" i="6"/>
  <c r="C25" i="6" s="1"/>
  <c r="J4" i="12"/>
  <c r="J5" i="12" s="1"/>
  <c r="J46" i="3"/>
  <c r="I70" i="3"/>
  <c r="I71" i="3" s="1"/>
  <c r="H77" i="3"/>
  <c r="I7" i="12"/>
  <c r="C27" i="6" l="1"/>
  <c r="C30" i="6" s="1"/>
  <c r="C32" i="6" s="1"/>
  <c r="E22" i="6" s="1"/>
  <c r="I77" i="3"/>
  <c r="J70" i="3"/>
  <c r="J71" i="3" s="1"/>
  <c r="J77" i="3" s="1"/>
  <c r="J87" i="3" s="1"/>
  <c r="J115" i="3" s="1"/>
  <c r="J7" i="12"/>
  <c r="H87" i="3"/>
  <c r="H115" i="3" s="1"/>
  <c r="H80" i="3"/>
  <c r="C34" i="6" l="1"/>
  <c r="I87" i="3"/>
  <c r="I80" i="3"/>
  <c r="I11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Anthony Casale</author>
  </authors>
  <commentList>
    <comment ref="B51" authorId="0" shapeId="0" xr:uid="{D4C05D92-F021-974B-9B0C-4973FC3ECD9F}">
      <text>
        <r>
          <rPr>
            <b/>
            <sz val="10"/>
            <color rgb="FF000000"/>
            <rFont val="Tahoma"/>
            <family val="2"/>
          </rPr>
          <t>Anthony Casale: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Business amortizes a lot in intangible assets so capex is a sum of PPE and Intangibles
</t>
        </r>
      </text>
    </comment>
    <comment ref="L121" authorId="0" shapeId="0" xr:uid="{ABE501BD-B11C-7A43-B915-9E23266778ED}">
      <text>
        <r>
          <rPr>
            <b/>
            <sz val="10"/>
            <color rgb="FF000000"/>
            <rFont val="Tahoma"/>
            <family val="2"/>
          </rPr>
          <t>Anthony Casale: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they become slightly more efficient overtime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Anthony Casale</author>
  </authors>
  <commentList>
    <comment ref="F15" authorId="0" shapeId="0" xr:uid="{C681FF7C-56D7-BA4E-BD2C-1FB7F5209B21}">
      <text>
        <r>
          <rPr>
            <b/>
            <sz val="10"/>
            <color rgb="FF000000"/>
            <rFont val="Tahoma"/>
            <family val="2"/>
          </rPr>
          <t>Anthony Casale: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38 days left in calendar year</t>
        </r>
      </text>
    </comment>
    <comment ref="C25" authorId="0" shapeId="0" xr:uid="{344079B6-42A8-374F-853C-CAC0544F5F1B}">
      <text>
        <r>
          <rPr>
            <b/>
            <sz val="10"/>
            <color rgb="FF000000"/>
            <rFont val="Tahoma"/>
            <family val="2"/>
          </rPr>
          <t>Anthony Casale: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majority of the enterprise value comes from the terminal value because the business is currently in a growth stage and is investing significant amounts of capital into R&amp;D and Software Development.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6" authorId="0" shapeId="0" xr:uid="{6C7B528B-35C8-4927-9FEC-A837665A8F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Anthony Casale</author>
  </authors>
  <commentList>
    <comment ref="K37" authorId="0" shapeId="0" xr:uid="{272C537E-D165-428C-9D9E-1A4AA2D57F4C}">
      <text>
        <r>
          <rPr>
            <b/>
            <sz val="9"/>
            <color rgb="FF000000"/>
            <rFont val="Tahoma"/>
            <family val="2"/>
          </rPr>
          <t>Anthony Casale: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Bragg moving away from </t>
        </r>
        <r>
          <rPr>
            <sz val="10"/>
            <color rgb="FF000000"/>
            <rFont val="Aptos Narrow"/>
          </rPr>
          <t>acquiring</t>
        </r>
        <r>
          <rPr>
            <sz val="9"/>
            <color rgb="FF000000"/>
            <rFont val="Tahoma"/>
            <family val="2"/>
          </rPr>
          <t xml:space="preserve"> 3rd party games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Anthony Casale</author>
  </authors>
  <commentList>
    <comment ref="P3" authorId="0" shapeId="0" xr:uid="{3DFBF024-B99D-453A-A5F8-61B1436A2990}">
      <text>
        <r>
          <rPr>
            <b/>
            <sz val="9"/>
            <color indexed="81"/>
            <rFont val="Tahoma"/>
            <family val="2"/>
          </rPr>
          <t>Anthony Casale:</t>
        </r>
        <r>
          <rPr>
            <sz val="9"/>
            <color indexed="81"/>
            <rFont val="Tahoma"/>
            <family val="2"/>
          </rPr>
          <t xml:space="preserve">
Assumptions are lower end of industry avg due to lower scale</t>
        </r>
      </text>
    </comment>
    <comment ref="L19" authorId="0" shapeId="0" xr:uid="{C24EFC22-8CC1-4B5F-B70D-76F1475359E2}">
      <text>
        <r>
          <rPr>
            <b/>
            <sz val="9"/>
            <color rgb="FF000000"/>
            <rFont val="Tahoma"/>
            <family val="2"/>
          </rPr>
          <t>Anthony Casale: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COGS AND GROSS MARGIN ARE ESTIMATED FOR 2023 BECAUSE THE GROSS MARGINS FOR EACH INDIVIDUAL PRODUCT ARE NOT DISCLOSED SO THEY ARE ASSUMED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PERCENT OFF IS TO SHOW THE QUALITY OF THE MARGIN ESTIMATES </t>
        </r>
      </text>
    </comment>
  </commentList>
</comments>
</file>

<file path=xl/sharedStrings.xml><?xml version="1.0" encoding="utf-8"?>
<sst xmlns="http://schemas.openxmlformats.org/spreadsheetml/2006/main" count="589" uniqueCount="306">
  <si>
    <t>Revenue</t>
  </si>
  <si>
    <t>Cost of revenue</t>
  </si>
  <si>
    <t>Gross Profit</t>
  </si>
  <si>
    <t>Selling, general and administrative expenses</t>
  </si>
  <si>
    <t>(Loss) gain on remeasurement of derivative liability</t>
  </si>
  <si>
    <t>Gain on settlement of convertible debt</t>
  </si>
  <si>
    <t>-</t>
  </si>
  <si>
    <t>(Loss) gain on remeasurement of deferred consideration</t>
  </si>
  <si>
    <t>Gain on remeasurement of consideration receivable</t>
  </si>
  <si>
    <t>Operating (Loss)</t>
  </si>
  <si>
    <t>Net interest expense and other financing charges</t>
  </si>
  <si>
    <t>(Loss) Before Income Taxes</t>
  </si>
  <si>
    <t>Income taxes</t>
  </si>
  <si>
    <t>Net (Loss)</t>
  </si>
  <si>
    <t>Income statement</t>
  </si>
  <si>
    <t>Cash and cash equivalents</t>
  </si>
  <si>
    <t>Trade and other receivables</t>
  </si>
  <si>
    <t>Prepaid expenses and other assets</t>
  </si>
  <si>
    <t>Total Current Assets</t>
  </si>
  <si>
    <t>Property and equipment</t>
  </si>
  <si>
    <t>Right-of-use assets</t>
  </si>
  <si>
    <t>Intangible assets</t>
  </si>
  <si>
    <t>Goodwill</t>
  </si>
  <si>
    <t>Other assets</t>
  </si>
  <si>
    <t>Total Assets</t>
  </si>
  <si>
    <t>Trade payables and other liabilities</t>
  </si>
  <si>
    <t>Deferred revenue</t>
  </si>
  <si>
    <t>Income taxes payable</t>
  </si>
  <si>
    <t>Lease obligations on right of use assets</t>
  </si>
  <si>
    <t>Deferred consideration</t>
  </si>
  <si>
    <t>Derivative liability</t>
  </si>
  <si>
    <t>Convertible debt</t>
  </si>
  <si>
    <t>Loans payable</t>
  </si>
  <si>
    <t>Total Current Liabilities</t>
  </si>
  <si>
    <t>Deferred income tax liabilities</t>
  </si>
  <si>
    <t>Other non-current liabilities</t>
  </si>
  <si>
    <t>Total Liabilities</t>
  </si>
  <si>
    <t>Share capital</t>
  </si>
  <si>
    <t>Broker warrants</t>
  </si>
  <si>
    <t>Shares to be issued</t>
  </si>
  <si>
    <t>Contributed surplus</t>
  </si>
  <si>
    <t>Accumulated deficit</t>
  </si>
  <si>
    <t>Accumulated other comprehensive income</t>
  </si>
  <si>
    <t>Total Equity</t>
  </si>
  <si>
    <t>Total Liabilities and Equity</t>
  </si>
  <si>
    <t xml:space="preserve">Liabilities </t>
  </si>
  <si>
    <t>Assets</t>
  </si>
  <si>
    <t xml:space="preserve">Shareholders Equity </t>
  </si>
  <si>
    <t>Cash and cash equivalents at beginning of year</t>
  </si>
  <si>
    <t>Change in Cash and Cash Equivalents</t>
  </si>
  <si>
    <t>Effect of foreign currency exchange rate changes on cash and cash equivalents</t>
  </si>
  <si>
    <t>Cash Flows (Used In) Generated from Financing Activities</t>
  </si>
  <si>
    <t>Interest and financing fees</t>
  </si>
  <si>
    <t>Interest income</t>
  </si>
  <si>
    <t>Repayment of loans</t>
  </si>
  <si>
    <t>Repayment of lease liability</t>
  </si>
  <si>
    <t>Proceeds from convertible debt, net of costs</t>
  </si>
  <si>
    <t>Repayment of convertible debt</t>
  </si>
  <si>
    <t>Proceeds from exercise of stock options</t>
  </si>
  <si>
    <t>Cash Flows Used In Investing Activities</t>
  </si>
  <si>
    <t>Prepaid consideration</t>
  </si>
  <si>
    <t>Cash acquired from business combination</t>
  </si>
  <si>
    <t>Consideration paid upon business combination</t>
  </si>
  <si>
    <t>Proceeds from sale of discontinued operations</t>
  </si>
  <si>
    <t>Additions of intangible assets</t>
  </si>
  <si>
    <t>Purchases of property and equipment</t>
  </si>
  <si>
    <t>Income tax paid</t>
  </si>
  <si>
    <t>Change in working capital</t>
  </si>
  <si>
    <t>Income tax expense</t>
  </si>
  <si>
    <t>Transaction and acquisition costs attributable to convertible debt</t>
  </si>
  <si>
    <t>Unrealized foreign exchange gain (loss)</t>
  </si>
  <si>
    <t>Share based compensation</t>
  </si>
  <si>
    <t>Net loss</t>
  </si>
  <si>
    <t>Cash and Cash Equivalents at end of year</t>
  </si>
  <si>
    <t>Current Share Price</t>
  </si>
  <si>
    <t>Implied Upside</t>
  </si>
  <si>
    <t>Income Statement Projections</t>
  </si>
  <si>
    <t>Projection</t>
  </si>
  <si>
    <t>SG&amp;A as a % of revenue</t>
  </si>
  <si>
    <t xml:space="preserve">Capex as of % of revenue </t>
  </si>
  <si>
    <t>Unlevered Free Cash Flow</t>
  </si>
  <si>
    <t>PV of ULFCF</t>
  </si>
  <si>
    <t>PV of TV</t>
  </si>
  <si>
    <t>Implied EV</t>
  </si>
  <si>
    <t>Current Debt</t>
  </si>
  <si>
    <t>Cash</t>
  </si>
  <si>
    <t>Implied Equity Value</t>
  </si>
  <si>
    <t>Diluted Shares Outstanding</t>
  </si>
  <si>
    <t>Implied Share Price</t>
  </si>
  <si>
    <t xml:space="preserve">Nwc as of % revenue </t>
  </si>
  <si>
    <t>Total PPE &amp; Intangibles</t>
  </si>
  <si>
    <t>Operating Activities</t>
  </si>
  <si>
    <t>Add:</t>
  </si>
  <si>
    <t>Cash Flows From Operating Activities</t>
  </si>
  <si>
    <t>Investing Activities</t>
  </si>
  <si>
    <t>Financing Activities</t>
  </si>
  <si>
    <t xml:space="preserve">Cash Flow Statement </t>
  </si>
  <si>
    <t>Balance Sheet</t>
  </si>
  <si>
    <t>Step</t>
  </si>
  <si>
    <t>Total Capex</t>
  </si>
  <si>
    <t>Income Tax Expense</t>
  </si>
  <si>
    <t>FY</t>
  </si>
  <si>
    <t xml:space="preserve">EBIT </t>
  </si>
  <si>
    <t xml:space="preserve">(-) Taxes </t>
  </si>
  <si>
    <t>(+) Depreciation &amp; Amortization</t>
  </si>
  <si>
    <t>(-) Change in Working Capital</t>
  </si>
  <si>
    <t>ULFCF</t>
  </si>
  <si>
    <t>DCF</t>
  </si>
  <si>
    <t xml:space="preserve">Discount Periods </t>
  </si>
  <si>
    <t>Discount Factor</t>
  </si>
  <si>
    <t xml:space="preserve">PV of ULFCF </t>
  </si>
  <si>
    <t xml:space="preserve">WACC </t>
  </si>
  <si>
    <t>Exit Multiple</t>
  </si>
  <si>
    <t xml:space="preserve">Terminal value </t>
  </si>
  <si>
    <t>EV/EBITDA Exit Multiple Method</t>
  </si>
  <si>
    <t xml:space="preserve">Revenue Build </t>
  </si>
  <si>
    <t>3rd Party games</t>
  </si>
  <si>
    <t>Exclusive games</t>
  </si>
  <si>
    <t>PAM &amp; Turnkey (%)</t>
  </si>
  <si>
    <t>Aggregated 3rd Party (%)</t>
  </si>
  <si>
    <t>Exclusive 3rd Party (%)</t>
  </si>
  <si>
    <t>Proprietary Content (%)</t>
  </si>
  <si>
    <t>Gross Profit Margin (%)</t>
  </si>
  <si>
    <t>Q1 2023</t>
  </si>
  <si>
    <t>Q2 2023</t>
  </si>
  <si>
    <t>Q3 2023</t>
  </si>
  <si>
    <t>Q4 2023</t>
  </si>
  <si>
    <t>Q1 2024</t>
  </si>
  <si>
    <t>Q2 2024</t>
  </si>
  <si>
    <t>Q3 2024</t>
  </si>
  <si>
    <t xml:space="preserve">Bragg Inc. (BRAG) </t>
  </si>
  <si>
    <t xml:space="preserve">Weighted Average Cost of Capital </t>
  </si>
  <si>
    <t>WACC Calculations:</t>
  </si>
  <si>
    <t>Risk Free Rate (10yr Treasury)</t>
  </si>
  <si>
    <t>Beta 5Y</t>
  </si>
  <si>
    <t>Market Return</t>
  </si>
  <si>
    <t xml:space="preserve">Cost of Equity </t>
  </si>
  <si>
    <t xml:space="preserve">Total Shares Outstanding </t>
  </si>
  <si>
    <t xml:space="preserve">Current Share Price </t>
  </si>
  <si>
    <t xml:space="preserve">Market Value of Equity </t>
  </si>
  <si>
    <t xml:space="preserve">Interest Expense on Debt </t>
  </si>
  <si>
    <t xml:space="preserve">Effective Tax Rate </t>
  </si>
  <si>
    <t xml:space="preserve">Cost of Debt </t>
  </si>
  <si>
    <t xml:space="preserve">Market Value of Debt </t>
  </si>
  <si>
    <t xml:space="preserve">% of Equity </t>
  </si>
  <si>
    <t xml:space="preserve">% of Debt </t>
  </si>
  <si>
    <t>WACC</t>
  </si>
  <si>
    <t>1QA</t>
  </si>
  <si>
    <t>2QA</t>
  </si>
  <si>
    <t>3QA</t>
  </si>
  <si>
    <t>4QA</t>
  </si>
  <si>
    <t>FYA</t>
  </si>
  <si>
    <t>1QE</t>
  </si>
  <si>
    <t>2QE</t>
  </si>
  <si>
    <t>3QE</t>
  </si>
  <si>
    <t>4QE</t>
  </si>
  <si>
    <t>FYE</t>
  </si>
  <si>
    <t xml:space="preserve">Beginning Prop games </t>
  </si>
  <si>
    <t xml:space="preserve">New Prop games </t>
  </si>
  <si>
    <t xml:space="preserve">Ending Prop games </t>
  </si>
  <si>
    <t xml:space="preserve">New Exclusive games </t>
  </si>
  <si>
    <t xml:space="preserve">Ending Exclusive games </t>
  </si>
  <si>
    <t>Revenue (€Thousands)</t>
  </si>
  <si>
    <t xml:space="preserve">Average product mix </t>
  </si>
  <si>
    <t>Software PAM</t>
  </si>
  <si>
    <t>Exclusive 3rd Party</t>
  </si>
  <si>
    <t xml:space="preserve">Gross Margin </t>
  </si>
  <si>
    <t>COGS Build Assumptions</t>
  </si>
  <si>
    <t xml:space="preserve">2023 Revenue Estimated </t>
  </si>
  <si>
    <t xml:space="preserve">Prop games margin </t>
  </si>
  <si>
    <t xml:space="preserve">Exclusive games margin </t>
  </si>
  <si>
    <t xml:space="preserve">Assumption </t>
  </si>
  <si>
    <t>70 to 90%</t>
  </si>
  <si>
    <t xml:space="preserve">Type of content </t>
  </si>
  <si>
    <t xml:space="preserve">Total </t>
  </si>
  <si>
    <t>Revenue Build Assumptions</t>
  </si>
  <si>
    <t>Stats</t>
  </si>
  <si>
    <t xml:space="preserve">Industry CAGR </t>
  </si>
  <si>
    <t>Product Mix 2023</t>
  </si>
  <si>
    <t xml:space="preserve">Revenue </t>
  </si>
  <si>
    <t xml:space="preserve">Assumptions </t>
  </si>
  <si>
    <t>Prop games growth rate</t>
  </si>
  <si>
    <t>Exclusive games growth rate</t>
  </si>
  <si>
    <t>PAM CAGR</t>
  </si>
  <si>
    <t xml:space="preserve">Management revenue guidance </t>
  </si>
  <si>
    <t>102-109 M</t>
  </si>
  <si>
    <t>20-25%</t>
  </si>
  <si>
    <r>
      <t>(</t>
    </r>
    <r>
      <rPr>
        <b/>
        <i/>
        <sz val="12"/>
        <color theme="1"/>
        <rFont val="Aptos Narrow"/>
        <family val="2"/>
        <scheme val="minor"/>
      </rPr>
      <t xml:space="preserve">In thousands of Euros) </t>
    </r>
  </si>
  <si>
    <t xml:space="preserve">Industry Avg </t>
  </si>
  <si>
    <t>All products</t>
  </si>
  <si>
    <t xml:space="preserve">Total COGS </t>
  </si>
  <si>
    <t xml:space="preserve">Total Gross Profit </t>
  </si>
  <si>
    <t>Exclusive 3rd Party Games</t>
  </si>
  <si>
    <t>PAM Software</t>
  </si>
  <si>
    <t xml:space="preserve">2023 Estimated COGS </t>
  </si>
  <si>
    <t>2023 Actual COGS</t>
  </si>
  <si>
    <t xml:space="preserve">Percent off </t>
  </si>
  <si>
    <t xml:space="preserve">Est Cost of Goods sold </t>
  </si>
  <si>
    <t xml:space="preserve">Est Gross profit </t>
  </si>
  <si>
    <t>75 to 85%</t>
  </si>
  <si>
    <t>60 to 80%</t>
  </si>
  <si>
    <t>f</t>
  </si>
  <si>
    <t xml:space="preserve">Total D&amp;A </t>
  </si>
  <si>
    <t>Amortization</t>
  </si>
  <si>
    <t>Depreciation</t>
  </si>
  <si>
    <t>FY2022A</t>
  </si>
  <si>
    <t xml:space="preserve">Convertible Debt </t>
  </si>
  <si>
    <t>Capex Build</t>
  </si>
  <si>
    <t>CAPEX:</t>
  </si>
  <si>
    <t>Revenue:</t>
  </si>
  <si>
    <t>Depreciation:</t>
  </si>
  <si>
    <t>CAPEX as a % of Revenue:</t>
  </si>
  <si>
    <t>Existing D&amp;A:</t>
  </si>
  <si>
    <t>BOP PP&amp;E</t>
  </si>
  <si>
    <t>(+) CAPEX</t>
  </si>
  <si>
    <t>(-) Depreciation</t>
  </si>
  <si>
    <t>EOP PP&amp;E</t>
  </si>
  <si>
    <t>Depreciation &amp; Amortization:</t>
  </si>
  <si>
    <t>IMPLIED AMORTIZATION:</t>
  </si>
  <si>
    <t>CAPEX Year:</t>
  </si>
  <si>
    <t>Year 6</t>
  </si>
  <si>
    <t>Addition of Intangibles assets</t>
  </si>
  <si>
    <t>Actual</t>
  </si>
  <si>
    <t>Projected</t>
  </si>
  <si>
    <t>% of revenue</t>
  </si>
  <si>
    <t>Share price</t>
  </si>
  <si>
    <t>Conversion %</t>
  </si>
  <si>
    <t>Face value</t>
  </si>
  <si>
    <t>Shares Issued</t>
  </si>
  <si>
    <t>in millions (except share price)</t>
  </si>
  <si>
    <t>Balance Checker</t>
  </si>
  <si>
    <t>Prop</t>
  </si>
  <si>
    <t>PAM</t>
  </si>
  <si>
    <t>Total revenue</t>
  </si>
  <si>
    <t>NOPAT</t>
  </si>
  <si>
    <t>In Euros except per share</t>
  </si>
  <si>
    <t>Prop games (%)</t>
  </si>
  <si>
    <t>EBITDA</t>
  </si>
  <si>
    <t>D&amp;A</t>
  </si>
  <si>
    <t>EBTIDA</t>
  </si>
  <si>
    <t>Operating gain (loss)</t>
  </si>
  <si>
    <t>EBITDA margin (%)</t>
  </si>
  <si>
    <t>Exclusive games (%)</t>
  </si>
  <si>
    <t>3rd party distribution (%)</t>
  </si>
  <si>
    <t>PAM (%)</t>
  </si>
  <si>
    <t xml:space="preserve">Product mix historical </t>
  </si>
  <si>
    <t>Product mix projected</t>
  </si>
  <si>
    <t>2023A</t>
  </si>
  <si>
    <t>2024E</t>
  </si>
  <si>
    <t>2025E</t>
  </si>
  <si>
    <t>2026E</t>
  </si>
  <si>
    <t>2027E</t>
  </si>
  <si>
    <t>2028E</t>
  </si>
  <si>
    <t>2029E</t>
  </si>
  <si>
    <t xml:space="preserve"> </t>
  </si>
  <si>
    <t>Sensitivity Analysis</t>
  </si>
  <si>
    <t>SG&amp;A Step</t>
  </si>
  <si>
    <t>Prop Revenue Growth Rate</t>
  </si>
  <si>
    <t>3rd Party Games CAGR</t>
  </si>
  <si>
    <t>Bull</t>
  </si>
  <si>
    <t>Base</t>
  </si>
  <si>
    <t>Bear</t>
  </si>
  <si>
    <t>Case Manager</t>
  </si>
  <si>
    <t>Selected Case:</t>
  </si>
  <si>
    <t>(Applicable for All Years)</t>
  </si>
  <si>
    <t>(-) Capital Expenditures &amp; Acquisition of Intangibles</t>
  </si>
  <si>
    <t>Small Cap Premium</t>
  </si>
  <si>
    <t>Proprietary games</t>
  </si>
  <si>
    <t>Revenue per Exclusive game (2023)</t>
  </si>
  <si>
    <t>Proprietary growth rate y/y</t>
  </si>
  <si>
    <t xml:space="preserve">Bragg Gaming Group (BRAG) </t>
  </si>
  <si>
    <t>Est. Amount of Exclusive games year end 2023</t>
  </si>
  <si>
    <t>Revenue from Proprietary games</t>
  </si>
  <si>
    <t xml:space="preserve">Beginning Exclusive games </t>
  </si>
  <si>
    <t xml:space="preserve">Revenue from PAM </t>
  </si>
  <si>
    <t xml:space="preserve">3rd Party Games Revenue </t>
  </si>
  <si>
    <t xml:space="preserve">Proprietary Games </t>
  </si>
  <si>
    <t>3rd Party Games</t>
  </si>
  <si>
    <t xml:space="preserve">Proprietary Content </t>
  </si>
  <si>
    <t>Percent off</t>
  </si>
  <si>
    <t>Cogs and Gross Margin Estimates</t>
  </si>
  <si>
    <t xml:space="preserve">2023 Estimated Gross Margin </t>
  </si>
  <si>
    <t xml:space="preserve">2023 Actually Gross Margin </t>
  </si>
  <si>
    <t xml:space="preserve">Software PAM margin </t>
  </si>
  <si>
    <t>Exclusive</t>
  </si>
  <si>
    <t>Revenue from total Exclusive games</t>
  </si>
  <si>
    <t>Revenue per Prop game (2023)</t>
  </si>
  <si>
    <t xml:space="preserve">Act. Amount of Prop games year end 2023 </t>
  </si>
  <si>
    <t xml:space="preserve">Exclusive 3rd party Games Revenue </t>
  </si>
  <si>
    <t>Total revenue Per Year</t>
  </si>
  <si>
    <t>Revenue from 3rd Party games</t>
  </si>
  <si>
    <t>3rd Party games CAGR</t>
  </si>
  <si>
    <t>Revenue Per Prop Game</t>
  </si>
  <si>
    <t>Revenue Per Exclusive Games</t>
  </si>
  <si>
    <t>Exclusive Games Growth Rate</t>
  </si>
  <si>
    <t xml:space="preserve">Proprietary Games Revenue </t>
  </si>
  <si>
    <t>Player Account Management</t>
  </si>
  <si>
    <t>Player Account Management Revenue</t>
  </si>
  <si>
    <t xml:space="preserve">3rd party distribution </t>
  </si>
  <si>
    <t>Interest Expense</t>
  </si>
  <si>
    <t>Northeastern University Student Value Fund</t>
  </si>
  <si>
    <t>Version Date:</t>
  </si>
  <si>
    <t>Anthony Casale</t>
  </si>
  <si>
    <t>Analyst:</t>
  </si>
  <si>
    <t>12.07.2024</t>
  </si>
  <si>
    <t>Bragg Gaming Group Financial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</si>
</sst>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mmm\-yy;@"/>
    <numFmt numFmtId="167" formatCode="_(#,##0_);_(\(#,##0\);_(&quot;-&quot;_);_(@_)"/>
    <numFmt numFmtId="168" formatCode="_(0_);_(\(0\);_(&quot;-&quot;_);@_)"/>
    <numFmt numFmtId="169" formatCode="####&quot;A&quot;"/>
    <numFmt numFmtId="170" formatCode="####&quot;P&quot;"/>
    <numFmt numFmtId="171" formatCode="0.0&quot;x&quot;"/>
    <numFmt numFmtId="172" formatCode="_(* #,##0.000_);_(* \(#,##0.000\);_(* &quot;-&quot;_);_(@_)"/>
    <numFmt numFmtId="173" formatCode="_(* #,##0.00_);_(* \(#,##0.00\);_(* &quot;-&quot;_);_(@_)"/>
    <numFmt numFmtId="174" formatCode="0.0000%"/>
    <numFmt numFmtId="175" formatCode="&quot;FY&quot;0000&quot;A&quot;"/>
    <numFmt numFmtId="176" formatCode="&quot;FY&quot;0000&quot;E&quot;"/>
    <numFmt numFmtId="177" formatCode="#,##0_);\(#,##0\);\-"/>
    <numFmt numFmtId="178" formatCode="&quot;Year&quot;\ 0"/>
    <numFmt numFmtId="179" formatCode="_([$$-409]* #,##0.00_);_([$$-409]* \(#,##0.00\);_([$$-409]* &quot;-&quot;??_);_(@_)"/>
    <numFmt numFmtId="180" formatCode="0.000"/>
    <numFmt numFmtId="181" formatCode="#,##0.00\ [$€-410]"/>
  </numFmts>
  <fonts count="63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0"/>
      <name val="Garamond"/>
      <family val="1"/>
    </font>
    <font>
      <sz val="12"/>
      <color theme="1"/>
      <name val="Garamond"/>
      <family val="1"/>
    </font>
    <font>
      <b/>
      <sz val="12"/>
      <color theme="0"/>
      <name val="Aptos Narrow"/>
      <family val="2"/>
      <scheme val="minor"/>
    </font>
    <font>
      <b/>
      <sz val="12"/>
      <color theme="1"/>
      <name val="Garamond"/>
      <family val="1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Aptos Narrow"/>
      <family val="2"/>
      <scheme val="minor"/>
    </font>
    <font>
      <i/>
      <sz val="11"/>
      <color theme="0"/>
      <name val="Aptos Narrow"/>
      <family val="2"/>
      <scheme val="minor"/>
    </font>
    <font>
      <sz val="11"/>
      <color theme="3" tint="0.39997558519241921"/>
      <name val="Aptos Narrow"/>
      <family val="2"/>
      <scheme val="minor"/>
    </font>
    <font>
      <sz val="11"/>
      <color rgb="FF00B05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rgb="FF232A31"/>
      <name val="Helvetica Neue"/>
      <family val="2"/>
    </font>
    <font>
      <b/>
      <sz val="11"/>
      <color rgb="FFFFFFFF"/>
      <name val="Times New Roman"/>
      <family val="1"/>
    </font>
    <font>
      <sz val="11"/>
      <color rgb="FFFFFFFF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sz val="12"/>
      <color theme="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4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2"/>
      <color rgb="FF232A31"/>
      <name val="Helvetica Neue"/>
      <family val="2"/>
    </font>
    <font>
      <b/>
      <sz val="12"/>
      <color theme="0"/>
      <name val="Helvetica Neue"/>
      <family val="2"/>
    </font>
    <font>
      <b/>
      <sz val="12"/>
      <color rgb="FF232A31"/>
      <name val="Helvetica Neue"/>
      <family val="2"/>
    </font>
    <font>
      <sz val="12"/>
      <color rgb="FF232A31"/>
      <name val="Helvetica Neue"/>
      <family val="2"/>
    </font>
    <font>
      <b/>
      <sz val="12"/>
      <color theme="0"/>
      <name val="Helvetica Neue"/>
      <family val="2"/>
    </font>
    <font>
      <b/>
      <i/>
      <u/>
      <sz val="12"/>
      <color theme="1"/>
      <name val="Aptos Narrow"/>
      <family val="2"/>
      <scheme val="minor"/>
    </font>
    <font>
      <sz val="12"/>
      <color rgb="FF00B050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Aptos Narrow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20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039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766D"/>
        <bgColor rgb="FF000000"/>
      </patternFill>
    </fill>
    <fill>
      <patternFill patternType="solid">
        <fgColor rgb="FFFCB679"/>
        <bgColor rgb="FF000000"/>
      </patternFill>
    </fill>
    <fill>
      <patternFill patternType="solid">
        <fgColor rgb="FFF3E884"/>
        <bgColor rgb="FF000000"/>
      </patternFill>
    </fill>
    <fill>
      <patternFill patternType="solid">
        <fgColor rgb="FFABD380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8736C"/>
        <bgColor rgb="FF000000"/>
      </patternFill>
    </fill>
    <fill>
      <patternFill patternType="solid">
        <fgColor rgb="FFFBB179"/>
        <bgColor rgb="FF000000"/>
      </patternFill>
    </fill>
    <fill>
      <patternFill patternType="solid">
        <fgColor rgb="FFF9EA84"/>
        <bgColor rgb="FF000000"/>
      </patternFill>
    </fill>
    <fill>
      <patternFill patternType="solid">
        <fgColor rgb="FFB3D580"/>
        <bgColor rgb="FF000000"/>
      </patternFill>
    </fill>
    <fill>
      <patternFill patternType="solid">
        <fgColor rgb="FF6CC17C"/>
        <bgColor rgb="FF000000"/>
      </patternFill>
    </fill>
    <fill>
      <patternFill patternType="solid">
        <fgColor rgb="FFF86F6C"/>
        <bgColor rgb="FF000000"/>
      </patternFill>
    </fill>
    <fill>
      <patternFill patternType="solid">
        <fgColor rgb="FFFBAD78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BAD780"/>
        <bgColor rgb="FF000000"/>
      </patternFill>
    </fill>
    <fill>
      <patternFill patternType="solid">
        <fgColor rgb="FF74C37C"/>
        <bgColor rgb="FF000000"/>
      </patternFill>
    </fill>
    <fill>
      <patternFill patternType="solid">
        <fgColor rgb="FFF86C6B"/>
        <bgColor rgb="FF000000"/>
      </patternFill>
    </fill>
    <fill>
      <patternFill patternType="solid">
        <fgColor rgb="FFFBA877"/>
        <bgColor rgb="FF000000"/>
      </patternFill>
    </fill>
    <fill>
      <patternFill patternType="solid">
        <fgColor rgb="FFFEE582"/>
        <bgColor rgb="FF000000"/>
      </patternFill>
    </fill>
    <fill>
      <patternFill patternType="solid">
        <fgColor rgb="FFC1D981"/>
        <bgColor rgb="FF000000"/>
      </patternFill>
    </fill>
    <fill>
      <patternFill patternType="solid">
        <fgColor rgb="FF7DC67D"/>
        <bgColor rgb="FF000000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9.9978637043366805E-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</cellStyleXfs>
  <cellXfs count="327">
    <xf numFmtId="0" fontId="0" fillId="0" borderId="0" xfId="0"/>
    <xf numFmtId="0" fontId="6" fillId="0" borderId="0" xfId="0" applyFont="1"/>
    <xf numFmtId="0" fontId="5" fillId="0" borderId="0" xfId="0" applyFont="1"/>
    <xf numFmtId="3" fontId="0" fillId="0" borderId="0" xfId="0" applyNumberFormat="1"/>
    <xf numFmtId="0" fontId="7" fillId="0" borderId="1" xfId="0" applyFont="1" applyBorder="1" applyAlignment="1">
      <alignment horizontal="center" vertical="top"/>
    </xf>
    <xf numFmtId="43" fontId="0" fillId="0" borderId="0" xfId="1" applyFont="1"/>
    <xf numFmtId="0" fontId="8" fillId="2" borderId="0" xfId="0" applyFont="1" applyFill="1"/>
    <xf numFmtId="0" fontId="0" fillId="0" borderId="0" xfId="1" applyNumberFormat="1" applyFont="1"/>
    <xf numFmtId="3" fontId="0" fillId="0" borderId="0" xfId="1" applyNumberFormat="1" applyFont="1"/>
    <xf numFmtId="43" fontId="0" fillId="0" borderId="0" xfId="0" applyNumberFormat="1"/>
    <xf numFmtId="9" fontId="0" fillId="0" borderId="0" xfId="0" applyNumberFormat="1"/>
    <xf numFmtId="165" fontId="0" fillId="0" borderId="0" xfId="3" applyNumberFormat="1" applyFont="1"/>
    <xf numFmtId="0" fontId="9" fillId="0" borderId="0" xfId="0" applyFont="1"/>
    <xf numFmtId="41" fontId="11" fillId="0" borderId="0" xfId="2" applyNumberFormat="1" applyFont="1" applyAlignment="1">
      <alignment horizontal="center"/>
    </xf>
    <xf numFmtId="0" fontId="12" fillId="3" borderId="0" xfId="0" applyFont="1" applyFill="1"/>
    <xf numFmtId="166" fontId="10" fillId="3" borderId="0" xfId="0" applyNumberFormat="1" applyFont="1" applyFill="1" applyAlignment="1">
      <alignment horizontal="center"/>
    </xf>
    <xf numFmtId="166" fontId="10" fillId="3" borderId="5" xfId="0" applyNumberFormat="1" applyFont="1" applyFill="1" applyBorder="1" applyAlignment="1">
      <alignment horizontal="center"/>
    </xf>
    <xf numFmtId="41" fontId="11" fillId="0" borderId="5" xfId="2" applyNumberFormat="1" applyFont="1" applyBorder="1" applyAlignment="1">
      <alignment horizontal="center"/>
    </xf>
    <xf numFmtId="0" fontId="8" fillId="0" borderId="0" xfId="0" applyFont="1" applyAlignment="1">
      <alignment horizontal="centerContinuous"/>
    </xf>
    <xf numFmtId="0" fontId="8" fillId="0" borderId="8" xfId="0" applyFont="1" applyBorder="1" applyAlignment="1">
      <alignment horizontal="centerContinuous"/>
    </xf>
    <xf numFmtId="0" fontId="6" fillId="0" borderId="9" xfId="0" applyFont="1" applyBorder="1"/>
    <xf numFmtId="41" fontId="13" fillId="0" borderId="9" xfId="2" applyNumberFormat="1" applyFont="1" applyBorder="1" applyAlignment="1">
      <alignment horizontal="center"/>
    </xf>
    <xf numFmtId="41" fontId="13" fillId="0" borderId="10" xfId="2" applyNumberFormat="1" applyFont="1" applyBorder="1" applyAlignment="1">
      <alignment horizontal="center"/>
    </xf>
    <xf numFmtId="165" fontId="14" fillId="0" borderId="0" xfId="0" applyNumberFormat="1" applyFont="1"/>
    <xf numFmtId="41" fontId="11" fillId="0" borderId="0" xfId="2" applyNumberFormat="1" applyFont="1" applyAlignment="1">
      <alignment horizontal="right"/>
    </xf>
    <xf numFmtId="10" fontId="0" fillId="0" borderId="0" xfId="3" applyNumberFormat="1" applyFont="1"/>
    <xf numFmtId="10" fontId="0" fillId="0" borderId="0" xfId="0" applyNumberFormat="1"/>
    <xf numFmtId="0" fontId="6" fillId="5" borderId="0" xfId="0" applyFont="1" applyFill="1"/>
    <xf numFmtId="0" fontId="6" fillId="0" borderId="12" xfId="0" applyFont="1" applyBorder="1"/>
    <xf numFmtId="167" fontId="16" fillId="0" borderId="0" xfId="0" applyNumberFormat="1" applyFont="1"/>
    <xf numFmtId="168" fontId="16" fillId="0" borderId="0" xfId="0" applyNumberFormat="1" applyFont="1" applyAlignment="1">
      <alignment horizontal="right"/>
    </xf>
    <xf numFmtId="167" fontId="17" fillId="0" borderId="0" xfId="0" applyNumberFormat="1" applyFont="1"/>
    <xf numFmtId="41" fontId="0" fillId="0" borderId="0" xfId="0" applyNumberFormat="1"/>
    <xf numFmtId="0" fontId="8" fillId="0" borderId="9" xfId="0" applyFont="1" applyBorder="1"/>
    <xf numFmtId="3" fontId="8" fillId="0" borderId="9" xfId="0" applyNumberFormat="1" applyFont="1" applyBorder="1"/>
    <xf numFmtId="164" fontId="8" fillId="0" borderId="9" xfId="0" applyNumberFormat="1" applyFont="1" applyBorder="1"/>
    <xf numFmtId="3" fontId="7" fillId="0" borderId="0" xfId="0" applyNumberFormat="1" applyFont="1"/>
    <xf numFmtId="0" fontId="7" fillId="0" borderId="0" xfId="0" applyFont="1"/>
    <xf numFmtId="164" fontId="20" fillId="0" borderId="0" xfId="1" applyNumberFormat="1" applyFont="1"/>
    <xf numFmtId="164" fontId="0" fillId="0" borderId="0" xfId="1" applyNumberFormat="1" applyFont="1"/>
    <xf numFmtId="164" fontId="7" fillId="0" borderId="0" xfId="0" applyNumberFormat="1" applyFont="1"/>
    <xf numFmtId="164" fontId="21" fillId="0" borderId="0" xfId="1" applyNumberFormat="1" applyFont="1"/>
    <xf numFmtId="3" fontId="7" fillId="0" borderId="8" xfId="0" applyNumberFormat="1" applyFont="1" applyBorder="1"/>
    <xf numFmtId="0" fontId="7" fillId="0" borderId="8" xfId="0" applyFont="1" applyBorder="1"/>
    <xf numFmtId="3" fontId="22" fillId="0" borderId="0" xfId="0" applyNumberFormat="1" applyFont="1" applyAlignment="1">
      <alignment horizontal="left" indent="1"/>
    </xf>
    <xf numFmtId="0" fontId="0" fillId="0" borderId="8" xfId="0" applyBorder="1"/>
    <xf numFmtId="164" fontId="7" fillId="0" borderId="12" xfId="0" applyNumberFormat="1" applyFont="1" applyBorder="1"/>
    <xf numFmtId="41" fontId="11" fillId="0" borderId="0" xfId="2" applyNumberFormat="1" applyFont="1" applyBorder="1" applyAlignment="1">
      <alignment horizontal="center"/>
    </xf>
    <xf numFmtId="0" fontId="6" fillId="0" borderId="13" xfId="0" applyFont="1" applyBorder="1"/>
    <xf numFmtId="41" fontId="13" fillId="0" borderId="13" xfId="2" applyNumberFormat="1" applyFont="1" applyBorder="1" applyAlignment="1">
      <alignment horizontal="center"/>
    </xf>
    <xf numFmtId="0" fontId="8" fillId="0" borderId="11" xfId="0" applyFont="1" applyBorder="1"/>
    <xf numFmtId="10" fontId="7" fillId="0" borderId="0" xfId="3" applyNumberFormat="1" applyFont="1"/>
    <xf numFmtId="0" fontId="0" fillId="0" borderId="6" xfId="0" applyBorder="1"/>
    <xf numFmtId="0" fontId="15" fillId="0" borderId="0" xfId="0" applyFont="1"/>
    <xf numFmtId="16" fontId="0" fillId="0" borderId="0" xfId="0" applyNumberFormat="1"/>
    <xf numFmtId="15" fontId="25" fillId="0" borderId="0" xfId="0" applyNumberFormat="1" applyFont="1"/>
    <xf numFmtId="0" fontId="25" fillId="0" borderId="0" xfId="0" applyFont="1"/>
    <xf numFmtId="3" fontId="25" fillId="0" borderId="0" xfId="0" applyNumberFormat="1" applyFont="1"/>
    <xf numFmtId="0" fontId="26" fillId="6" borderId="2" xfId="0" applyFont="1" applyFill="1" applyBorder="1"/>
    <xf numFmtId="0" fontId="26" fillId="6" borderId="12" xfId="0" applyFont="1" applyFill="1" applyBorder="1"/>
    <xf numFmtId="0" fontId="27" fillId="6" borderId="12" xfId="0" applyFont="1" applyFill="1" applyBorder="1"/>
    <xf numFmtId="0" fontId="27" fillId="6" borderId="3" xfId="0" applyFont="1" applyFill="1" applyBorder="1"/>
    <xf numFmtId="0" fontId="27" fillId="6" borderId="15" xfId="0" applyFont="1" applyFill="1" applyBorder="1" applyAlignment="1">
      <alignment horizontal="right"/>
    </xf>
    <xf numFmtId="0" fontId="28" fillId="0" borderId="4" xfId="0" applyFont="1" applyBorder="1"/>
    <xf numFmtId="0" fontId="28" fillId="0" borderId="0" xfId="0" applyFont="1"/>
    <xf numFmtId="0" fontId="28" fillId="0" borderId="5" xfId="0" applyFont="1" applyBorder="1"/>
    <xf numFmtId="10" fontId="28" fillId="0" borderId="16" xfId="0" applyNumberFormat="1" applyFont="1" applyBorder="1" applyAlignment="1">
      <alignment horizontal="right"/>
    </xf>
    <xf numFmtId="0" fontId="28" fillId="0" borderId="16" xfId="0" applyFont="1" applyBorder="1" applyAlignment="1">
      <alignment horizontal="right"/>
    </xf>
    <xf numFmtId="0" fontId="28" fillId="0" borderId="6" xfId="0" applyFont="1" applyBorder="1"/>
    <xf numFmtId="0" fontId="28" fillId="0" borderId="8" xfId="0" applyFont="1" applyBorder="1"/>
    <xf numFmtId="0" fontId="28" fillId="0" borderId="7" xfId="0" applyFont="1" applyBorder="1"/>
    <xf numFmtId="6" fontId="28" fillId="0" borderId="17" xfId="0" applyNumberFormat="1" applyFont="1" applyBorder="1" applyAlignment="1">
      <alignment horizontal="right"/>
    </xf>
    <xf numFmtId="0" fontId="28" fillId="0" borderId="2" xfId="0" applyFont="1" applyBorder="1"/>
    <xf numFmtId="0" fontId="28" fillId="0" borderId="12" xfId="0" applyFont="1" applyBorder="1"/>
    <xf numFmtId="0" fontId="28" fillId="0" borderId="3" xfId="0" applyFont="1" applyBorder="1"/>
    <xf numFmtId="10" fontId="28" fillId="0" borderId="15" xfId="0" applyNumberFormat="1" applyFont="1" applyBorder="1" applyAlignment="1">
      <alignment horizontal="right"/>
    </xf>
    <xf numFmtId="10" fontId="28" fillId="0" borderId="17" xfId="0" applyNumberFormat="1" applyFont="1" applyBorder="1" applyAlignment="1">
      <alignment horizontal="right"/>
    </xf>
    <xf numFmtId="0" fontId="28" fillId="0" borderId="11" xfId="0" applyFont="1" applyBorder="1"/>
    <xf numFmtId="0" fontId="28" fillId="0" borderId="9" xfId="0" applyFont="1" applyBorder="1"/>
    <xf numFmtId="0" fontId="28" fillId="0" borderId="10" xfId="0" applyFont="1" applyBorder="1"/>
    <xf numFmtId="10" fontId="28" fillId="0" borderId="1" xfId="0" applyNumberFormat="1" applyFont="1" applyBorder="1" applyAlignment="1">
      <alignment horizontal="right"/>
    </xf>
    <xf numFmtId="172" fontId="0" fillId="0" borderId="0" xfId="0" applyNumberFormat="1"/>
    <xf numFmtId="0" fontId="30" fillId="0" borderId="0" xfId="0" applyFont="1"/>
    <xf numFmtId="0" fontId="0" fillId="0" borderId="0" xfId="0" applyAlignment="1">
      <alignment vertical="top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8" xfId="0" applyFont="1" applyBorder="1"/>
    <xf numFmtId="0" fontId="15" fillId="0" borderId="12" xfId="0" applyFont="1" applyBorder="1" applyAlignment="1">
      <alignment vertical="top"/>
    </xf>
    <xf numFmtId="9" fontId="0" fillId="0" borderId="0" xfId="3" applyFont="1"/>
    <xf numFmtId="1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43" fontId="0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173" fontId="0" fillId="0" borderId="0" xfId="0" applyNumberFormat="1"/>
    <xf numFmtId="174" fontId="0" fillId="0" borderId="0" xfId="3" applyNumberFormat="1" applyFont="1"/>
    <xf numFmtId="43" fontId="28" fillId="0" borderId="16" xfId="1" applyFont="1" applyBorder="1" applyAlignment="1">
      <alignment horizontal="right"/>
    </xf>
    <xf numFmtId="43" fontId="36" fillId="0" borderId="16" xfId="1" applyFont="1" applyBorder="1" applyAlignment="1">
      <alignment horizontal="right"/>
    </xf>
    <xf numFmtId="44" fontId="28" fillId="0" borderId="16" xfId="2" applyFont="1" applyBorder="1" applyAlignment="1">
      <alignment horizontal="right"/>
    </xf>
    <xf numFmtId="10" fontId="8" fillId="0" borderId="10" xfId="0" applyNumberFormat="1" applyFont="1" applyBorder="1"/>
    <xf numFmtId="0" fontId="3" fillId="0" borderId="0" xfId="0" applyFont="1"/>
    <xf numFmtId="0" fontId="37" fillId="0" borderId="0" xfId="0" applyFont="1"/>
    <xf numFmtId="0" fontId="7" fillId="5" borderId="0" xfId="0" applyFont="1" applyFill="1"/>
    <xf numFmtId="167" fontId="38" fillId="0" borderId="0" xfId="0" applyNumberFormat="1" applyFont="1"/>
    <xf numFmtId="168" fontId="38" fillId="0" borderId="0" xfId="0" applyNumberFormat="1" applyFont="1" applyAlignment="1">
      <alignment horizontal="right"/>
    </xf>
    <xf numFmtId="0" fontId="7" fillId="0" borderId="12" xfId="0" applyFont="1" applyBorder="1"/>
    <xf numFmtId="0" fontId="18" fillId="3" borderId="0" xfId="0" applyFont="1" applyFill="1"/>
    <xf numFmtId="166" fontId="35" fillId="3" borderId="0" xfId="0" applyNumberFormat="1" applyFont="1" applyFill="1" applyAlignment="1">
      <alignment horizontal="center"/>
    </xf>
    <xf numFmtId="166" fontId="35" fillId="3" borderId="5" xfId="0" applyNumberFormat="1" applyFont="1" applyFill="1" applyBorder="1" applyAlignment="1">
      <alignment horizontal="center"/>
    </xf>
    <xf numFmtId="167" fontId="3" fillId="0" borderId="0" xfId="0" applyNumberFormat="1" applyFont="1"/>
    <xf numFmtId="1" fontId="3" fillId="0" borderId="0" xfId="0" applyNumberFormat="1" applyFont="1"/>
    <xf numFmtId="0" fontId="7" fillId="0" borderId="9" xfId="0" applyFont="1" applyBorder="1"/>
    <xf numFmtId="167" fontId="39" fillId="0" borderId="9" xfId="0" applyNumberFormat="1" applyFont="1" applyBorder="1"/>
    <xf numFmtId="167" fontId="3" fillId="4" borderId="0" xfId="0" applyNumberFormat="1" applyFont="1" applyFill="1"/>
    <xf numFmtId="41" fontId="3" fillId="0" borderId="0" xfId="0" applyNumberFormat="1" applyFont="1"/>
    <xf numFmtId="3" fontId="0" fillId="4" borderId="0" xfId="0" applyNumberFormat="1" applyFill="1"/>
    <xf numFmtId="43" fontId="15" fillId="0" borderId="0" xfId="1" applyFont="1"/>
    <xf numFmtId="0" fontId="15" fillId="0" borderId="12" xfId="0" applyFont="1" applyBorder="1"/>
    <xf numFmtId="167" fontId="38" fillId="0" borderId="8" xfId="0" applyNumberFormat="1" applyFont="1" applyBorder="1" applyAlignment="1">
      <alignment horizontal="right"/>
    </xf>
    <xf numFmtId="167" fontId="2" fillId="0" borderId="8" xfId="0" applyNumberFormat="1" applyFont="1" applyBorder="1" applyAlignment="1">
      <alignment horizontal="right"/>
    </xf>
    <xf numFmtId="167" fontId="3" fillId="0" borderId="8" xfId="0" applyNumberFormat="1" applyFont="1" applyBorder="1" applyAlignment="1">
      <alignment horizontal="right"/>
    </xf>
    <xf numFmtId="37" fontId="0" fillId="0" borderId="0" xfId="0" applyNumberFormat="1"/>
    <xf numFmtId="177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40" fillId="0" borderId="0" xfId="0" applyFont="1"/>
    <xf numFmtId="0" fontId="15" fillId="8" borderId="11" xfId="0" applyFont="1" applyFill="1" applyBorder="1"/>
    <xf numFmtId="0" fontId="0" fillId="8" borderId="10" xfId="0" applyFill="1" applyBorder="1"/>
    <xf numFmtId="4" fontId="0" fillId="0" borderId="2" xfId="0" applyNumberFormat="1" applyBorder="1"/>
    <xf numFmtId="0" fontId="0" fillId="0" borderId="0" xfId="0" quotePrefix="1" applyAlignment="1">
      <alignment horizontal="center"/>
    </xf>
    <xf numFmtId="177" fontId="0" fillId="0" borderId="0" xfId="0" applyNumberFormat="1"/>
    <xf numFmtId="178" fontId="0" fillId="0" borderId="0" xfId="0" applyNumberFormat="1" applyAlignment="1">
      <alignment horizontal="center"/>
    </xf>
    <xf numFmtId="4" fontId="0" fillId="0" borderId="0" xfId="0" applyNumberFormat="1"/>
    <xf numFmtId="4" fontId="0" fillId="0" borderId="7" xfId="0" applyNumberFormat="1" applyBorder="1"/>
    <xf numFmtId="4" fontId="0" fillId="0" borderId="12" xfId="0" applyNumberFormat="1" applyBorder="1"/>
    <xf numFmtId="4" fontId="0" fillId="0" borderId="3" xfId="0" applyNumberFormat="1" applyBorder="1"/>
    <xf numFmtId="4" fontId="0" fillId="0" borderId="5" xfId="0" applyNumberFormat="1" applyBorder="1"/>
    <xf numFmtId="177" fontId="0" fillId="0" borderId="5" xfId="0" applyNumberFormat="1" applyBorder="1" applyAlignment="1">
      <alignment horizontal="center"/>
    </xf>
    <xf numFmtId="10" fontId="0" fillId="0" borderId="5" xfId="0" applyNumberFormat="1" applyBorder="1"/>
    <xf numFmtId="43" fontId="0" fillId="0" borderId="0" xfId="1" applyFont="1" applyBorder="1" applyAlignment="1">
      <alignment horizontal="center"/>
    </xf>
    <xf numFmtId="10" fontId="0" fillId="0" borderId="0" xfId="3" applyNumberFormat="1" applyFont="1" applyBorder="1" applyAlignment="1">
      <alignment horizontal="center"/>
    </xf>
    <xf numFmtId="10" fontId="0" fillId="0" borderId="5" xfId="3" applyNumberFormat="1" applyFont="1" applyBorder="1" applyAlignment="1">
      <alignment horizontal="center"/>
    </xf>
    <xf numFmtId="164" fontId="3" fillId="4" borderId="0" xfId="1" applyNumberFormat="1" applyFont="1" applyFill="1"/>
    <xf numFmtId="179" fontId="0" fillId="0" borderId="0" xfId="0" applyNumberFormat="1"/>
    <xf numFmtId="0" fontId="31" fillId="0" borderId="0" xfId="0" applyFont="1"/>
    <xf numFmtId="164" fontId="7" fillId="0" borderId="9" xfId="0" applyNumberFormat="1" applyFont="1" applyBorder="1"/>
    <xf numFmtId="0" fontId="8" fillId="0" borderId="0" xfId="0" applyFont="1" applyAlignment="1">
      <alignment horizontal="center"/>
    </xf>
    <xf numFmtId="10" fontId="0" fillId="0" borderId="0" xfId="3" applyNumberFormat="1" applyFont="1" applyAlignment="1">
      <alignment horizontal="center"/>
    </xf>
    <xf numFmtId="0" fontId="8" fillId="0" borderId="12" xfId="0" applyFont="1" applyBorder="1"/>
    <xf numFmtId="3" fontId="8" fillId="0" borderId="12" xfId="1" applyNumberFormat="1" applyFont="1" applyBorder="1"/>
    <xf numFmtId="0" fontId="0" fillId="0" borderId="0" xfId="0" applyAlignment="1">
      <alignment horizontal="left" indent="1"/>
    </xf>
    <xf numFmtId="167" fontId="16" fillId="7" borderId="0" xfId="0" applyNumberFormat="1" applyFont="1" applyFill="1"/>
    <xf numFmtId="167" fontId="17" fillId="0" borderId="12" xfId="0" applyNumberFormat="1" applyFont="1" applyBorder="1"/>
    <xf numFmtId="43" fontId="8" fillId="0" borderId="0" xfId="0" applyNumberFormat="1" applyFont="1"/>
    <xf numFmtId="167" fontId="0" fillId="0" borderId="0" xfId="0" applyNumberFormat="1"/>
    <xf numFmtId="168" fontId="39" fillId="0" borderId="0" xfId="0" applyNumberFormat="1" applyFont="1" applyAlignment="1">
      <alignment horizontal="right"/>
    </xf>
    <xf numFmtId="164" fontId="8" fillId="0" borderId="12" xfId="0" applyNumberFormat="1" applyFont="1" applyBorder="1"/>
    <xf numFmtId="3" fontId="8" fillId="0" borderId="12" xfId="0" applyNumberFormat="1" applyFont="1" applyBorder="1"/>
    <xf numFmtId="0" fontId="0" fillId="9" borderId="0" xfId="0" applyFill="1"/>
    <xf numFmtId="3" fontId="0" fillId="9" borderId="0" xfId="1" applyNumberFormat="1" applyFont="1" applyFill="1"/>
    <xf numFmtId="43" fontId="0" fillId="9" borderId="0" xfId="1" applyFont="1" applyFill="1"/>
    <xf numFmtId="0" fontId="15" fillId="9" borderId="0" xfId="0" applyFont="1" applyFill="1"/>
    <xf numFmtId="3" fontId="0" fillId="9" borderId="0" xfId="0" applyNumberFormat="1" applyFill="1"/>
    <xf numFmtId="164" fontId="8" fillId="0" borderId="9" xfId="1" applyNumberFormat="1" applyFont="1" applyBorder="1"/>
    <xf numFmtId="0" fontId="8" fillId="0" borderId="10" xfId="0" applyFont="1" applyBorder="1"/>
    <xf numFmtId="0" fontId="0" fillId="0" borderId="10" xfId="0" applyBorder="1"/>
    <xf numFmtId="10" fontId="0" fillId="0" borderId="9" xfId="3" applyNumberFormat="1" applyFont="1" applyBorder="1"/>
    <xf numFmtId="0" fontId="0" fillId="0" borderId="12" xfId="0" applyBorder="1"/>
    <xf numFmtId="0" fontId="0" fillId="0" borderId="14" xfId="0" applyBorder="1"/>
    <xf numFmtId="2" fontId="0" fillId="0" borderId="0" xfId="0" applyNumberFormat="1"/>
    <xf numFmtId="2" fontId="0" fillId="0" borderId="12" xfId="0" applyNumberFormat="1" applyBorder="1"/>
    <xf numFmtId="3" fontId="0" fillId="0" borderId="8" xfId="0" applyNumberFormat="1" applyBorder="1"/>
    <xf numFmtId="0" fontId="0" fillId="0" borderId="2" xfId="0" applyBorder="1"/>
    <xf numFmtId="171" fontId="0" fillId="0" borderId="3" xfId="0" applyNumberFormat="1" applyBorder="1"/>
    <xf numFmtId="164" fontId="0" fillId="0" borderId="7" xfId="0" applyNumberFormat="1" applyBorder="1"/>
    <xf numFmtId="43" fontId="42" fillId="0" borderId="11" xfId="0" applyNumberFormat="1" applyFont="1" applyBorder="1"/>
    <xf numFmtId="171" fontId="0" fillId="0" borderId="10" xfId="0" applyNumberFormat="1" applyBorder="1"/>
    <xf numFmtId="10" fontId="43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43" fontId="21" fillId="0" borderId="3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5" xfId="0" applyNumberFormat="1" applyFont="1" applyBorder="1"/>
    <xf numFmtId="10" fontId="44" fillId="0" borderId="4" xfId="0" applyNumberFormat="1" applyFont="1" applyBorder="1" applyAlignment="1">
      <alignment horizontal="center"/>
    </xf>
    <xf numFmtId="10" fontId="41" fillId="0" borderId="4" xfId="0" applyNumberFormat="1" applyFont="1" applyBorder="1" applyAlignment="1">
      <alignment horizontal="center"/>
    </xf>
    <xf numFmtId="0" fontId="7" fillId="0" borderId="6" xfId="0" applyFont="1" applyBorder="1"/>
    <xf numFmtId="164" fontId="39" fillId="0" borderId="7" xfId="0" applyNumberFormat="1" applyFont="1" applyBorder="1"/>
    <xf numFmtId="10" fontId="43" fillId="0" borderId="6" xfId="0" applyNumberFormat="1" applyFont="1" applyBorder="1" applyAlignment="1">
      <alignment horizontal="center"/>
    </xf>
    <xf numFmtId="2" fontId="45" fillId="25" borderId="8" xfId="0" applyNumberFormat="1" applyFont="1" applyFill="1" applyBorder="1" applyAlignment="1">
      <alignment horizontal="center"/>
    </xf>
    <xf numFmtId="0" fontId="1" fillId="0" borderId="4" xfId="0" applyFont="1" applyBorder="1"/>
    <xf numFmtId="164" fontId="46" fillId="0" borderId="5" xfId="0" applyNumberFormat="1" applyFont="1" applyBorder="1"/>
    <xf numFmtId="1" fontId="46" fillId="0" borderId="5" xfId="0" applyNumberFormat="1" applyFont="1" applyBorder="1"/>
    <xf numFmtId="43" fontId="7" fillId="0" borderId="7" xfId="0" applyNumberFormat="1" applyFont="1" applyBorder="1"/>
    <xf numFmtId="2" fontId="46" fillId="0" borderId="5" xfId="0" applyNumberFormat="1" applyFont="1" applyBorder="1"/>
    <xf numFmtId="2" fontId="45" fillId="10" borderId="0" xfId="0" applyNumberFormat="1" applyFont="1" applyFill="1" applyAlignment="1">
      <alignment horizontal="center"/>
    </xf>
    <xf numFmtId="2" fontId="45" fillId="11" borderId="0" xfId="0" applyNumberFormat="1" applyFont="1" applyFill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5" fillId="13" borderId="0" xfId="0" applyNumberFormat="1" applyFont="1" applyFill="1" applyAlignment="1">
      <alignment horizontal="center"/>
    </xf>
    <xf numFmtId="2" fontId="45" fillId="14" borderId="5" xfId="0" applyNumberFormat="1" applyFont="1" applyFill="1" applyBorder="1" applyAlignment="1">
      <alignment horizontal="center"/>
    </xf>
    <xf numFmtId="2" fontId="45" fillId="15" borderId="0" xfId="0" applyNumberFormat="1" applyFont="1" applyFill="1" applyAlignment="1">
      <alignment horizontal="center"/>
    </xf>
    <xf numFmtId="2" fontId="45" fillId="16" borderId="0" xfId="0" applyNumberFormat="1" applyFont="1" applyFill="1" applyAlignment="1">
      <alignment horizontal="center"/>
    </xf>
    <xf numFmtId="2" fontId="45" fillId="17" borderId="0" xfId="0" applyNumberFormat="1" applyFont="1" applyFill="1" applyAlignment="1">
      <alignment horizontal="center"/>
    </xf>
    <xf numFmtId="2" fontId="45" fillId="18" borderId="0" xfId="0" applyNumberFormat="1" applyFont="1" applyFill="1" applyAlignment="1">
      <alignment horizontal="center"/>
    </xf>
    <xf numFmtId="2" fontId="45" fillId="19" borderId="5" xfId="0" applyNumberFormat="1" applyFont="1" applyFill="1" applyBorder="1" applyAlignment="1">
      <alignment horizontal="center"/>
    </xf>
    <xf numFmtId="2" fontId="45" fillId="20" borderId="0" xfId="0" applyNumberFormat="1" applyFont="1" applyFill="1" applyAlignment="1">
      <alignment horizontal="center"/>
    </xf>
    <xf numFmtId="2" fontId="45" fillId="21" borderId="0" xfId="0" applyNumberFormat="1" applyFont="1" applyFill="1" applyAlignment="1">
      <alignment horizontal="center"/>
    </xf>
    <xf numFmtId="2" fontId="45" fillId="22" borderId="1" xfId="0" applyNumberFormat="1" applyFont="1" applyFill="1" applyBorder="1" applyAlignment="1">
      <alignment horizontal="center"/>
    </xf>
    <xf numFmtId="2" fontId="45" fillId="23" borderId="0" xfId="0" applyNumberFormat="1" applyFont="1" applyFill="1" applyAlignment="1">
      <alignment horizontal="center"/>
    </xf>
    <xf numFmtId="2" fontId="45" fillId="24" borderId="5" xfId="0" applyNumberFormat="1" applyFont="1" applyFill="1" applyBorder="1" applyAlignment="1">
      <alignment horizontal="center"/>
    </xf>
    <xf numFmtId="2" fontId="45" fillId="25" borderId="0" xfId="0" applyNumberFormat="1" applyFont="1" applyFill="1" applyAlignment="1">
      <alignment horizontal="center"/>
    </xf>
    <xf numFmtId="2" fontId="45" fillId="26" borderId="0" xfId="0" applyNumberFormat="1" applyFont="1" applyFill="1" applyAlignment="1">
      <alignment horizontal="center"/>
    </xf>
    <xf numFmtId="2" fontId="45" fillId="27" borderId="0" xfId="0" applyNumberFormat="1" applyFont="1" applyFill="1" applyAlignment="1">
      <alignment horizontal="center"/>
    </xf>
    <xf numFmtId="2" fontId="45" fillId="28" borderId="0" xfId="0" applyNumberFormat="1" applyFont="1" applyFill="1" applyAlignment="1">
      <alignment horizontal="center"/>
    </xf>
    <xf numFmtId="2" fontId="45" fillId="29" borderId="5" xfId="0" applyNumberFormat="1" applyFont="1" applyFill="1" applyBorder="1" applyAlignment="1">
      <alignment horizontal="center"/>
    </xf>
    <xf numFmtId="2" fontId="45" fillId="26" borderId="8" xfId="0" applyNumberFormat="1" applyFont="1" applyFill="1" applyBorder="1" applyAlignment="1">
      <alignment horizontal="center"/>
    </xf>
    <xf numFmtId="2" fontId="45" fillId="27" borderId="8" xfId="0" applyNumberFormat="1" applyFont="1" applyFill="1" applyBorder="1" applyAlignment="1">
      <alignment horizontal="center"/>
    </xf>
    <xf numFmtId="2" fontId="45" fillId="28" borderId="8" xfId="0" applyNumberFormat="1" applyFont="1" applyFill="1" applyBorder="1" applyAlignment="1">
      <alignment horizontal="center"/>
    </xf>
    <xf numFmtId="2" fontId="45" fillId="29" borderId="7" xfId="0" applyNumberFormat="1" applyFont="1" applyFill="1" applyBorder="1" applyAlignment="1">
      <alignment horizontal="center"/>
    </xf>
    <xf numFmtId="3" fontId="18" fillId="30" borderId="2" xfId="0" applyNumberFormat="1" applyFont="1" applyFill="1" applyBorder="1" applyAlignment="1">
      <alignment horizontal="centerContinuous"/>
    </xf>
    <xf numFmtId="0" fontId="30" fillId="30" borderId="3" xfId="0" applyFont="1" applyFill="1" applyBorder="1" applyAlignment="1">
      <alignment horizontal="centerContinuous"/>
    </xf>
    <xf numFmtId="0" fontId="18" fillId="30" borderId="0" xfId="0" applyFont="1" applyFill="1"/>
    <xf numFmtId="0" fontId="0" fillId="30" borderId="0" xfId="0" applyFill="1"/>
    <xf numFmtId="166" fontId="18" fillId="30" borderId="0" xfId="0" applyNumberFormat="1" applyFont="1" applyFill="1" applyAlignment="1">
      <alignment horizontal="center"/>
    </xf>
    <xf numFmtId="0" fontId="18" fillId="30" borderId="0" xfId="0" applyFont="1" applyFill="1" applyAlignment="1">
      <alignment horizontal="center"/>
    </xf>
    <xf numFmtId="169" fontId="18" fillId="30" borderId="0" xfId="0" applyNumberFormat="1" applyFont="1" applyFill="1" applyAlignment="1">
      <alignment horizontal="center"/>
    </xf>
    <xf numFmtId="170" fontId="18" fillId="30" borderId="0" xfId="0" applyNumberFormat="1" applyFont="1" applyFill="1" applyAlignment="1">
      <alignment horizontal="center"/>
    </xf>
    <xf numFmtId="0" fontId="19" fillId="30" borderId="0" xfId="0" applyFont="1" applyFill="1" applyAlignment="1">
      <alignment horizontal="left"/>
    </xf>
    <xf numFmtId="0" fontId="0" fillId="30" borderId="0" xfId="0" applyFill="1" applyAlignment="1">
      <alignment horizontal="left"/>
    </xf>
    <xf numFmtId="164" fontId="8" fillId="0" borderId="0" xfId="3" applyNumberFormat="1" applyFont="1"/>
    <xf numFmtId="0" fontId="8" fillId="0" borderId="13" xfId="0" applyFont="1" applyBorder="1"/>
    <xf numFmtId="3" fontId="8" fillId="0" borderId="13" xfId="1" applyNumberFormat="1" applyFont="1" applyBorder="1"/>
    <xf numFmtId="3" fontId="8" fillId="0" borderId="13" xfId="0" applyNumberFormat="1" applyFont="1" applyBorder="1"/>
    <xf numFmtId="0" fontId="8" fillId="0" borderId="0" xfId="0" applyFont="1"/>
    <xf numFmtId="3" fontId="8" fillId="0" borderId="0" xfId="1" applyNumberFormat="1" applyFont="1"/>
    <xf numFmtId="3" fontId="8" fillId="0" borderId="0" xfId="0" applyNumberFormat="1" applyFont="1"/>
    <xf numFmtId="0" fontId="12" fillId="30" borderId="0" xfId="0" applyFont="1" applyFill="1"/>
    <xf numFmtId="0" fontId="29" fillId="30" borderId="0" xfId="0" applyFont="1" applyFill="1" applyAlignment="1">
      <alignment horizontal="center" vertical="center"/>
    </xf>
    <xf numFmtId="0" fontId="32" fillId="30" borderId="0" xfId="0" applyFont="1" applyFill="1" applyAlignment="1">
      <alignment horizontal="center"/>
    </xf>
    <xf numFmtId="0" fontId="32" fillId="30" borderId="0" xfId="0" applyFont="1" applyFill="1" applyAlignment="1">
      <alignment horizontal="center" vertical="center"/>
    </xf>
    <xf numFmtId="0" fontId="32" fillId="30" borderId="0" xfId="0" applyFont="1" applyFill="1"/>
    <xf numFmtId="0" fontId="32" fillId="30" borderId="8" xfId="0" applyFont="1" applyFill="1" applyBorder="1"/>
    <xf numFmtId="0" fontId="32" fillId="30" borderId="8" xfId="0" applyFont="1" applyFill="1" applyBorder="1" applyAlignment="1">
      <alignment vertical="top"/>
    </xf>
    <xf numFmtId="0" fontId="18" fillId="30" borderId="0" xfId="4" applyFont="1" applyFill="1" applyAlignment="1">
      <alignment horizontal="left"/>
    </xf>
    <xf numFmtId="175" fontId="18" fillId="30" borderId="0" xfId="4" applyNumberFormat="1" applyFont="1" applyFill="1" applyAlignment="1">
      <alignment horizontal="center"/>
    </xf>
    <xf numFmtId="175" fontId="18" fillId="30" borderId="18" xfId="4" applyNumberFormat="1" applyFont="1" applyFill="1" applyBorder="1" applyAlignment="1">
      <alignment horizontal="center"/>
    </xf>
    <xf numFmtId="176" fontId="18" fillId="30" borderId="0" xfId="4" applyNumberFormat="1" applyFont="1" applyFill="1" applyAlignment="1">
      <alignment horizontal="center"/>
    </xf>
    <xf numFmtId="0" fontId="47" fillId="0" borderId="0" xfId="0" applyFont="1"/>
    <xf numFmtId="0" fontId="8" fillId="0" borderId="0" xfId="0" applyFont="1" applyAlignment="1">
      <alignment horizontal="center" vertical="top"/>
    </xf>
    <xf numFmtId="15" fontId="49" fillId="0" borderId="0" xfId="0" applyNumberFormat="1" applyFont="1" applyAlignment="1">
      <alignment horizontal="center" vertical="top"/>
    </xf>
    <xf numFmtId="0" fontId="49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43" fontId="50" fillId="0" borderId="0" xfId="0" applyNumberFormat="1" applyFont="1" applyAlignment="1">
      <alignment horizontal="center" vertical="top"/>
    </xf>
    <xf numFmtId="43" fontId="0" fillId="0" borderId="0" xfId="0" applyNumberFormat="1" applyAlignment="1">
      <alignment horizontal="center" vertical="top"/>
    </xf>
    <xf numFmtId="43" fontId="47" fillId="0" borderId="0" xfId="0" applyNumberFormat="1" applyFont="1" applyAlignment="1">
      <alignment horizontal="center" vertical="top"/>
    </xf>
    <xf numFmtId="10" fontId="50" fillId="0" borderId="0" xfId="3" applyNumberFormat="1" applyFon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47" fillId="0" borderId="0" xfId="0" applyFont="1" applyAlignment="1">
      <alignment horizontal="center" vertical="top"/>
    </xf>
    <xf numFmtId="0" fontId="12" fillId="30" borderId="0" xfId="0" applyFont="1" applyFill="1" applyAlignment="1">
      <alignment horizontal="center" vertical="top"/>
    </xf>
    <xf numFmtId="15" fontId="48" fillId="30" borderId="0" xfId="0" applyNumberFormat="1" applyFont="1" applyFill="1" applyAlignment="1">
      <alignment horizontal="center" vertical="top"/>
    </xf>
    <xf numFmtId="0" fontId="48" fillId="30" borderId="0" xfId="0" applyFont="1" applyFill="1" applyAlignment="1">
      <alignment horizontal="center" vertical="top"/>
    </xf>
    <xf numFmtId="0" fontId="51" fillId="30" borderId="0" xfId="0" applyFont="1" applyFill="1" applyAlignment="1">
      <alignment horizontal="center" vertical="top"/>
    </xf>
    <xf numFmtId="10" fontId="47" fillId="0" borderId="0" xfId="3" applyNumberFormat="1" applyFont="1" applyAlignment="1">
      <alignment horizontal="center" vertical="top"/>
    </xf>
    <xf numFmtId="10" fontId="0" fillId="0" borderId="0" xfId="0" applyNumberFormat="1" applyAlignment="1">
      <alignment horizontal="center"/>
    </xf>
    <xf numFmtId="0" fontId="52" fillId="0" borderId="0" xfId="0" applyFont="1"/>
    <xf numFmtId="0" fontId="29" fillId="30" borderId="15" xfId="0" applyFont="1" applyFill="1" applyBorder="1" applyAlignment="1">
      <alignment horizontal="center" vertical="center"/>
    </xf>
    <xf numFmtId="0" fontId="29" fillId="30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43" fontId="0" fillId="0" borderId="17" xfId="0" applyNumberFormat="1" applyBorder="1" applyAlignment="1">
      <alignment horizontal="center"/>
    </xf>
    <xf numFmtId="180" fontId="0" fillId="0" borderId="16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8" borderId="11" xfId="0" applyFill="1" applyBorder="1"/>
    <xf numFmtId="0" fontId="0" fillId="8" borderId="10" xfId="0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2" fillId="32" borderId="2" xfId="0" applyFont="1" applyFill="1" applyBorder="1"/>
    <xf numFmtId="0" fontId="30" fillId="32" borderId="3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10" fontId="53" fillId="0" borderId="0" xfId="0" applyNumberFormat="1" applyFont="1" applyAlignment="1">
      <alignment horizontal="center"/>
    </xf>
    <xf numFmtId="10" fontId="53" fillId="0" borderId="0" xfId="3" applyNumberFormat="1" applyFont="1"/>
    <xf numFmtId="4" fontId="53" fillId="0" borderId="0" xfId="0" applyNumberFormat="1" applyFont="1"/>
    <xf numFmtId="165" fontId="7" fillId="0" borderId="7" xfId="0" applyNumberFormat="1" applyFont="1" applyBorder="1"/>
    <xf numFmtId="9" fontId="52" fillId="0" borderId="0" xfId="0" applyNumberFormat="1" applyFont="1" applyAlignment="1">
      <alignment horizontal="left"/>
    </xf>
    <xf numFmtId="0" fontId="30" fillId="3" borderId="1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0" fillId="3" borderId="10" xfId="0" applyFont="1" applyFill="1" applyBorder="1" applyAlignment="1">
      <alignment horizontal="center"/>
    </xf>
    <xf numFmtId="0" fontId="8" fillId="0" borderId="0" xfId="0" applyFont="1" applyAlignment="1">
      <alignment vertical="top"/>
    </xf>
    <xf numFmtId="9" fontId="8" fillId="0" borderId="0" xfId="0" applyNumberFormat="1" applyFont="1"/>
    <xf numFmtId="167" fontId="38" fillId="0" borderId="8" xfId="0" applyNumberFormat="1" applyFont="1" applyBorder="1"/>
    <xf numFmtId="41" fontId="3" fillId="0" borderId="8" xfId="0" applyNumberFormat="1" applyFont="1" applyBorder="1"/>
    <xf numFmtId="0" fontId="12" fillId="30" borderId="0" xfId="0" applyFont="1" applyFill="1" applyAlignment="1">
      <alignment horizontal="center"/>
    </xf>
    <xf numFmtId="0" fontId="8" fillId="0" borderId="8" xfId="0" applyFont="1" applyBorder="1" applyAlignment="1">
      <alignment vertical="top"/>
    </xf>
    <xf numFmtId="181" fontId="0" fillId="0" borderId="0" xfId="1" applyNumberFormat="1" applyFont="1" applyAlignment="1">
      <alignment horizontal="center" vertical="top"/>
    </xf>
    <xf numFmtId="181" fontId="0" fillId="0" borderId="0" xfId="1" applyNumberFormat="1" applyFont="1" applyAlignment="1">
      <alignment horizontal="center" vertical="center"/>
    </xf>
    <xf numFmtId="181" fontId="50" fillId="0" borderId="0" xfId="1" applyNumberFormat="1" applyFont="1" applyAlignment="1">
      <alignment horizontal="center" vertical="center"/>
    </xf>
    <xf numFmtId="181" fontId="47" fillId="0" borderId="0" xfId="1" applyNumberFormat="1" applyFont="1" applyAlignment="1">
      <alignment horizontal="center" vertical="center"/>
    </xf>
    <xf numFmtId="181" fontId="0" fillId="0" borderId="4" xfId="0" applyNumberFormat="1" applyBorder="1"/>
    <xf numFmtId="181" fontId="0" fillId="0" borderId="5" xfId="2" applyNumberFormat="1" applyFont="1" applyBorder="1" applyAlignment="1">
      <alignment horizontal="center"/>
    </xf>
    <xf numFmtId="181" fontId="0" fillId="0" borderId="3" xfId="2" applyNumberFormat="1" applyFont="1" applyBorder="1" applyAlignment="1">
      <alignment horizontal="center"/>
    </xf>
    <xf numFmtId="181" fontId="0" fillId="0" borderId="7" xfId="2" applyNumberFormat="1" applyFont="1" applyBorder="1" applyAlignment="1">
      <alignment horizontal="center"/>
    </xf>
    <xf numFmtId="181" fontId="0" fillId="0" borderId="3" xfId="2" applyNumberFormat="1" applyFont="1" applyBorder="1" applyAlignment="1">
      <alignment horizontal="center" vertical="center"/>
    </xf>
    <xf numFmtId="181" fontId="0" fillId="0" borderId="5" xfId="2" applyNumberFormat="1" applyFont="1" applyBorder="1" applyAlignment="1">
      <alignment horizontal="center" vertical="center"/>
    </xf>
    <xf numFmtId="181" fontId="0" fillId="0" borderId="7" xfId="2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57" fillId="0" borderId="0" xfId="0" applyFont="1"/>
    <xf numFmtId="0" fontId="58" fillId="0" borderId="0" xfId="0" applyFont="1"/>
    <xf numFmtId="41" fontId="0" fillId="0" borderId="0" xfId="2" quotePrefix="1" applyNumberFormat="1" applyFont="1" applyAlignment="1">
      <alignment horizontal="center" vertical="center"/>
    </xf>
    <xf numFmtId="165" fontId="59" fillId="0" borderId="0" xfId="3" applyNumberFormat="1" applyFont="1"/>
    <xf numFmtId="0" fontId="18" fillId="31" borderId="11" xfId="0" applyFont="1" applyFill="1" applyBorder="1" applyAlignment="1">
      <alignment horizontal="center"/>
    </xf>
    <xf numFmtId="0" fontId="18" fillId="31" borderId="9" xfId="0" applyFont="1" applyFill="1" applyBorder="1" applyAlignment="1">
      <alignment horizontal="center"/>
    </xf>
    <xf numFmtId="0" fontId="60" fillId="33" borderId="19" xfId="0" applyFont="1" applyFill="1" applyBorder="1"/>
    <xf numFmtId="0" fontId="0" fillId="33" borderId="0" xfId="0" applyFill="1"/>
    <xf numFmtId="0" fontId="0" fillId="33" borderId="20" xfId="0" applyFill="1" applyBorder="1"/>
    <xf numFmtId="0" fontId="0" fillId="33" borderId="21" xfId="0" applyFill="1" applyBorder="1"/>
    <xf numFmtId="0" fontId="0" fillId="33" borderId="5" xfId="0" applyFill="1" applyBorder="1"/>
    <xf numFmtId="0" fontId="61" fillId="33" borderId="5" xfId="0" applyFont="1" applyFill="1" applyBorder="1"/>
    <xf numFmtId="0" fontId="61" fillId="33" borderId="5" xfId="0" applyFont="1" applyFill="1" applyBorder="1" applyAlignment="1">
      <alignment horizontal="left"/>
    </xf>
    <xf numFmtId="0" fontId="62" fillId="33" borderId="22" xfId="0" applyFont="1" applyFill="1" applyBorder="1" applyAlignment="1">
      <alignment horizontal="right"/>
    </xf>
  </cellXfs>
  <cellStyles count="5">
    <cellStyle name="Comma" xfId="1" builtinId="3"/>
    <cellStyle name="Currency" xfId="2" builtinId="4"/>
    <cellStyle name="Normal" xfId="0" builtinId="0"/>
    <cellStyle name="Normal 2" xfId="4" xr:uid="{6A8E3986-A451-41B5-92F3-FE61AE0C8E6C}"/>
    <cellStyle name="Percent" xfId="3" builtinId="5"/>
  </cellStyles>
  <dxfs count="0"/>
  <tableStyles count="0" defaultTableStyle="TableStyleMedium2" defaultPivotStyle="PivotStyleLight16"/>
  <colors>
    <mruColors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'Product mix'!$G$218:$G$469</c:f>
              <c:numCache>
                <c:formatCode>d\-mmm\-yy</c:formatCode>
                <c:ptCount val="252"/>
              </c:numCache>
            </c:numRef>
          </c:cat>
          <c:val>
            <c:numRef>
              <c:f>'Product mix'!$H$218:$H$469</c:f>
              <c:numCache>
                <c:formatCode>General</c:formatCode>
                <c:ptCount val="2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A-0C40-B000-D4304C963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826463"/>
        <c:axId val="2072932975"/>
      </c:lineChart>
      <c:catAx>
        <c:axId val="2072826463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932975"/>
        <c:crosses val="autoZero"/>
        <c:auto val="1"/>
        <c:lblAlgn val="ctr"/>
        <c:lblOffset val="100"/>
        <c:noMultiLvlLbl val="0"/>
      </c:catAx>
      <c:valAx>
        <c:axId val="2072932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82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42333</xdr:colOff>
      <xdr:row>0</xdr:row>
      <xdr:rowOff>134055</xdr:rowOff>
    </xdr:from>
    <xdr:to>
      <xdr:col>1</xdr:col>
      <xdr:colOff>2036233</xdr:colOff>
      <xdr:row>5</xdr:row>
      <xdr:rowOff>110039</xdr:rowOff>
    </xdr:to>
    <xdr:pic>
      <xdr:nvPicPr>
        <xdr:cNvPr id="2" name="Picture 1" descr="Bragg Gaming Group Begins Trading on ...">
          <a:extLst>
            <a:ext uri="{FF2B5EF4-FFF2-40B4-BE49-F238E27FC236}">
              <a16:creationId xmlns:a16="http://schemas.microsoft.com/office/drawing/2014/main" id="{C2E5185C-03DB-4701-ADB6-F9FCCE250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611" y="134055"/>
          <a:ext cx="1993900" cy="99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226150</xdr:colOff>
      <xdr:row>449</xdr:row>
      <xdr:rowOff>204761</xdr:rowOff>
    </xdr:from>
    <xdr:to>
      <xdr:col>4</xdr:col>
      <xdr:colOff>208325</xdr:colOff>
      <xdr:row>461</xdr:row>
      <xdr:rowOff>140592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8D0743F-A928-17D1-3EEB-A8F8A6FF9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BBC2-E50F-4238-A894-613A455205F1}">
  <dimension ref="A2:Q1048553"/>
  <sheetViews>
    <sheetView showGridLines="0" tabSelected="1" zoomScale="90" zoomScaleNormal="130" workbookViewId="0">
      <selection activeCell="C14" sqref="C14"/>
    </sheetView>
  </sheetViews>
  <sheetFormatPr defaultColWidth="8.83203125" defaultRowHeight="16"/>
  <cols>
    <col min="2" max="2" width="52.83203125" bestFit="1" customWidth="1"/>
    <col min="3" max="3" width="13.08203125" bestFit="1" customWidth="1"/>
    <col min="5" max="5" width="24.83203125" bestFit="1" customWidth="1"/>
    <col min="6" max="6" width="21" bestFit="1" customWidth="1"/>
  </cols>
  <sheetData>
    <row r="2" spans="1:10">
      <c r="F2" s="275" t="s">
        <v>77</v>
      </c>
      <c r="G2" s="18"/>
      <c r="I2" s="18"/>
      <c r="J2" s="18"/>
    </row>
    <row r="3" spans="1:10">
      <c r="E3" s="14" t="s">
        <v>262</v>
      </c>
      <c r="F3" s="15" t="s">
        <v>264</v>
      </c>
    </row>
    <row r="4" spans="1:10">
      <c r="J4" s="235"/>
    </row>
    <row r="5" spans="1:10">
      <c r="E5" s="273" t="s">
        <v>263</v>
      </c>
      <c r="F5" s="274" t="s">
        <v>260</v>
      </c>
      <c r="G5" s="82">
        <f>VLOOKUP(F5,$P$1048551:$Q$1048553,2,0)</f>
        <v>2</v>
      </c>
      <c r="J5" s="235"/>
    </row>
    <row r="6" spans="1:10" ht="16.5" thickBot="1">
      <c r="J6" s="289"/>
    </row>
    <row r="7" spans="1:10" ht="26">
      <c r="A7" s="128"/>
      <c r="B7" s="319" t="s">
        <v>305</v>
      </c>
      <c r="C7" s="322"/>
      <c r="E7" s="276" t="str">
        <f>"Selected Case - "&amp;F5</f>
        <v>Selected Case - Base</v>
      </c>
      <c r="F7" s="277"/>
    </row>
    <row r="8" spans="1:10">
      <c r="A8" s="128"/>
      <c r="B8" s="320" t="s">
        <v>300</v>
      </c>
      <c r="C8" s="323"/>
      <c r="E8" s="127" t="s">
        <v>256</v>
      </c>
      <c r="F8" s="312">
        <f>CHOOSE($G$5,F18,F19,F20)</f>
        <v>0.01</v>
      </c>
    </row>
    <row r="9" spans="1:10">
      <c r="A9" s="128"/>
      <c r="B9" s="320"/>
      <c r="C9" s="324"/>
      <c r="E9" s="127" t="s">
        <v>257</v>
      </c>
      <c r="F9" s="312">
        <f>CHOOSE($G$5,F23,F24,F25)</f>
        <v>0.2</v>
      </c>
    </row>
    <row r="10" spans="1:10">
      <c r="A10" s="128"/>
      <c r="B10" s="320" t="s">
        <v>303</v>
      </c>
      <c r="C10" s="325" t="s">
        <v>302</v>
      </c>
      <c r="E10" s="303" t="s">
        <v>292</v>
      </c>
      <c r="F10" s="304">
        <f>CHOOSE($G$5,F28,F29,F30)</f>
        <v>70.316369318181813</v>
      </c>
    </row>
    <row r="11" spans="1:10" ht="16.5" thickBot="1">
      <c r="A11" s="128"/>
      <c r="B11" s="321" t="s">
        <v>301</v>
      </c>
      <c r="C11" s="326" t="s">
        <v>304</v>
      </c>
      <c r="E11" s="127" t="str">
        <f>E32</f>
        <v>Exclusive Games Growth Rate</v>
      </c>
      <c r="F11" s="281">
        <f>CHOOSE($G$5,F33,F34,F35)</f>
        <v>0.1</v>
      </c>
    </row>
    <row r="12" spans="1:10">
      <c r="E12" s="127" t="s">
        <v>293</v>
      </c>
      <c r="F12" s="304">
        <f>CHOOSE($G$5,F38,F39,F40)</f>
        <v>62.70782946428573</v>
      </c>
    </row>
    <row r="13" spans="1:10">
      <c r="E13" s="127" t="s">
        <v>258</v>
      </c>
      <c r="F13" s="312">
        <f>CHOOSE($G$5,F43,F44,F45)</f>
        <v>0.05</v>
      </c>
    </row>
    <row r="14" spans="1:10">
      <c r="E14" s="52" t="s">
        <v>183</v>
      </c>
      <c r="F14" s="311">
        <f>CHOOSE($G$5,F48,F49,F50)</f>
        <v>0.05</v>
      </c>
    </row>
    <row r="15" spans="1:10">
      <c r="F15" s="92"/>
    </row>
    <row r="16" spans="1:10">
      <c r="F16" s="92"/>
    </row>
    <row r="17" spans="5:10">
      <c r="E17" s="290" t="s">
        <v>256</v>
      </c>
      <c r="F17" s="291"/>
    </row>
    <row r="18" spans="5:10">
      <c r="E18" s="278" t="s">
        <v>259</v>
      </c>
      <c r="F18" s="282">
        <v>1.4999999999999999E-2</v>
      </c>
      <c r="G18" s="265"/>
      <c r="H18" s="265"/>
      <c r="I18" s="265"/>
      <c r="J18" s="265"/>
    </row>
    <row r="19" spans="5:10">
      <c r="E19" s="279" t="s">
        <v>260</v>
      </c>
      <c r="F19" s="312">
        <v>0.01</v>
      </c>
      <c r="I19" s="272"/>
      <c r="J19" s="272"/>
    </row>
    <row r="20" spans="5:10">
      <c r="E20" s="280" t="s">
        <v>261</v>
      </c>
      <c r="F20" s="311">
        <v>-5.0000000000000001E-3</v>
      </c>
      <c r="G20" s="272"/>
      <c r="H20" s="272"/>
      <c r="I20" s="272"/>
      <c r="J20" s="272"/>
    </row>
    <row r="21" spans="5:10">
      <c r="E21" s="92"/>
      <c r="F21" s="92"/>
    </row>
    <row r="22" spans="5:10">
      <c r="E22" s="290" t="s">
        <v>257</v>
      </c>
      <c r="F22" s="291"/>
    </row>
    <row r="23" spans="5:10">
      <c r="E23" s="278" t="s">
        <v>259</v>
      </c>
      <c r="F23" s="310">
        <v>0.25</v>
      </c>
    </row>
    <row r="24" spans="5:10">
      <c r="E24" s="279" t="s">
        <v>260</v>
      </c>
      <c r="F24" s="283">
        <v>0.2</v>
      </c>
    </row>
    <row r="25" spans="5:10">
      <c r="E25" s="280" t="s">
        <v>261</v>
      </c>
      <c r="F25" s="284">
        <v>0.1</v>
      </c>
    </row>
    <row r="26" spans="5:10">
      <c r="F26" s="92"/>
    </row>
    <row r="27" spans="5:10">
      <c r="E27" s="290" t="s">
        <v>292</v>
      </c>
      <c r="F27" s="292"/>
    </row>
    <row r="28" spans="5:10">
      <c r="E28" s="278" t="s">
        <v>259</v>
      </c>
      <c r="F28" s="305">
        <f>F29*1.1</f>
        <v>77.348006249999997</v>
      </c>
      <c r="G28" s="136"/>
      <c r="H28" s="136"/>
      <c r="I28" s="136"/>
      <c r="J28" s="136"/>
    </row>
    <row r="29" spans="5:10">
      <c r="E29" s="279" t="s">
        <v>260</v>
      </c>
      <c r="F29" s="304">
        <v>70.316369318181813</v>
      </c>
      <c r="G29" s="136"/>
      <c r="H29" s="136"/>
      <c r="I29" s="136"/>
      <c r="J29" s="136"/>
    </row>
    <row r="30" spans="5:10">
      <c r="E30" s="280" t="s">
        <v>261</v>
      </c>
      <c r="F30" s="306">
        <f>F29*0.9</f>
        <v>63.284732386363636</v>
      </c>
      <c r="G30" s="136"/>
      <c r="H30" s="136"/>
      <c r="I30" s="136"/>
      <c r="J30" s="136"/>
    </row>
    <row r="31" spans="5:10">
      <c r="E31" s="92"/>
      <c r="F31" s="92"/>
    </row>
    <row r="32" spans="5:10">
      <c r="E32" s="290" t="s">
        <v>294</v>
      </c>
      <c r="F32" s="291"/>
    </row>
    <row r="33" spans="5:10">
      <c r="E33" s="278" t="s">
        <v>259</v>
      </c>
      <c r="F33" s="310">
        <v>0.13</v>
      </c>
    </row>
    <row r="34" spans="5:10">
      <c r="E34" s="279" t="s">
        <v>260</v>
      </c>
      <c r="F34" s="283">
        <v>0.1</v>
      </c>
    </row>
    <row r="35" spans="5:10">
      <c r="E35" s="280" t="s">
        <v>261</v>
      </c>
      <c r="F35" s="284">
        <v>0.05</v>
      </c>
    </row>
    <row r="36" spans="5:10">
      <c r="E36" s="92"/>
      <c r="F36" s="92"/>
    </row>
    <row r="37" spans="5:10">
      <c r="E37" s="290" t="s">
        <v>293</v>
      </c>
      <c r="F37" s="292"/>
    </row>
    <row r="38" spans="5:10">
      <c r="E38" s="278" t="s">
        <v>259</v>
      </c>
      <c r="F38" s="307">
        <f>F39*1.1</f>
        <v>68.978612410714305</v>
      </c>
      <c r="G38" s="136"/>
      <c r="H38" s="136"/>
      <c r="I38" s="136"/>
      <c r="J38" s="136"/>
    </row>
    <row r="39" spans="5:10">
      <c r="E39" s="279" t="s">
        <v>260</v>
      </c>
      <c r="F39" s="308">
        <v>62.70782946428573</v>
      </c>
      <c r="G39" s="81"/>
      <c r="H39" s="81"/>
      <c r="I39" s="81"/>
      <c r="J39" s="81"/>
    </row>
    <row r="40" spans="5:10">
      <c r="E40" s="280" t="s">
        <v>261</v>
      </c>
      <c r="F40" s="309">
        <f>F39*0.9</f>
        <v>56.437046517857155</v>
      </c>
      <c r="G40" s="9"/>
      <c r="H40" s="9"/>
      <c r="I40" s="9"/>
      <c r="J40" s="9"/>
    </row>
    <row r="41" spans="5:10">
      <c r="E41" s="92"/>
      <c r="F41" s="92"/>
    </row>
    <row r="42" spans="5:10">
      <c r="E42" s="290" t="s">
        <v>258</v>
      </c>
      <c r="F42" s="292"/>
    </row>
    <row r="43" spans="5:10">
      <c r="E43" s="278" t="s">
        <v>259</v>
      </c>
      <c r="F43" s="310">
        <v>7.0000000000000007E-2</v>
      </c>
      <c r="G43" s="10"/>
      <c r="H43" s="10"/>
      <c r="I43" s="10"/>
      <c r="J43" s="10"/>
    </row>
    <row r="44" spans="5:10">
      <c r="E44" s="279" t="s">
        <v>260</v>
      </c>
      <c r="F44" s="283">
        <v>0.05</v>
      </c>
      <c r="G44" s="26"/>
      <c r="H44" s="26"/>
      <c r="I44" s="26"/>
      <c r="J44" s="26"/>
    </row>
    <row r="45" spans="5:10">
      <c r="E45" s="280" t="s">
        <v>261</v>
      </c>
      <c r="F45" s="284">
        <v>0.02</v>
      </c>
      <c r="G45" s="10"/>
      <c r="H45" s="10"/>
      <c r="I45" s="10"/>
      <c r="J45" s="10"/>
    </row>
    <row r="46" spans="5:10">
      <c r="E46" s="92"/>
      <c r="F46" s="92"/>
    </row>
    <row r="47" spans="5:10">
      <c r="E47" s="290" t="s">
        <v>183</v>
      </c>
      <c r="F47" s="292"/>
    </row>
    <row r="48" spans="5:10">
      <c r="E48" s="278" t="s">
        <v>259</v>
      </c>
      <c r="F48" s="310">
        <v>7.0000000000000007E-2</v>
      </c>
      <c r="G48" s="10"/>
      <c r="H48" s="10"/>
      <c r="I48" s="10"/>
      <c r="J48" s="10"/>
    </row>
    <row r="49" spans="5:10">
      <c r="E49" s="279" t="s">
        <v>260</v>
      </c>
      <c r="F49" s="283">
        <v>0.05</v>
      </c>
      <c r="G49" s="26"/>
      <c r="H49" s="26"/>
      <c r="I49" s="26"/>
      <c r="J49" s="26"/>
    </row>
    <row r="50" spans="5:10">
      <c r="E50" s="280" t="s">
        <v>261</v>
      </c>
      <c r="F50" s="284">
        <v>0.02</v>
      </c>
      <c r="G50" s="10"/>
      <c r="H50" s="10"/>
      <c r="I50" s="10"/>
      <c r="J50" s="10"/>
    </row>
    <row r="1048551" spans="16:17">
      <c r="P1048551" t="s">
        <v>259</v>
      </c>
      <c r="Q1048551">
        <v>1</v>
      </c>
    </row>
    <row r="1048552" spans="16:17">
      <c r="P1048552" t="s">
        <v>260</v>
      </c>
      <c r="Q1048552">
        <v>2</v>
      </c>
    </row>
    <row r="1048553" spans="16:17">
      <c r="P1048553" t="s">
        <v>261</v>
      </c>
      <c r="Q1048553">
        <v>3</v>
      </c>
    </row>
  </sheetData>
  <dataValidations count="1">
    <dataValidation type="list" allowBlank="1" showInputMessage="1" showErrorMessage="1" sqref="F5" xr:uid="{25FE3979-2651-46BE-9278-33B9EDBB9283}">
      <formula1>$P$1048551:$P$1048553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14BC-79C1-394A-90BF-8D48DECFB855}">
  <dimension ref="A1:O129"/>
  <sheetViews>
    <sheetView showGridLines="0" zoomScale="75" zoomScaleNormal="100" workbookViewId="0">
      <pane ySplit="3" topLeftCell="A8" activePane="bottomLeft" state="frozen"/>
      <selection pane="bottomLeft" activeCell="C1" sqref="C1"/>
    </sheetView>
  </sheetViews>
  <sheetFormatPr defaultColWidth="11.5" defaultRowHeight="16" outlineLevelRow="1"/>
  <cols>
    <col min="1" max="1" width="2.83203125" customWidth="1"/>
    <col min="2" max="2" width="68" bestFit="1" customWidth="1"/>
    <col min="14" max="14" width="21.5" bestFit="1" customWidth="1"/>
  </cols>
  <sheetData>
    <row r="1" spans="1:15" ht="21">
      <c r="A1" s="12"/>
    </row>
    <row r="2" spans="1:15">
      <c r="B2" s="14" t="s">
        <v>14</v>
      </c>
      <c r="C2" s="15">
        <v>44926</v>
      </c>
      <c r="D2" s="15">
        <f>EOMONTH(C2,12)</f>
        <v>45291</v>
      </c>
      <c r="E2" s="16">
        <f t="shared" ref="E2:J2" si="0">EOMONTH(D2,12)</f>
        <v>45657</v>
      </c>
      <c r="F2" s="15">
        <f t="shared" si="0"/>
        <v>46022</v>
      </c>
      <c r="G2" s="15">
        <f t="shared" si="0"/>
        <v>46387</v>
      </c>
      <c r="H2" s="15">
        <f t="shared" si="0"/>
        <v>46752</v>
      </c>
      <c r="I2" s="15">
        <f t="shared" si="0"/>
        <v>47118</v>
      </c>
      <c r="J2" s="15">
        <f t="shared" si="0"/>
        <v>47483</v>
      </c>
    </row>
    <row r="3" spans="1:15">
      <c r="B3" s="2" t="s">
        <v>0</v>
      </c>
      <c r="C3" s="13">
        <v>84734</v>
      </c>
      <c r="D3" s="13">
        <v>93519</v>
      </c>
      <c r="E3" s="17">
        <f>'Revenue Build'!O40</f>
        <v>100648.91665601326</v>
      </c>
      <c r="F3" s="13">
        <f>'Revenue Build'!T40</f>
        <v>109582.40532851397</v>
      </c>
      <c r="G3" s="13">
        <f>'Revenue Build'!Y40</f>
        <v>120166.66876265153</v>
      </c>
      <c r="H3" s="13">
        <f>'Revenue Build'!AD40</f>
        <v>131949.60338187337</v>
      </c>
      <c r="I3" s="13">
        <f>'Revenue Build'!AI40</f>
        <v>145126.15827630399</v>
      </c>
      <c r="J3" s="13">
        <f>'Revenue Build'!AN40</f>
        <v>159908.76532774194</v>
      </c>
      <c r="O3" s="10"/>
    </row>
    <row r="4" spans="1:15">
      <c r="B4" s="2" t="s">
        <v>1</v>
      </c>
      <c r="C4" s="13">
        <v>-39652</v>
      </c>
      <c r="D4" s="13">
        <v>-43580</v>
      </c>
      <c r="E4" s="17">
        <f>'COGS build'!D33</f>
        <v>-47013.49349849682</v>
      </c>
      <c r="F4" s="13">
        <f>'COGS build'!E33</f>
        <v>-50307.113705589712</v>
      </c>
      <c r="G4" s="13">
        <f>'COGS build'!F33</f>
        <v>-54046.358002574336</v>
      </c>
      <c r="H4" s="13">
        <f>'COGS build'!G33</f>
        <v>-58120.823670071855</v>
      </c>
      <c r="I4" s="13">
        <f>'COGS build'!H33</f>
        <v>-62576.59989826956</v>
      </c>
      <c r="J4" s="13">
        <f>'COGS build'!I33</f>
        <v>-67465.071216084049</v>
      </c>
      <c r="O4" s="10"/>
    </row>
    <row r="5" spans="1:15">
      <c r="B5" s="20" t="s">
        <v>2</v>
      </c>
      <c r="C5" s="21">
        <v>45082</v>
      </c>
      <c r="D5" s="21">
        <v>49939</v>
      </c>
      <c r="E5" s="22">
        <f>E3+E4</f>
        <v>53635.423157516438</v>
      </c>
      <c r="F5" s="21">
        <f>F3+F4</f>
        <v>59275.291622924255</v>
      </c>
      <c r="G5" s="21">
        <f t="shared" ref="G5:J5" si="1">G3+G4</f>
        <v>66120.310760077205</v>
      </c>
      <c r="H5" s="21">
        <f t="shared" si="1"/>
        <v>73828.779711801515</v>
      </c>
      <c r="I5" s="21">
        <f t="shared" si="1"/>
        <v>82549.558378034431</v>
      </c>
      <c r="J5" s="21">
        <f t="shared" si="1"/>
        <v>92443.694111657896</v>
      </c>
    </row>
    <row r="6" spans="1:15">
      <c r="B6" s="2" t="s">
        <v>3</v>
      </c>
      <c r="C6" s="13">
        <v>-46764</v>
      </c>
      <c r="D6" s="13">
        <v>-50824</v>
      </c>
      <c r="E6" s="17">
        <f>D6/C6*D6</f>
        <v>-55236.484817380893</v>
      </c>
      <c r="F6" s="13">
        <f>-F121*F3</f>
        <v>-58961.073606430982</v>
      </c>
      <c r="G6" s="13">
        <f>-G121*G3</f>
        <v>-63454.29501273881</v>
      </c>
      <c r="H6" s="13">
        <f>-H121*H3</f>
        <v>-68356.805606404261</v>
      </c>
      <c r="I6" s="13">
        <f>-I121*I3</f>
        <v>-73731.689600403479</v>
      </c>
      <c r="J6" s="13">
        <f>-J121*J3</f>
        <v>-79642.94059004818</v>
      </c>
    </row>
    <row r="7" spans="1:15">
      <c r="B7" s="2" t="s">
        <v>4</v>
      </c>
      <c r="C7" s="13">
        <v>13</v>
      </c>
      <c r="D7" s="13">
        <v>-47</v>
      </c>
      <c r="E7" s="1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</row>
    <row r="8" spans="1:15">
      <c r="B8" s="2" t="s">
        <v>5</v>
      </c>
      <c r="C8" s="13" t="s">
        <v>6</v>
      </c>
      <c r="D8" s="13">
        <v>595</v>
      </c>
      <c r="E8" s="17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</row>
    <row r="9" spans="1:15">
      <c r="B9" s="2" t="s">
        <v>7</v>
      </c>
      <c r="C9" s="13">
        <v>804</v>
      </c>
      <c r="D9" s="13">
        <v>-440</v>
      </c>
      <c r="E9" s="17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</row>
    <row r="10" spans="1:15">
      <c r="B10" s="2" t="s">
        <v>8</v>
      </c>
      <c r="C10" s="13">
        <v>37</v>
      </c>
      <c r="D10" s="13" t="s">
        <v>6</v>
      </c>
      <c r="E10" s="17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</row>
    <row r="11" spans="1:15">
      <c r="B11" s="20" t="s">
        <v>9</v>
      </c>
      <c r="C11" s="21">
        <v>-828</v>
      </c>
      <c r="D11" s="21">
        <v>-777</v>
      </c>
      <c r="E11" s="22">
        <f t="shared" ref="E11:J11" si="2">E5+E6+E7+E8+E9+E10</f>
        <v>-1601.0616598644556</v>
      </c>
      <c r="F11" s="21">
        <f>F5+F6+F7+F8+F9+F10</f>
        <v>314.21801649327244</v>
      </c>
      <c r="G11" s="21">
        <f t="shared" si="2"/>
        <v>2666.0157473383952</v>
      </c>
      <c r="H11" s="21">
        <f t="shared" si="2"/>
        <v>5471.9741053972539</v>
      </c>
      <c r="I11" s="21">
        <f t="shared" si="2"/>
        <v>8817.8687776309525</v>
      </c>
      <c r="J11" s="21">
        <f t="shared" si="2"/>
        <v>12800.753521609717</v>
      </c>
    </row>
    <row r="12" spans="1:15">
      <c r="B12" s="2" t="s">
        <v>299</v>
      </c>
      <c r="C12" s="13">
        <v>-1098</v>
      </c>
      <c r="D12" s="13">
        <v>-2149</v>
      </c>
      <c r="E12" s="13">
        <v>-1000</v>
      </c>
      <c r="F12" s="13">
        <v>-1000</v>
      </c>
      <c r="G12" s="13">
        <v>-1000</v>
      </c>
      <c r="H12" s="13">
        <v>-1000</v>
      </c>
      <c r="I12" s="13">
        <v>-1000</v>
      </c>
      <c r="J12" s="13">
        <v>-1000</v>
      </c>
    </row>
    <row r="13" spans="1:15" ht="16.5" thickBot="1">
      <c r="B13" s="48" t="s">
        <v>11</v>
      </c>
      <c r="C13" s="49">
        <f>SUM(C11:C12)</f>
        <v>-1926</v>
      </c>
      <c r="D13" s="49">
        <f t="shared" ref="D13:J13" si="3">SUM(D11:D12)</f>
        <v>-2926</v>
      </c>
      <c r="E13" s="49">
        <f t="shared" si="3"/>
        <v>-2601.0616598644556</v>
      </c>
      <c r="F13" s="49">
        <f t="shared" si="3"/>
        <v>-685.78198350672756</v>
      </c>
      <c r="G13" s="49">
        <f t="shared" si="3"/>
        <v>1666.0157473383952</v>
      </c>
      <c r="H13" s="49">
        <f t="shared" si="3"/>
        <v>4471.9741053972539</v>
      </c>
      <c r="I13" s="49">
        <f t="shared" si="3"/>
        <v>7817.8687776309525</v>
      </c>
      <c r="J13" s="49">
        <f t="shared" si="3"/>
        <v>11800.753521609717</v>
      </c>
    </row>
    <row r="14" spans="1:15">
      <c r="B14" s="2" t="s">
        <v>12</v>
      </c>
      <c r="C14" s="13">
        <v>-1558</v>
      </c>
      <c r="D14" s="24">
        <v>-910</v>
      </c>
      <c r="E14" s="24">
        <f>E13*0.31</f>
        <v>-806.32911455798126</v>
      </c>
      <c r="F14" s="24">
        <f t="shared" ref="F14:J14" si="4">F13*0.31</f>
        <v>-212.59241488708554</v>
      </c>
      <c r="G14" s="24">
        <f t="shared" si="4"/>
        <v>516.46488167490247</v>
      </c>
      <c r="H14" s="24">
        <f t="shared" si="4"/>
        <v>1386.3119726731486</v>
      </c>
      <c r="I14" s="24">
        <f t="shared" si="4"/>
        <v>2423.5393210655952</v>
      </c>
      <c r="J14" s="24">
        <f t="shared" si="4"/>
        <v>3658.2335916990123</v>
      </c>
      <c r="L14" s="24"/>
    </row>
    <row r="15" spans="1:15" ht="16.5" thickBot="1">
      <c r="B15" s="48" t="s">
        <v>13</v>
      </c>
      <c r="C15" s="49">
        <f>SUM(C13:C14)</f>
        <v>-3484</v>
      </c>
      <c r="D15" s="49">
        <f t="shared" ref="D15:J15" si="5">SUM(D13:D14)</f>
        <v>-3836</v>
      </c>
      <c r="E15" s="49">
        <f t="shared" si="5"/>
        <v>-3407.3907744224371</v>
      </c>
      <c r="F15" s="49">
        <f t="shared" si="5"/>
        <v>-898.37439839381307</v>
      </c>
      <c r="G15" s="49">
        <f t="shared" si="5"/>
        <v>2182.4806290132974</v>
      </c>
      <c r="H15" s="49">
        <f t="shared" si="5"/>
        <v>5858.2860780704023</v>
      </c>
      <c r="I15" s="49">
        <f t="shared" si="5"/>
        <v>10241.408098696547</v>
      </c>
      <c r="J15" s="49">
        <f t="shared" si="5"/>
        <v>15458.987113308729</v>
      </c>
    </row>
    <row r="16" spans="1:15">
      <c r="B16" s="2"/>
      <c r="C16" s="47"/>
      <c r="E16" s="47"/>
      <c r="F16" s="47"/>
      <c r="G16" s="47"/>
      <c r="H16" s="47"/>
      <c r="I16" s="47"/>
      <c r="J16" s="47"/>
    </row>
    <row r="18" spans="2:10">
      <c r="B18" s="110" t="s">
        <v>96</v>
      </c>
      <c r="C18" s="111">
        <v>44926</v>
      </c>
      <c r="D18" s="111">
        <f t="shared" ref="D18:J18" si="6">EOMONTH(C18,12)</f>
        <v>45291</v>
      </c>
      <c r="E18" s="112">
        <f t="shared" si="6"/>
        <v>45657</v>
      </c>
      <c r="F18" s="111">
        <f t="shared" si="6"/>
        <v>46022</v>
      </c>
      <c r="G18" s="111">
        <f t="shared" si="6"/>
        <v>46387</v>
      </c>
      <c r="H18" s="111">
        <f t="shared" si="6"/>
        <v>46752</v>
      </c>
      <c r="I18" s="111">
        <f t="shared" si="6"/>
        <v>47118</v>
      </c>
      <c r="J18" s="111">
        <f t="shared" si="6"/>
        <v>47483</v>
      </c>
    </row>
    <row r="19" spans="2:10">
      <c r="B19" s="106" t="s">
        <v>91</v>
      </c>
      <c r="C19" s="27"/>
      <c r="D19" s="27"/>
      <c r="E19" s="27"/>
      <c r="F19" s="27"/>
      <c r="G19" s="27"/>
      <c r="H19" s="27"/>
      <c r="I19" s="27"/>
      <c r="J19" s="27"/>
    </row>
    <row r="20" spans="2:10">
      <c r="B20" s="43" t="s">
        <v>72</v>
      </c>
      <c r="C20" s="295">
        <v>-3484</v>
      </c>
      <c r="D20" s="295">
        <v>-3836</v>
      </c>
      <c r="E20" s="296">
        <f t="shared" ref="E20:J20" si="7">E15</f>
        <v>-3407.3907744224371</v>
      </c>
      <c r="F20" s="296">
        <f t="shared" si="7"/>
        <v>-898.37439839381307</v>
      </c>
      <c r="G20" s="296">
        <f t="shared" si="7"/>
        <v>2182.4806290132974</v>
      </c>
      <c r="H20" s="296">
        <f t="shared" si="7"/>
        <v>5858.2860780704023</v>
      </c>
      <c r="I20" s="296">
        <f t="shared" si="7"/>
        <v>10241.408098696547</v>
      </c>
      <c r="J20" s="296">
        <f t="shared" si="7"/>
        <v>15458.987113308729</v>
      </c>
    </row>
    <row r="21" spans="2:10">
      <c r="B21" s="104" t="s">
        <v>92</v>
      </c>
      <c r="C21" s="108"/>
      <c r="D21" s="108"/>
      <c r="E21" s="104"/>
      <c r="F21" s="104"/>
      <c r="G21" s="104"/>
      <c r="H21" s="104"/>
      <c r="I21" s="104"/>
      <c r="J21" s="104"/>
    </row>
    <row r="22" spans="2:10">
      <c r="B22" s="104" t="s">
        <v>10</v>
      </c>
      <c r="C22" s="107">
        <v>1098</v>
      </c>
      <c r="D22" s="107">
        <v>2149</v>
      </c>
      <c r="E22" s="104">
        <v>1000</v>
      </c>
      <c r="F22" s="104">
        <v>1000</v>
      </c>
      <c r="G22" s="104">
        <v>1000</v>
      </c>
      <c r="H22" s="104">
        <v>1000</v>
      </c>
      <c r="I22" s="104">
        <v>1000</v>
      </c>
      <c r="J22" s="104">
        <v>1000</v>
      </c>
    </row>
    <row r="23" spans="2:10">
      <c r="B23" s="104" t="s">
        <v>203</v>
      </c>
      <c r="C23" s="107"/>
      <c r="D23" s="107">
        <f>'Capex Build'!D28</f>
        <v>12715</v>
      </c>
      <c r="E23" s="114">
        <f>'Capex Build'!E28</f>
        <v>13267.352798696484</v>
      </c>
      <c r="F23" s="114">
        <f>'Capex Build'!F28</f>
        <v>13843.007409551072</v>
      </c>
      <c r="G23" s="114">
        <f>'Capex Build'!G28</f>
        <v>14442.784250582403</v>
      </c>
      <c r="H23" s="114">
        <f>'Capex Build'!H28</f>
        <v>15067.618961031189</v>
      </c>
      <c r="I23" s="114">
        <f>'Capex Build'!I28</f>
        <v>15718.46611837791</v>
      </c>
      <c r="J23" s="114">
        <f>'Capex Build'!J28</f>
        <v>16396.298691573313</v>
      </c>
    </row>
    <row r="24" spans="2:10">
      <c r="B24" s="104" t="s">
        <v>204</v>
      </c>
      <c r="C24" s="107"/>
      <c r="D24" s="114">
        <f>'Capex Build'!D7*-1</f>
        <v>352</v>
      </c>
      <c r="E24" s="114">
        <f>'Capex Build'!E7*-1</f>
        <v>367.29124539057506</v>
      </c>
      <c r="F24" s="114">
        <f>'Capex Build'!F7*-1</f>
        <v>383.93972513621026</v>
      </c>
      <c r="G24" s="114">
        <f>'Capex Build'!G7*-1</f>
        <v>402.19623579590916</v>
      </c>
      <c r="H24" s="114">
        <f>'Capex Build'!H7*-1</f>
        <v>422.24288737982096</v>
      </c>
      <c r="I24" s="114">
        <f>'Capex Build'!I7*-1</f>
        <v>444.29140784605505</v>
      </c>
      <c r="J24" s="114">
        <f>'Capex Build'!J7*-1</f>
        <v>468.58579920137709</v>
      </c>
    </row>
    <row r="25" spans="2:10">
      <c r="B25" s="115" t="s">
        <v>202</v>
      </c>
      <c r="C25" s="116">
        <v>8454</v>
      </c>
      <c r="D25" s="116">
        <v>13067</v>
      </c>
      <c r="E25" s="149">
        <f>'Capex Build'!E27</f>
        <v>13634.644044087059</v>
      </c>
      <c r="F25" s="149">
        <f>'Capex Build'!F27</f>
        <v>14226.947134687282</v>
      </c>
      <c r="G25" s="149">
        <f>'Capex Build'!G27</f>
        <v>14844.980486378312</v>
      </c>
      <c r="H25" s="149">
        <f>'Capex Build'!H27</f>
        <v>15489.86184841101</v>
      </c>
      <c r="I25" s="149">
        <f>'Capex Build'!I27</f>
        <v>16162.757526223964</v>
      </c>
      <c r="J25" s="149">
        <f>'Capex Build'!J27</f>
        <v>16864.88449077469</v>
      </c>
    </row>
    <row r="26" spans="2:10">
      <c r="B26" s="104" t="s">
        <v>71</v>
      </c>
      <c r="C26" s="107">
        <v>3773</v>
      </c>
      <c r="D26" s="107">
        <v>2055</v>
      </c>
      <c r="E26" s="113">
        <v>0</v>
      </c>
      <c r="F26" s="113">
        <f t="shared" ref="F26:J26" si="8">E26*1.02</f>
        <v>0</v>
      </c>
      <c r="G26" s="113">
        <f t="shared" si="8"/>
        <v>0</v>
      </c>
      <c r="H26" s="113">
        <f t="shared" si="8"/>
        <v>0</v>
      </c>
      <c r="I26" s="113">
        <f t="shared" si="8"/>
        <v>0</v>
      </c>
      <c r="J26" s="113">
        <f t="shared" si="8"/>
        <v>0</v>
      </c>
    </row>
    <row r="27" spans="2:10">
      <c r="B27" s="104" t="s">
        <v>4</v>
      </c>
      <c r="C27" s="107">
        <v>-13</v>
      </c>
      <c r="D27" s="107">
        <v>47</v>
      </c>
      <c r="E27" s="113">
        <v>0</v>
      </c>
      <c r="F27" s="113">
        <f t="shared" ref="F27:J28" si="9">E27</f>
        <v>0</v>
      </c>
      <c r="G27" s="113">
        <f t="shared" si="9"/>
        <v>0</v>
      </c>
      <c r="H27" s="113">
        <f t="shared" si="9"/>
        <v>0</v>
      </c>
      <c r="I27" s="113">
        <f t="shared" si="9"/>
        <v>0</v>
      </c>
      <c r="J27" s="113">
        <f t="shared" si="9"/>
        <v>0</v>
      </c>
    </row>
    <row r="28" spans="2:10">
      <c r="B28" s="104" t="s">
        <v>5</v>
      </c>
      <c r="C28" s="107">
        <v>0</v>
      </c>
      <c r="D28" s="107">
        <v>-595</v>
      </c>
      <c r="E28" s="113">
        <f>C28</f>
        <v>0</v>
      </c>
      <c r="F28" s="113">
        <f t="shared" si="9"/>
        <v>0</v>
      </c>
      <c r="G28" s="113">
        <f t="shared" si="9"/>
        <v>0</v>
      </c>
      <c r="H28" s="113">
        <f t="shared" si="9"/>
        <v>0</v>
      </c>
      <c r="I28" s="113">
        <f t="shared" si="9"/>
        <v>0</v>
      </c>
      <c r="J28" s="113">
        <f t="shared" si="9"/>
        <v>0</v>
      </c>
    </row>
    <row r="29" spans="2:10">
      <c r="B29" s="104" t="s">
        <v>8</v>
      </c>
      <c r="C29" s="107">
        <v>-37</v>
      </c>
      <c r="D29" s="107">
        <v>0</v>
      </c>
      <c r="E29" s="113">
        <v>0</v>
      </c>
      <c r="F29" s="113">
        <f t="shared" ref="F29:J33" si="10">E29</f>
        <v>0</v>
      </c>
      <c r="G29" s="113">
        <f t="shared" si="10"/>
        <v>0</v>
      </c>
      <c r="H29" s="113">
        <f t="shared" si="10"/>
        <v>0</v>
      </c>
      <c r="I29" s="113">
        <f t="shared" si="10"/>
        <v>0</v>
      </c>
      <c r="J29" s="113">
        <f t="shared" si="10"/>
        <v>0</v>
      </c>
    </row>
    <row r="30" spans="2:10">
      <c r="B30" s="104" t="s">
        <v>7</v>
      </c>
      <c r="C30" s="107">
        <v>-804</v>
      </c>
      <c r="D30" s="107">
        <v>440</v>
      </c>
      <c r="E30" s="113">
        <v>0</v>
      </c>
      <c r="F30" s="113">
        <f t="shared" si="10"/>
        <v>0</v>
      </c>
      <c r="G30" s="113">
        <f t="shared" si="10"/>
        <v>0</v>
      </c>
      <c r="H30" s="113">
        <f t="shared" si="10"/>
        <v>0</v>
      </c>
      <c r="I30" s="113">
        <f t="shared" si="10"/>
        <v>0</v>
      </c>
      <c r="J30" s="113">
        <f t="shared" si="10"/>
        <v>0</v>
      </c>
    </row>
    <row r="31" spans="2:10">
      <c r="B31" s="104" t="s">
        <v>70</v>
      </c>
      <c r="C31" s="107">
        <v>4</v>
      </c>
      <c r="D31" s="107">
        <v>-591</v>
      </c>
      <c r="E31" s="113">
        <v>0</v>
      </c>
      <c r="F31" s="113">
        <f t="shared" si="10"/>
        <v>0</v>
      </c>
      <c r="G31" s="113">
        <f t="shared" si="10"/>
        <v>0</v>
      </c>
      <c r="H31" s="113">
        <f t="shared" si="10"/>
        <v>0</v>
      </c>
      <c r="I31" s="113">
        <f t="shared" si="10"/>
        <v>0</v>
      </c>
      <c r="J31" s="113">
        <f t="shared" si="10"/>
        <v>0</v>
      </c>
    </row>
    <row r="32" spans="2:10">
      <c r="B32" s="104" t="s">
        <v>69</v>
      </c>
      <c r="C32" s="107">
        <v>121</v>
      </c>
      <c r="D32" s="107">
        <v>0</v>
      </c>
      <c r="E32" s="113">
        <v>0</v>
      </c>
      <c r="F32" s="113">
        <f t="shared" si="10"/>
        <v>0</v>
      </c>
      <c r="G32" s="113">
        <f t="shared" si="10"/>
        <v>0</v>
      </c>
      <c r="H32" s="113">
        <f t="shared" si="10"/>
        <v>0</v>
      </c>
      <c r="I32" s="113">
        <f t="shared" si="10"/>
        <v>0</v>
      </c>
      <c r="J32" s="113">
        <f t="shared" si="10"/>
        <v>0</v>
      </c>
    </row>
    <row r="33" spans="2:10">
      <c r="B33" s="104" t="s">
        <v>68</v>
      </c>
      <c r="C33" s="107">
        <v>1558</v>
      </c>
      <c r="D33" s="107">
        <v>910</v>
      </c>
      <c r="E33" s="113">
        <v>0</v>
      </c>
      <c r="F33" s="113">
        <f t="shared" si="10"/>
        <v>0</v>
      </c>
      <c r="G33" s="113">
        <f t="shared" si="10"/>
        <v>0</v>
      </c>
      <c r="H33" s="113">
        <f t="shared" si="10"/>
        <v>0</v>
      </c>
      <c r="I33" s="113">
        <f t="shared" si="10"/>
        <v>0</v>
      </c>
      <c r="J33" s="113">
        <f t="shared" si="10"/>
        <v>0</v>
      </c>
    </row>
    <row r="34" spans="2:10">
      <c r="B34" s="2" t="s">
        <v>67</v>
      </c>
      <c r="C34" s="29">
        <v>-3646</v>
      </c>
      <c r="D34" s="29">
        <v>-455</v>
      </c>
      <c r="E34" s="113">
        <f>SUM(E35:E44)</f>
        <v>-2746.427491089381</v>
      </c>
      <c r="F34" s="113">
        <f t="shared" ref="F34:J34" si="11">SUM(F35:F44)</f>
        <v>-254.73529217399164</v>
      </c>
      <c r="G34" s="113">
        <f t="shared" si="11"/>
        <v>-377.3201262339503</v>
      </c>
      <c r="H34" s="113">
        <f t="shared" si="11"/>
        <v>-460.93839991801315</v>
      </c>
      <c r="I34" s="113">
        <f t="shared" si="11"/>
        <v>-562.06204912312478</v>
      </c>
      <c r="J34" s="113">
        <f t="shared" si="11"/>
        <v>-681.72251478164162</v>
      </c>
    </row>
    <row r="35" spans="2:10">
      <c r="B35" s="154" t="s">
        <v>16</v>
      </c>
      <c r="C35" s="155"/>
      <c r="D35" s="155"/>
      <c r="E35" s="113">
        <f>D78-E78</f>
        <v>-1421.1954403355812</v>
      </c>
      <c r="F35" s="113">
        <f t="shared" ref="F35:J35" si="12">E78-F78</f>
        <v>-1780.6987066166839</v>
      </c>
      <c r="G35" s="113">
        <f t="shared" si="12"/>
        <v>-2109.7451285381394</v>
      </c>
      <c r="H35" s="113">
        <f t="shared" si="12"/>
        <v>-2348.6744323283456</v>
      </c>
      <c r="I35" s="113">
        <f t="shared" si="12"/>
        <v>-2626.4626416779611</v>
      </c>
      <c r="J35" s="113">
        <f t="shared" si="12"/>
        <v>-2946.5945748548947</v>
      </c>
    </row>
    <row r="36" spans="2:10">
      <c r="B36" s="154" t="s">
        <v>17</v>
      </c>
      <c r="C36" s="155"/>
      <c r="D36" s="155"/>
      <c r="E36" s="113">
        <f>D79-E79</f>
        <v>-130.39081551198342</v>
      </c>
      <c r="F36" s="113">
        <f t="shared" ref="F36:J36" si="13">E79-F79</f>
        <v>-125.07896839694195</v>
      </c>
      <c r="G36" s="113">
        <f t="shared" si="13"/>
        <v>-142.0020493691959</v>
      </c>
      <c r="H36" s="113">
        <f t="shared" si="13"/>
        <v>-154.73246167297793</v>
      </c>
      <c r="I36" s="113">
        <f t="shared" si="13"/>
        <v>-169.213163324167</v>
      </c>
      <c r="J36" s="113">
        <f t="shared" si="13"/>
        <v>-185.64525082567616</v>
      </c>
    </row>
    <row r="37" spans="2:10" outlineLevel="1">
      <c r="B37" s="154" t="s">
        <v>25</v>
      </c>
      <c r="C37" s="155"/>
      <c r="D37" s="155"/>
      <c r="E37" s="113">
        <f>E89-D89</f>
        <v>1721.1587647581837</v>
      </c>
      <c r="F37" s="113">
        <f t="shared" ref="F37:J37" si="14">F89-E89</f>
        <v>1651.0423828396342</v>
      </c>
      <c r="G37" s="113">
        <f t="shared" si="14"/>
        <v>1874.427051673385</v>
      </c>
      <c r="H37" s="113">
        <f t="shared" si="14"/>
        <v>2042.4684940833104</v>
      </c>
      <c r="I37" s="113">
        <f t="shared" si="14"/>
        <v>2233.6137558790033</v>
      </c>
      <c r="J37" s="113">
        <f t="shared" si="14"/>
        <v>2450.5173108989293</v>
      </c>
    </row>
    <row r="38" spans="2:10" outlineLevel="1">
      <c r="B38" s="154" t="s">
        <v>26</v>
      </c>
      <c r="C38" s="155"/>
      <c r="D38" s="155"/>
      <c r="E38" s="113">
        <f t="shared" ref="E38:J44" si="15">E90-D90</f>
        <v>0</v>
      </c>
      <c r="F38" s="113">
        <f t="shared" si="15"/>
        <v>0</v>
      </c>
      <c r="G38" s="113">
        <f t="shared" si="15"/>
        <v>0</v>
      </c>
      <c r="H38" s="113">
        <f t="shared" si="15"/>
        <v>0</v>
      </c>
      <c r="I38" s="113">
        <f t="shared" si="15"/>
        <v>0</v>
      </c>
      <c r="J38" s="113">
        <f t="shared" si="15"/>
        <v>0</v>
      </c>
    </row>
    <row r="39" spans="2:10" outlineLevel="1">
      <c r="B39" s="154" t="s">
        <v>27</v>
      </c>
      <c r="C39" s="155"/>
      <c r="D39" s="155"/>
      <c r="E39" s="113">
        <f t="shared" si="15"/>
        <v>0</v>
      </c>
      <c r="F39" s="113">
        <f t="shared" si="15"/>
        <v>0</v>
      </c>
      <c r="G39" s="113">
        <f t="shared" si="15"/>
        <v>0</v>
      </c>
      <c r="H39" s="113">
        <f t="shared" si="15"/>
        <v>0</v>
      </c>
      <c r="I39" s="113">
        <f t="shared" si="15"/>
        <v>0</v>
      </c>
      <c r="J39" s="113">
        <f t="shared" si="15"/>
        <v>0</v>
      </c>
    </row>
    <row r="40" spans="2:10" outlineLevel="1">
      <c r="B40" s="154" t="s">
        <v>28</v>
      </c>
      <c r="C40" s="155"/>
      <c r="D40" s="155"/>
      <c r="E40" s="113">
        <f t="shared" si="15"/>
        <v>0</v>
      </c>
      <c r="F40" s="113">
        <f t="shared" si="15"/>
        <v>0</v>
      </c>
      <c r="G40" s="113">
        <f t="shared" si="15"/>
        <v>0</v>
      </c>
      <c r="H40" s="113">
        <f t="shared" si="15"/>
        <v>0</v>
      </c>
      <c r="I40" s="113">
        <f t="shared" si="15"/>
        <v>0</v>
      </c>
      <c r="J40" s="113">
        <f t="shared" si="15"/>
        <v>0</v>
      </c>
    </row>
    <row r="41" spans="2:10" outlineLevel="1">
      <c r="B41" s="154" t="s">
        <v>29</v>
      </c>
      <c r="C41" s="155"/>
      <c r="D41" s="155"/>
      <c r="E41" s="113">
        <f t="shared" si="15"/>
        <v>0</v>
      </c>
      <c r="F41" s="113">
        <f t="shared" si="15"/>
        <v>0</v>
      </c>
      <c r="G41" s="113">
        <f t="shared" si="15"/>
        <v>0</v>
      </c>
      <c r="H41" s="113">
        <f t="shared" si="15"/>
        <v>0</v>
      </c>
      <c r="I41" s="113">
        <f t="shared" si="15"/>
        <v>0</v>
      </c>
      <c r="J41" s="113">
        <f t="shared" si="15"/>
        <v>0</v>
      </c>
    </row>
    <row r="42" spans="2:10" outlineLevel="1">
      <c r="B42" s="154" t="s">
        <v>30</v>
      </c>
      <c r="C42" s="155"/>
      <c r="D42" s="155"/>
      <c r="E42" s="113">
        <f t="shared" si="15"/>
        <v>-471</v>
      </c>
      <c r="F42" s="113">
        <f t="shared" si="15"/>
        <v>0</v>
      </c>
      <c r="G42" s="113">
        <f t="shared" si="15"/>
        <v>0</v>
      </c>
      <c r="H42" s="113">
        <f t="shared" si="15"/>
        <v>0</v>
      </c>
      <c r="I42" s="113">
        <f t="shared" si="15"/>
        <v>0</v>
      </c>
      <c r="J42" s="113">
        <f t="shared" si="15"/>
        <v>0</v>
      </c>
    </row>
    <row r="43" spans="2:10" outlineLevel="1">
      <c r="B43" s="154" t="s">
        <v>31</v>
      </c>
      <c r="C43" s="155"/>
      <c r="D43" s="155"/>
      <c r="E43" s="113">
        <f t="shared" si="15"/>
        <v>-2445</v>
      </c>
      <c r="F43" s="113">
        <f t="shared" si="15"/>
        <v>0</v>
      </c>
      <c r="G43" s="113">
        <f t="shared" si="15"/>
        <v>0</v>
      </c>
      <c r="H43" s="113">
        <f t="shared" si="15"/>
        <v>0</v>
      </c>
      <c r="I43" s="113">
        <f t="shared" si="15"/>
        <v>0</v>
      </c>
      <c r="J43" s="113">
        <f t="shared" si="15"/>
        <v>0</v>
      </c>
    </row>
    <row r="44" spans="2:10" outlineLevel="1">
      <c r="B44" s="154" t="s">
        <v>32</v>
      </c>
      <c r="C44" s="155"/>
      <c r="D44" s="155"/>
      <c r="E44" s="113">
        <f t="shared" si="15"/>
        <v>0</v>
      </c>
      <c r="F44" s="113">
        <f t="shared" si="15"/>
        <v>0</v>
      </c>
      <c r="G44" s="113">
        <f t="shared" si="15"/>
        <v>0</v>
      </c>
      <c r="H44" s="113">
        <f t="shared" si="15"/>
        <v>0</v>
      </c>
      <c r="I44" s="113">
        <f t="shared" si="15"/>
        <v>0</v>
      </c>
      <c r="J44" s="113">
        <f t="shared" si="15"/>
        <v>0</v>
      </c>
    </row>
    <row r="45" spans="2:10" outlineLevel="1">
      <c r="B45" s="2" t="s">
        <v>66</v>
      </c>
      <c r="C45" s="29">
        <v>-1271</v>
      </c>
      <c r="D45" s="29">
        <v>-1452</v>
      </c>
      <c r="E45" s="113">
        <f>-D98</f>
        <v>-852</v>
      </c>
      <c r="F45" s="113">
        <f t="shared" ref="F45:J45" si="16">-E98</f>
        <v>0</v>
      </c>
      <c r="G45" s="113">
        <f t="shared" si="16"/>
        <v>0</v>
      </c>
      <c r="H45" s="113">
        <f t="shared" si="16"/>
        <v>0</v>
      </c>
      <c r="I45" s="113">
        <f t="shared" si="16"/>
        <v>0</v>
      </c>
      <c r="J45" s="113">
        <f t="shared" si="16"/>
        <v>0</v>
      </c>
    </row>
    <row r="46" spans="2:10" outlineLevel="1">
      <c r="B46" s="28" t="s">
        <v>93</v>
      </c>
      <c r="C46" s="156">
        <v>5753</v>
      </c>
      <c r="D46" s="156">
        <v>11739</v>
      </c>
      <c r="E46" s="156">
        <f>SUM(E25:E34)+E20+E45</f>
        <v>6628.8257785752403</v>
      </c>
      <c r="F46" s="156">
        <f t="shared" ref="F46:J46" si="17">SUM(F25:F34)+F20</f>
        <v>13073.837444119477</v>
      </c>
      <c r="G46" s="156">
        <f t="shared" si="17"/>
        <v>16650.140989157659</v>
      </c>
      <c r="H46" s="156">
        <f t="shared" si="17"/>
        <v>20887.209526563398</v>
      </c>
      <c r="I46" s="156">
        <f t="shared" si="17"/>
        <v>25842.103575797388</v>
      </c>
      <c r="J46" s="156">
        <f t="shared" si="17"/>
        <v>31642.149089301776</v>
      </c>
    </row>
    <row r="47" spans="2:10">
      <c r="B47" s="2"/>
      <c r="C47" s="30"/>
      <c r="D47" s="30"/>
    </row>
    <row r="48" spans="2:10">
      <c r="B48" s="106" t="s">
        <v>94</v>
      </c>
      <c r="C48" s="27"/>
      <c r="D48" s="27"/>
      <c r="E48" s="27"/>
      <c r="F48" s="27"/>
      <c r="G48" s="27"/>
      <c r="H48" s="27"/>
      <c r="I48" s="27"/>
      <c r="J48" s="27"/>
    </row>
    <row r="49" spans="2:10">
      <c r="B49" s="104" t="s">
        <v>65</v>
      </c>
      <c r="C49" s="107">
        <v>-544</v>
      </c>
      <c r="D49" s="107">
        <v>-332</v>
      </c>
      <c r="E49" s="117">
        <f>-'Capex Build'!E6</f>
        <v>-458.73736171725108</v>
      </c>
      <c r="F49" s="117">
        <f>-'Capex Build'!F6</f>
        <v>-499.45439236905673</v>
      </c>
      <c r="G49" s="117">
        <f>-'Capex Build'!G6</f>
        <v>-547.69531979096701</v>
      </c>
      <c r="H49" s="117">
        <f>-'Capex Build'!H6</f>
        <v>-601.39954751735411</v>
      </c>
      <c r="I49" s="117">
        <f>-'Capex Build'!I6</f>
        <v>-661.45561398702239</v>
      </c>
      <c r="J49" s="117">
        <f>-'Capex Build'!J6</f>
        <v>-728.83174065966182</v>
      </c>
    </row>
    <row r="50" spans="2:10">
      <c r="B50" s="104" t="s">
        <v>64</v>
      </c>
      <c r="C50" s="107">
        <v>-7377</v>
      </c>
      <c r="D50" s="107">
        <v>-9391</v>
      </c>
      <c r="E50" s="146">
        <f>'Capex Build'!E36</f>
        <v>-9434.7680957944067</v>
      </c>
      <c r="F50" s="146">
        <f>'Capex Build'!F36</f>
        <v>-9724.2758518158826</v>
      </c>
      <c r="G50" s="146">
        <f>'Capex Build'!G36</f>
        <v>-10062.683593405778</v>
      </c>
      <c r="H50" s="146">
        <f>'Capex Build'!H36</f>
        <v>-10389.631339105985</v>
      </c>
      <c r="I50" s="146">
        <f>'Capex Build'!I36</f>
        <v>-10701.51444821288</v>
      </c>
      <c r="J50" s="146">
        <f>'Capex Build'!J36</f>
        <v>-10992.031054663212</v>
      </c>
    </row>
    <row r="51" spans="2:10">
      <c r="B51" s="115" t="s">
        <v>99</v>
      </c>
      <c r="C51" s="116">
        <f>SUM(C49:C50)</f>
        <v>-7921</v>
      </c>
      <c r="D51" s="116">
        <f>SUM(D49:D50)</f>
        <v>-9723</v>
      </c>
      <c r="E51" s="149">
        <f>SUM(E49:E50)</f>
        <v>-9893.5054575116574</v>
      </c>
      <c r="F51" s="149">
        <f t="shared" ref="F51:J51" si="18">SUM(F49:F50)</f>
        <v>-10223.730244184939</v>
      </c>
      <c r="G51" s="149">
        <f t="shared" si="18"/>
        <v>-10610.378913196746</v>
      </c>
      <c r="H51" s="149">
        <f t="shared" si="18"/>
        <v>-10991.030886623339</v>
      </c>
      <c r="I51" s="149">
        <f t="shared" si="18"/>
        <v>-11362.970062199902</v>
      </c>
      <c r="J51" s="149">
        <f t="shared" si="18"/>
        <v>-11720.862795322873</v>
      </c>
    </row>
    <row r="52" spans="2:10">
      <c r="B52" s="104" t="s">
        <v>63</v>
      </c>
      <c r="C52">
        <v>91</v>
      </c>
      <c r="D52" s="107">
        <v>0</v>
      </c>
      <c r="E52" s="118">
        <v>0</v>
      </c>
      <c r="F52" s="118">
        <v>0</v>
      </c>
      <c r="G52" s="118">
        <v>0</v>
      </c>
      <c r="H52" s="118">
        <v>0</v>
      </c>
      <c r="I52" s="118">
        <v>0</v>
      </c>
      <c r="J52" s="118">
        <v>0</v>
      </c>
    </row>
    <row r="53" spans="2:10">
      <c r="B53" s="104" t="s">
        <v>62</v>
      </c>
      <c r="C53" s="107">
        <v>-8488</v>
      </c>
      <c r="D53" s="107">
        <v>0</v>
      </c>
      <c r="E53" s="118">
        <v>0</v>
      </c>
      <c r="F53" s="118">
        <v>0</v>
      </c>
      <c r="G53" s="118">
        <v>0</v>
      </c>
      <c r="H53" s="118">
        <v>0</v>
      </c>
      <c r="I53" s="118">
        <v>0</v>
      </c>
      <c r="J53" s="118">
        <v>0</v>
      </c>
    </row>
    <row r="54" spans="2:10">
      <c r="B54" s="104" t="s">
        <v>61</v>
      </c>
      <c r="C54" s="107">
        <v>266</v>
      </c>
      <c r="D54" s="107">
        <v>0</v>
      </c>
      <c r="E54" s="118">
        <v>0</v>
      </c>
      <c r="F54" s="118">
        <v>0</v>
      </c>
      <c r="G54" s="118">
        <v>0</v>
      </c>
      <c r="H54" s="118">
        <v>0</v>
      </c>
      <c r="I54" s="118">
        <v>0</v>
      </c>
      <c r="J54" s="118">
        <v>0</v>
      </c>
    </row>
    <row r="55" spans="2:10">
      <c r="B55" s="104" t="s">
        <v>60</v>
      </c>
      <c r="C55" s="107">
        <v>-821</v>
      </c>
      <c r="D55" s="122" t="s">
        <v>6</v>
      </c>
      <c r="E55" s="123" t="s">
        <v>6</v>
      </c>
      <c r="F55" s="124" t="str">
        <f t="shared" ref="F55:J55" si="19">E55</f>
        <v>-</v>
      </c>
      <c r="G55" s="124" t="str">
        <f t="shared" si="19"/>
        <v>-</v>
      </c>
      <c r="H55" s="124" t="str">
        <f t="shared" si="19"/>
        <v>-</v>
      </c>
      <c r="I55" s="124" t="str">
        <f t="shared" si="19"/>
        <v>-</v>
      </c>
      <c r="J55" s="124" t="str">
        <f t="shared" si="19"/>
        <v>-</v>
      </c>
    </row>
    <row r="56" spans="2:10">
      <c r="B56" s="109" t="s">
        <v>59</v>
      </c>
      <c r="C56" s="159">
        <f>SUM(C51:C55)</f>
        <v>-16873</v>
      </c>
      <c r="D56" s="159">
        <f>SUM(D51:D55)</f>
        <v>-9723</v>
      </c>
      <c r="E56" s="159">
        <f t="shared" ref="E56:J56" si="20">SUM(E51:E55)</f>
        <v>-9893.5054575116574</v>
      </c>
      <c r="F56" s="159">
        <f t="shared" si="20"/>
        <v>-10223.730244184939</v>
      </c>
      <c r="G56" s="159">
        <f t="shared" si="20"/>
        <v>-10610.378913196746</v>
      </c>
      <c r="H56" s="159">
        <f t="shared" si="20"/>
        <v>-10991.030886623339</v>
      </c>
      <c r="I56" s="159">
        <f t="shared" si="20"/>
        <v>-11362.970062199902</v>
      </c>
      <c r="J56" s="159">
        <f t="shared" si="20"/>
        <v>-11720.862795322873</v>
      </c>
    </row>
    <row r="57" spans="2:10">
      <c r="B57" s="2"/>
      <c r="C57" s="30"/>
      <c r="D57" s="30"/>
    </row>
    <row r="58" spans="2:10">
      <c r="B58" s="27" t="s">
        <v>95</v>
      </c>
      <c r="C58" s="27"/>
      <c r="D58" s="27"/>
      <c r="E58" s="27"/>
      <c r="F58" s="27"/>
      <c r="G58" s="27"/>
      <c r="H58" s="27"/>
      <c r="I58" s="27"/>
      <c r="J58" s="27"/>
    </row>
    <row r="59" spans="2:10">
      <c r="B59" s="2" t="s">
        <v>58</v>
      </c>
      <c r="C59" s="29">
        <v>14</v>
      </c>
      <c r="D59" s="29">
        <v>440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</row>
    <row r="60" spans="2:10">
      <c r="B60" s="162" t="s">
        <v>57</v>
      </c>
      <c r="C60" s="163">
        <v>0</v>
      </c>
      <c r="D60" s="163">
        <v>-3693</v>
      </c>
      <c r="E60" s="164">
        <v>0</v>
      </c>
      <c r="F60" s="164">
        <v>0</v>
      </c>
      <c r="G60" s="164">
        <v>0</v>
      </c>
      <c r="H60" s="164">
        <v>0</v>
      </c>
      <c r="I60" s="164">
        <v>0</v>
      </c>
      <c r="J60" s="164">
        <v>0</v>
      </c>
    </row>
    <row r="61" spans="2:10">
      <c r="B61" s="2" t="s">
        <v>56</v>
      </c>
      <c r="C61" s="29">
        <v>8053</v>
      </c>
      <c r="D61" s="29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 spans="2:10" s="162" customFormat="1">
      <c r="B62" s="2" t="s">
        <v>55</v>
      </c>
      <c r="C62" s="29">
        <v>-188</v>
      </c>
      <c r="D62" s="29">
        <v>-595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</row>
    <row r="63" spans="2:10">
      <c r="B63" s="2" t="s">
        <v>54</v>
      </c>
      <c r="C63" s="29">
        <v>-661</v>
      </c>
      <c r="D63" s="29">
        <v>-109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</row>
    <row r="64" spans="2:10">
      <c r="B64" s="2" t="s">
        <v>53</v>
      </c>
      <c r="C64" s="29">
        <v>13</v>
      </c>
      <c r="D64" s="29">
        <v>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  <row r="65" spans="2:10">
      <c r="B65" s="2" t="s">
        <v>52</v>
      </c>
      <c r="C65" s="29">
        <v>-334</v>
      </c>
      <c r="D65" s="29">
        <v>-210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</row>
    <row r="66" spans="2:10">
      <c r="B66" s="28" t="s">
        <v>51</v>
      </c>
      <c r="C66" s="31">
        <v>6897</v>
      </c>
      <c r="D66" s="31">
        <v>-4166</v>
      </c>
      <c r="E66" s="157">
        <f>SUM(E59:E65)</f>
        <v>0</v>
      </c>
      <c r="F66" s="157">
        <f t="shared" ref="F66:J66" si="21">SUM(F59:F65)</f>
        <v>0</v>
      </c>
      <c r="G66" s="157">
        <f t="shared" si="21"/>
        <v>0</v>
      </c>
      <c r="H66" s="157">
        <f t="shared" si="21"/>
        <v>0</v>
      </c>
      <c r="I66" s="157">
        <f t="shared" si="21"/>
        <v>0</v>
      </c>
      <c r="J66" s="157">
        <f t="shared" si="21"/>
        <v>0</v>
      </c>
    </row>
    <row r="67" spans="2:10">
      <c r="B67" s="2"/>
    </row>
    <row r="68" spans="2:10">
      <c r="B68" s="2" t="s">
        <v>50</v>
      </c>
      <c r="C68" s="29">
        <v>-496</v>
      </c>
      <c r="D68" s="29">
        <v>-341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</row>
    <row r="69" spans="2:10">
      <c r="B69" s="1" t="s">
        <v>49</v>
      </c>
      <c r="C69" s="31">
        <v>-4719</v>
      </c>
      <c r="D69" s="31">
        <v>-2491</v>
      </c>
      <c r="E69" s="31"/>
      <c r="F69" s="31"/>
      <c r="G69" s="31"/>
      <c r="H69" s="31"/>
      <c r="I69" s="31"/>
      <c r="J69" s="31"/>
    </row>
    <row r="70" spans="2:10">
      <c r="B70" s="2" t="s">
        <v>48</v>
      </c>
      <c r="C70" s="29">
        <v>16006</v>
      </c>
      <c r="D70" s="29">
        <v>11287</v>
      </c>
      <c r="E70" s="158">
        <f>D71</f>
        <v>8796</v>
      </c>
      <c r="F70" s="158">
        <f t="shared" ref="F70:J70" si="22">E71</f>
        <v>5531.3203210635829</v>
      </c>
      <c r="G70" s="158">
        <f t="shared" si="22"/>
        <v>8381.4275209981206</v>
      </c>
      <c r="H70" s="158">
        <f t="shared" si="22"/>
        <v>14421.189596959033</v>
      </c>
      <c r="I70" s="158">
        <f t="shared" si="22"/>
        <v>24317.368236899092</v>
      </c>
      <c r="J70" s="158">
        <f t="shared" si="22"/>
        <v>38796.50175049658</v>
      </c>
    </row>
    <row r="71" spans="2:10">
      <c r="B71" s="1" t="s">
        <v>73</v>
      </c>
      <c r="C71" s="31">
        <v>11287</v>
      </c>
      <c r="D71" s="31">
        <v>8796</v>
      </c>
      <c r="E71" s="158">
        <f>E70+E66+E56+E46</f>
        <v>5531.3203210635829</v>
      </c>
      <c r="F71" s="158">
        <f t="shared" ref="F71:J71" si="23">F70+F66+F56+F46</f>
        <v>8381.4275209981206</v>
      </c>
      <c r="G71" s="158">
        <f t="shared" si="23"/>
        <v>14421.189596959033</v>
      </c>
      <c r="H71" s="158">
        <f t="shared" si="23"/>
        <v>24317.368236899092</v>
      </c>
      <c r="I71" s="158">
        <f t="shared" si="23"/>
        <v>38796.50175049658</v>
      </c>
      <c r="J71" s="158">
        <f t="shared" si="23"/>
        <v>58717.788044475485</v>
      </c>
    </row>
    <row r="72" spans="2:10">
      <c r="B72" s="2"/>
      <c r="C72" s="2"/>
      <c r="D72" s="2"/>
    </row>
    <row r="74" spans="2:10">
      <c r="B74" s="14" t="s">
        <v>97</v>
      </c>
      <c r="C74" s="15">
        <v>44926</v>
      </c>
      <c r="D74" s="15">
        <f t="shared" ref="D74:J74" si="24">EOMONTH(C74,12)</f>
        <v>45291</v>
      </c>
      <c r="E74" s="16">
        <f t="shared" si="24"/>
        <v>45657</v>
      </c>
      <c r="F74" s="15">
        <f t="shared" si="24"/>
        <v>46022</v>
      </c>
      <c r="G74" s="15">
        <f t="shared" si="24"/>
        <v>46387</v>
      </c>
      <c r="H74" s="15">
        <f t="shared" si="24"/>
        <v>46752</v>
      </c>
      <c r="I74" s="15">
        <f t="shared" si="24"/>
        <v>47118</v>
      </c>
      <c r="J74" s="15">
        <f t="shared" si="24"/>
        <v>47483</v>
      </c>
    </row>
    <row r="75" spans="2:10">
      <c r="D75" s="4"/>
    </row>
    <row r="76" spans="2:10">
      <c r="B76" s="6" t="s">
        <v>46</v>
      </c>
      <c r="C76" s="27"/>
      <c r="D76" s="27"/>
      <c r="E76" s="27"/>
      <c r="F76" s="27"/>
      <c r="G76" s="27"/>
      <c r="H76" s="27"/>
      <c r="I76" s="27"/>
      <c r="J76" s="27"/>
    </row>
    <row r="77" spans="2:10">
      <c r="B77" t="s">
        <v>15</v>
      </c>
      <c r="C77" s="5">
        <v>11287</v>
      </c>
      <c r="D77" s="8">
        <v>8796</v>
      </c>
      <c r="E77" s="158">
        <f t="shared" ref="E77:J77" si="25">E71</f>
        <v>5531.3203210635829</v>
      </c>
      <c r="F77" s="158">
        <f t="shared" si="25"/>
        <v>8381.4275209981206</v>
      </c>
      <c r="G77" s="158">
        <f t="shared" si="25"/>
        <v>14421.189596959033</v>
      </c>
      <c r="H77" s="158">
        <f t="shared" si="25"/>
        <v>24317.368236899092</v>
      </c>
      <c r="I77" s="158">
        <f t="shared" si="25"/>
        <v>38796.50175049658</v>
      </c>
      <c r="J77" s="158">
        <f t="shared" si="25"/>
        <v>58717.788044475485</v>
      </c>
    </row>
    <row r="78" spans="2:10">
      <c r="B78" t="s">
        <v>16</v>
      </c>
      <c r="C78" s="8">
        <v>16628</v>
      </c>
      <c r="D78" s="8">
        <v>18641</v>
      </c>
      <c r="E78" s="8">
        <f t="shared" ref="E78:J79" si="26">D78*(E3/D3)</f>
        <v>20062.195440335581</v>
      </c>
      <c r="F78" s="8">
        <f t="shared" si="26"/>
        <v>21842.894146952265</v>
      </c>
      <c r="G78" s="8">
        <f t="shared" si="26"/>
        <v>23952.639275490405</v>
      </c>
      <c r="H78" s="8">
        <f t="shared" si="26"/>
        <v>26301.31370781875</v>
      </c>
      <c r="I78" s="8">
        <f t="shared" si="26"/>
        <v>28927.776349496711</v>
      </c>
      <c r="J78" s="8">
        <f t="shared" si="26"/>
        <v>31874.370924351606</v>
      </c>
    </row>
    <row r="79" spans="2:10">
      <c r="B79" t="s">
        <v>17</v>
      </c>
      <c r="C79" s="8">
        <v>1823</v>
      </c>
      <c r="D79" s="8">
        <v>1655</v>
      </c>
      <c r="E79" s="8">
        <f t="shared" si="26"/>
        <v>1785.3908155119834</v>
      </c>
      <c r="F79" s="8">
        <f t="shared" si="26"/>
        <v>1910.4697839089254</v>
      </c>
      <c r="G79" s="8">
        <f t="shared" si="26"/>
        <v>2052.4718332781213</v>
      </c>
      <c r="H79" s="8">
        <f t="shared" si="26"/>
        <v>2207.2042949510992</v>
      </c>
      <c r="I79" s="8">
        <f t="shared" si="26"/>
        <v>2376.4174582752662</v>
      </c>
      <c r="J79" s="8">
        <f t="shared" si="26"/>
        <v>2562.0627091009424</v>
      </c>
    </row>
    <row r="80" spans="2:10">
      <c r="B80" s="152" t="s">
        <v>18</v>
      </c>
      <c r="C80" s="153">
        <v>29738</v>
      </c>
      <c r="D80" s="153">
        <v>29092</v>
      </c>
      <c r="E80" s="153">
        <f>E79+E78+E77</f>
        <v>27378.906576911148</v>
      </c>
      <c r="F80" s="153">
        <f>F79+F78+F77</f>
        <v>32134.79145185931</v>
      </c>
      <c r="G80" s="153">
        <f>G79+G78+G77</f>
        <v>40426.300705727561</v>
      </c>
      <c r="H80" s="153">
        <f>H79+H78+H77</f>
        <v>52825.886239668936</v>
      </c>
      <c r="I80" s="153">
        <f>I79+I78+I77</f>
        <v>70100.695558268562</v>
      </c>
      <c r="J80" s="153">
        <f>SUM(J78:J79)</f>
        <v>34436.433633452551</v>
      </c>
    </row>
    <row r="81" spans="2:11">
      <c r="B81" t="s">
        <v>19</v>
      </c>
      <c r="C81" s="7">
        <v>660</v>
      </c>
      <c r="D81" s="7">
        <v>640</v>
      </c>
      <c r="E81" s="39">
        <f>D81+'Capex Build'!E6+'Capex Build'!E7</f>
        <v>731.44611632667602</v>
      </c>
      <c r="F81" s="39">
        <f>E81+'Capex Build'!F6+'Capex Build'!F7</f>
        <v>846.9607835595225</v>
      </c>
      <c r="G81" s="39">
        <f>F81+'Capex Build'!G6+'Capex Build'!G7</f>
        <v>992.45986755458034</v>
      </c>
      <c r="H81" s="39">
        <f>G81+'Capex Build'!H6+'Capex Build'!H7</f>
        <v>1171.6165276921136</v>
      </c>
      <c r="I81" s="39">
        <f>H81+'Capex Build'!I6+'Capex Build'!I7</f>
        <v>1388.7807338330808</v>
      </c>
      <c r="J81" s="39">
        <f>I81+'Capex Build'!J6+'Capex Build'!J7</f>
        <v>1649.0266752913658</v>
      </c>
      <c r="K81" s="53"/>
    </row>
    <row r="82" spans="2:11">
      <c r="B82" t="s">
        <v>21</v>
      </c>
      <c r="C82" s="8">
        <v>41705</v>
      </c>
      <c r="D82" s="8">
        <v>38133</v>
      </c>
      <c r="E82" s="119">
        <f t="shared" ref="E82:J82" si="27">D82-E50-E23</f>
        <v>34300.415297097927</v>
      </c>
      <c r="F82" s="119">
        <f t="shared" si="27"/>
        <v>30181.683739362736</v>
      </c>
      <c r="G82" s="119">
        <f t="shared" si="27"/>
        <v>25801.583082186109</v>
      </c>
      <c r="H82" s="119">
        <f t="shared" si="27"/>
        <v>21123.595460260909</v>
      </c>
      <c r="I82" s="119">
        <f t="shared" si="27"/>
        <v>16106.643790095877</v>
      </c>
      <c r="J82" s="119">
        <f t="shared" si="27"/>
        <v>10702.376153185774</v>
      </c>
      <c r="K82" s="53"/>
    </row>
    <row r="83" spans="2:11">
      <c r="B83" s="33" t="s">
        <v>90</v>
      </c>
      <c r="C83" s="34">
        <f>C82+C81</f>
        <v>42365</v>
      </c>
      <c r="D83" s="34">
        <f>D82+D81</f>
        <v>38773</v>
      </c>
      <c r="E83" s="35">
        <f>E82+E81</f>
        <v>35031.861413424602</v>
      </c>
      <c r="F83" s="35">
        <f t="shared" ref="F83:J83" si="28">F82+F81</f>
        <v>31028.644522922259</v>
      </c>
      <c r="G83" s="35">
        <f t="shared" si="28"/>
        <v>26794.042949740688</v>
      </c>
      <c r="H83" s="35">
        <f t="shared" si="28"/>
        <v>22295.211987953022</v>
      </c>
      <c r="I83" s="35">
        <f t="shared" si="28"/>
        <v>17495.424523928959</v>
      </c>
      <c r="J83" s="35">
        <f t="shared" si="28"/>
        <v>12351.402828477141</v>
      </c>
    </row>
    <row r="84" spans="2:11">
      <c r="B84" t="s">
        <v>20</v>
      </c>
      <c r="C84" s="7">
        <v>576</v>
      </c>
      <c r="D84" s="8">
        <v>3233</v>
      </c>
      <c r="E84" s="3">
        <f t="shared" ref="E84:J86" si="29">D84</f>
        <v>3233</v>
      </c>
      <c r="F84" s="3">
        <f t="shared" si="29"/>
        <v>3233</v>
      </c>
      <c r="G84" s="3">
        <f t="shared" si="29"/>
        <v>3233</v>
      </c>
      <c r="H84" s="3">
        <f t="shared" si="29"/>
        <v>3233</v>
      </c>
      <c r="I84" s="3">
        <f t="shared" si="29"/>
        <v>3233</v>
      </c>
      <c r="J84" s="3">
        <f t="shared" si="29"/>
        <v>3233</v>
      </c>
      <c r="K84" s="53"/>
    </row>
    <row r="85" spans="2:11">
      <c r="B85" t="s">
        <v>22</v>
      </c>
      <c r="C85" s="8">
        <v>31662</v>
      </c>
      <c r="D85" s="8">
        <v>31921</v>
      </c>
      <c r="E85" s="3">
        <f t="shared" si="29"/>
        <v>31921</v>
      </c>
      <c r="F85" s="3">
        <f t="shared" si="29"/>
        <v>31921</v>
      </c>
      <c r="G85" s="3">
        <f t="shared" si="29"/>
        <v>31921</v>
      </c>
      <c r="H85" s="3">
        <f t="shared" si="29"/>
        <v>31921</v>
      </c>
      <c r="I85" s="3">
        <f t="shared" si="29"/>
        <v>31921</v>
      </c>
      <c r="J85" s="3">
        <f t="shared" si="29"/>
        <v>31921</v>
      </c>
      <c r="K85" s="53"/>
    </row>
    <row r="86" spans="2:11">
      <c r="B86" t="s">
        <v>23</v>
      </c>
      <c r="C86" s="7">
        <v>47</v>
      </c>
      <c r="D86" s="7">
        <v>348</v>
      </c>
      <c r="E86">
        <f t="shared" si="29"/>
        <v>348</v>
      </c>
      <c r="F86">
        <f t="shared" si="29"/>
        <v>348</v>
      </c>
      <c r="G86">
        <f t="shared" si="29"/>
        <v>348</v>
      </c>
      <c r="H86">
        <f t="shared" si="29"/>
        <v>348</v>
      </c>
      <c r="I86">
        <f t="shared" si="29"/>
        <v>348</v>
      </c>
      <c r="J86">
        <f t="shared" si="29"/>
        <v>348</v>
      </c>
    </row>
    <row r="87" spans="2:11" ht="16.5" thickBot="1">
      <c r="B87" s="232" t="s">
        <v>24</v>
      </c>
      <c r="C87" s="233">
        <f>SUM(C85+C83+C86+C84+C79+C78+C77)</f>
        <v>104388</v>
      </c>
      <c r="D87" s="233">
        <f>SUM(D85+D83+D86+D84+D79+D78+D77)</f>
        <v>103367</v>
      </c>
      <c r="E87" s="234">
        <f>SUM(E77:E79,E83,E84:E86)</f>
        <v>97912.767990335749</v>
      </c>
      <c r="F87" s="234">
        <f t="shared" ref="F87:J87" si="30">SUM(F77:F79,F83,F84:F86)</f>
        <v>98665.435974781576</v>
      </c>
      <c r="G87" s="234">
        <f t="shared" si="30"/>
        <v>102722.34365546824</v>
      </c>
      <c r="H87" s="234">
        <f t="shared" si="30"/>
        <v>110623.09822762196</v>
      </c>
      <c r="I87" s="234">
        <f t="shared" si="30"/>
        <v>123098.12008219751</v>
      </c>
      <c r="J87" s="234">
        <f t="shared" si="30"/>
        <v>141007.62450640518</v>
      </c>
      <c r="K87" s="53"/>
    </row>
    <row r="88" spans="2:11">
      <c r="B88" s="6" t="s">
        <v>45</v>
      </c>
      <c r="C88" s="5"/>
      <c r="D88" s="5"/>
      <c r="K88" s="53"/>
    </row>
    <row r="89" spans="2:11">
      <c r="B89" t="s">
        <v>25</v>
      </c>
      <c r="C89" s="8">
        <v>19549</v>
      </c>
      <c r="D89" s="8">
        <v>21846</v>
      </c>
      <c r="E89" s="8">
        <f>D89*'COGS build'!D33/'COGS build'!C33</f>
        <v>23567.158764758184</v>
      </c>
      <c r="F89" s="8">
        <f>E89*'COGS build'!E33/'COGS build'!D33</f>
        <v>25218.201147597818</v>
      </c>
      <c r="G89" s="8">
        <f>F89*'COGS build'!F33/'COGS build'!E33</f>
        <v>27092.628199271203</v>
      </c>
      <c r="H89" s="8">
        <f>G89*'COGS build'!G33/'COGS build'!F33</f>
        <v>29135.096693354513</v>
      </c>
      <c r="I89" s="8">
        <f>H89*'COGS build'!H33/'COGS build'!G33</f>
        <v>31368.710449233517</v>
      </c>
      <c r="J89" s="8">
        <f>I89*'COGS build'!I33/'COGS build'!H33</f>
        <v>33819.227760132446</v>
      </c>
      <c r="K89" s="53"/>
    </row>
    <row r="90" spans="2:11">
      <c r="B90" t="s">
        <v>26</v>
      </c>
      <c r="C90" s="7">
        <v>746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3"/>
    </row>
    <row r="91" spans="2:11">
      <c r="B91" t="s">
        <v>27</v>
      </c>
      <c r="C91" s="8">
        <v>1113</v>
      </c>
      <c r="D91" s="7">
        <v>917</v>
      </c>
      <c r="E91" s="7">
        <v>917</v>
      </c>
      <c r="F91" s="7">
        <v>917</v>
      </c>
      <c r="G91" s="7">
        <v>917</v>
      </c>
      <c r="H91" s="7">
        <v>917</v>
      </c>
      <c r="I91" s="7">
        <v>917</v>
      </c>
      <c r="J91" s="7">
        <v>917</v>
      </c>
    </row>
    <row r="92" spans="2:11">
      <c r="B92" t="s">
        <v>28</v>
      </c>
      <c r="C92" s="7">
        <v>294</v>
      </c>
      <c r="D92" s="7">
        <v>709</v>
      </c>
      <c r="E92" s="7">
        <v>709</v>
      </c>
      <c r="F92" s="7">
        <v>709</v>
      </c>
      <c r="G92" s="7">
        <v>709</v>
      </c>
      <c r="H92" s="7">
        <v>709</v>
      </c>
      <c r="I92" s="7">
        <v>709</v>
      </c>
      <c r="J92" s="7">
        <v>709</v>
      </c>
      <c r="K92" s="53"/>
    </row>
    <row r="93" spans="2:11">
      <c r="B93" t="s">
        <v>29</v>
      </c>
      <c r="C93" s="8">
        <v>1176</v>
      </c>
      <c r="D93" s="8">
        <v>1513</v>
      </c>
      <c r="E93" s="8">
        <v>1513</v>
      </c>
      <c r="F93" s="8">
        <v>1513</v>
      </c>
      <c r="G93" s="8">
        <v>1513</v>
      </c>
      <c r="H93" s="8">
        <v>1513</v>
      </c>
      <c r="I93" s="8">
        <v>1513</v>
      </c>
      <c r="J93" s="8">
        <v>1513</v>
      </c>
      <c r="K93" s="120"/>
    </row>
    <row r="94" spans="2:11">
      <c r="B94" t="s">
        <v>30</v>
      </c>
      <c r="C94" s="8">
        <v>1320</v>
      </c>
      <c r="D94" s="7">
        <v>471</v>
      </c>
      <c r="E94" s="315">
        <v>0</v>
      </c>
      <c r="F94" s="315">
        <v>0</v>
      </c>
      <c r="G94" s="315">
        <v>0</v>
      </c>
      <c r="H94" s="315">
        <v>0</v>
      </c>
      <c r="I94" s="315">
        <v>0</v>
      </c>
      <c r="J94" s="315">
        <v>0</v>
      </c>
      <c r="K94" s="53"/>
    </row>
    <row r="95" spans="2:11">
      <c r="B95" s="162" t="s">
        <v>31</v>
      </c>
      <c r="C95" s="163"/>
      <c r="D95" s="163">
        <v>2445</v>
      </c>
      <c r="E95" s="315">
        <v>0</v>
      </c>
      <c r="F95" s="315">
        <v>0</v>
      </c>
      <c r="G95" s="315">
        <v>0</v>
      </c>
      <c r="H95" s="315">
        <v>0</v>
      </c>
      <c r="I95" s="315">
        <v>0</v>
      </c>
      <c r="J95" s="315">
        <v>0</v>
      </c>
      <c r="K95" s="53"/>
    </row>
    <row r="96" spans="2:11">
      <c r="B96" t="s">
        <v>32</v>
      </c>
      <c r="C96" s="7">
        <v>109</v>
      </c>
      <c r="D96" s="5">
        <v>0</v>
      </c>
      <c r="E96" s="315">
        <v>0</v>
      </c>
      <c r="F96" s="315">
        <v>0</v>
      </c>
      <c r="G96" s="315">
        <v>0</v>
      </c>
      <c r="H96" s="315">
        <v>0</v>
      </c>
      <c r="I96" s="315">
        <v>0</v>
      </c>
      <c r="J96" s="315">
        <v>0</v>
      </c>
      <c r="K96" s="53"/>
    </row>
    <row r="97" spans="2:11">
      <c r="B97" s="121" t="s">
        <v>33</v>
      </c>
      <c r="C97" s="8">
        <v>24307</v>
      </c>
      <c r="D97" s="8">
        <f>SUM(D89:D96)</f>
        <v>27901</v>
      </c>
      <c r="E97" s="8">
        <f>SUM(E89:E95)</f>
        <v>26706.158764758184</v>
      </c>
      <c r="F97" s="8">
        <f t="shared" ref="F97:J97" si="31">SUM(F89:F95)</f>
        <v>28357.201147597818</v>
      </c>
      <c r="G97" s="8">
        <f t="shared" si="31"/>
        <v>30231.628199271203</v>
      </c>
      <c r="H97" s="8">
        <f t="shared" si="31"/>
        <v>32274.096693354513</v>
      </c>
      <c r="I97" s="8">
        <f t="shared" si="31"/>
        <v>34507.71044923352</v>
      </c>
      <c r="J97" s="8">
        <f t="shared" si="31"/>
        <v>36958.227760132446</v>
      </c>
      <c r="K97" s="53"/>
    </row>
    <row r="98" spans="2:11" s="162" customFormat="1">
      <c r="B98" t="s">
        <v>34</v>
      </c>
      <c r="C98" s="8">
        <v>1201</v>
      </c>
      <c r="D98" s="7">
        <v>852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165"/>
    </row>
    <row r="99" spans="2:11">
      <c r="B99" t="s">
        <v>28</v>
      </c>
      <c r="C99" s="7">
        <v>344</v>
      </c>
      <c r="D99" s="8">
        <v>2568</v>
      </c>
      <c r="E99" s="166">
        <f>D99</f>
        <v>2568</v>
      </c>
      <c r="F99" s="166">
        <f t="shared" ref="F99:J99" si="32">E99</f>
        <v>2568</v>
      </c>
      <c r="G99" s="166">
        <f t="shared" si="32"/>
        <v>2568</v>
      </c>
      <c r="H99" s="166">
        <f t="shared" si="32"/>
        <v>2568</v>
      </c>
      <c r="I99" s="166">
        <f t="shared" si="32"/>
        <v>2568</v>
      </c>
      <c r="J99" s="166">
        <f t="shared" si="32"/>
        <v>2568</v>
      </c>
    </row>
    <row r="100" spans="2:11">
      <c r="B100" t="s">
        <v>31</v>
      </c>
      <c r="C100" s="8">
        <v>6648</v>
      </c>
      <c r="D100" s="8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2:11">
      <c r="B101" t="s">
        <v>29</v>
      </c>
      <c r="C101" s="8">
        <v>2121</v>
      </c>
      <c r="D101" s="8">
        <v>1426</v>
      </c>
      <c r="E101" s="3">
        <f t="shared" ref="E101:J102" si="33">D101</f>
        <v>1426</v>
      </c>
      <c r="F101" s="3">
        <f t="shared" si="33"/>
        <v>1426</v>
      </c>
      <c r="G101" s="3">
        <f t="shared" si="33"/>
        <v>1426</v>
      </c>
      <c r="H101" s="3">
        <f t="shared" si="33"/>
        <v>1426</v>
      </c>
      <c r="I101" s="3">
        <f t="shared" si="33"/>
        <v>1426</v>
      </c>
      <c r="J101" s="3">
        <f t="shared" si="33"/>
        <v>1426</v>
      </c>
    </row>
    <row r="102" spans="2:11">
      <c r="B102" s="45" t="s">
        <v>35</v>
      </c>
      <c r="C102" s="7">
        <v>233</v>
      </c>
      <c r="D102" s="7">
        <v>373</v>
      </c>
      <c r="E102">
        <f t="shared" si="33"/>
        <v>373</v>
      </c>
      <c r="F102">
        <f t="shared" si="33"/>
        <v>373</v>
      </c>
      <c r="G102">
        <f t="shared" si="33"/>
        <v>373</v>
      </c>
      <c r="H102">
        <f t="shared" si="33"/>
        <v>373</v>
      </c>
      <c r="I102">
        <f t="shared" si="33"/>
        <v>373</v>
      </c>
      <c r="J102">
        <f t="shared" si="33"/>
        <v>373</v>
      </c>
    </row>
    <row r="103" spans="2:11">
      <c r="B103" s="53" t="s">
        <v>36</v>
      </c>
      <c r="C103" s="153">
        <v>34854</v>
      </c>
      <c r="D103" s="153">
        <v>33120</v>
      </c>
      <c r="E103" s="161">
        <f>SUM(E97:E102)</f>
        <v>31073.158764758184</v>
      </c>
      <c r="F103" s="161">
        <f>SUM(F97:F102)</f>
        <v>32724.201147597818</v>
      </c>
      <c r="G103" s="161">
        <f>SUM(G97:G102)</f>
        <v>34598.628199271203</v>
      </c>
      <c r="H103" s="161">
        <f t="shared" ref="H103:J103" si="34">SUM(H97:H102)</f>
        <v>36641.096693354513</v>
      </c>
      <c r="I103" s="161">
        <f t="shared" si="34"/>
        <v>38874.71044923352</v>
      </c>
      <c r="J103" s="161">
        <f t="shared" si="34"/>
        <v>41325.227760132446</v>
      </c>
    </row>
    <row r="104" spans="2:11">
      <c r="B104" s="6" t="s">
        <v>47</v>
      </c>
      <c r="C104" s="5"/>
      <c r="D104" s="5"/>
    </row>
    <row r="105" spans="2:11">
      <c r="B105" t="s">
        <v>37</v>
      </c>
      <c r="C105" s="39">
        <v>109902</v>
      </c>
      <c r="D105" s="39">
        <v>120015</v>
      </c>
      <c r="E105" s="5">
        <v>120015</v>
      </c>
      <c r="F105" s="5">
        <v>120015</v>
      </c>
      <c r="G105" s="5">
        <v>120015</v>
      </c>
      <c r="H105" s="5">
        <v>120015</v>
      </c>
      <c r="I105" s="5">
        <v>120015</v>
      </c>
      <c r="J105" s="5">
        <v>120015</v>
      </c>
    </row>
    <row r="106" spans="2:11">
      <c r="B106" t="s">
        <v>38</v>
      </c>
      <c r="C106" s="39">
        <v>38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</row>
    <row r="107" spans="2:11">
      <c r="B107" t="s">
        <v>39</v>
      </c>
      <c r="C107" s="39">
        <v>6982</v>
      </c>
      <c r="D107" s="39">
        <v>3491</v>
      </c>
      <c r="E107" s="39">
        <v>3491</v>
      </c>
      <c r="F107" s="39">
        <v>3491</v>
      </c>
      <c r="G107" s="39">
        <v>3491</v>
      </c>
      <c r="H107" s="39">
        <v>3491</v>
      </c>
      <c r="I107" s="39">
        <v>3491</v>
      </c>
      <c r="J107" s="39">
        <v>3491</v>
      </c>
    </row>
    <row r="108" spans="2:11">
      <c r="B108" t="s">
        <v>40</v>
      </c>
      <c r="C108" s="39">
        <v>20745</v>
      </c>
      <c r="D108" s="39">
        <v>19887</v>
      </c>
      <c r="E108" s="39">
        <v>19887</v>
      </c>
      <c r="F108" s="39">
        <v>19887</v>
      </c>
      <c r="G108" s="39">
        <v>19887</v>
      </c>
      <c r="H108" s="39">
        <v>19887</v>
      </c>
      <c r="I108" s="39">
        <v>19887</v>
      </c>
      <c r="J108" s="39">
        <v>19887</v>
      </c>
    </row>
    <row r="109" spans="2:11">
      <c r="B109" t="s">
        <v>41</v>
      </c>
      <c r="C109" s="39">
        <v>-72227</v>
      </c>
      <c r="D109" s="39">
        <v>-76063</v>
      </c>
      <c r="E109" s="39">
        <f t="shared" ref="E109:J109" si="35">D109+E15</f>
        <v>-79470.390774422442</v>
      </c>
      <c r="F109" s="39">
        <f t="shared" si="35"/>
        <v>-80368.76517281626</v>
      </c>
      <c r="G109" s="39">
        <f t="shared" si="35"/>
        <v>-78186.284543802962</v>
      </c>
      <c r="H109" s="39">
        <f t="shared" si="35"/>
        <v>-72327.998465732555</v>
      </c>
      <c r="I109" s="39">
        <f t="shared" si="35"/>
        <v>-62086.590367036006</v>
      </c>
      <c r="J109" s="39">
        <f t="shared" si="35"/>
        <v>-46627.603253727277</v>
      </c>
    </row>
    <row r="110" spans="2:11">
      <c r="B110" t="s">
        <v>42</v>
      </c>
      <c r="C110" s="39">
        <v>4094</v>
      </c>
      <c r="D110" s="39">
        <v>2917</v>
      </c>
      <c r="E110" s="39">
        <v>2917</v>
      </c>
      <c r="F110" s="39">
        <v>2917</v>
      </c>
      <c r="G110" s="39">
        <v>2917</v>
      </c>
      <c r="H110" s="39">
        <v>2917</v>
      </c>
      <c r="I110" s="39">
        <v>2917</v>
      </c>
      <c r="J110" s="39">
        <v>2917</v>
      </c>
    </row>
    <row r="111" spans="2:11">
      <c r="B111" s="53" t="s">
        <v>43</v>
      </c>
      <c r="C111" s="153">
        <v>69534</v>
      </c>
      <c r="D111" s="153">
        <v>70247</v>
      </c>
      <c r="E111" s="160">
        <f>SUM(E105:E110)</f>
        <v>66839.609225577558</v>
      </c>
      <c r="F111" s="160">
        <f t="shared" ref="F111:J111" si="36">SUM(F105:F110)</f>
        <v>65941.23482718374</v>
      </c>
      <c r="G111" s="160">
        <f t="shared" si="36"/>
        <v>68123.715456197038</v>
      </c>
      <c r="H111" s="160">
        <f t="shared" si="36"/>
        <v>73982.001534267445</v>
      </c>
      <c r="I111" s="160">
        <f t="shared" si="36"/>
        <v>84223.409632964002</v>
      </c>
      <c r="J111" s="160">
        <f t="shared" si="36"/>
        <v>99682.396746272716</v>
      </c>
    </row>
    <row r="112" spans="2:11">
      <c r="C112" s="8"/>
      <c r="D112" s="8"/>
    </row>
    <row r="113" spans="2:13">
      <c r="B113" s="235" t="s">
        <v>44</v>
      </c>
      <c r="C113" s="236">
        <v>104388</v>
      </c>
      <c r="D113" s="236">
        <v>103367</v>
      </c>
      <c r="E113" s="237">
        <f>E111+E103</f>
        <v>97912.767990335735</v>
      </c>
      <c r="F113" s="237">
        <f t="shared" ref="F113:J113" si="37">F111+F103</f>
        <v>98665.435974781562</v>
      </c>
      <c r="G113" s="237">
        <f t="shared" si="37"/>
        <v>102722.34365546824</v>
      </c>
      <c r="H113" s="237">
        <f t="shared" si="37"/>
        <v>110623.09822762196</v>
      </c>
      <c r="I113" s="237">
        <f t="shared" si="37"/>
        <v>123098.12008219752</v>
      </c>
      <c r="J113" s="237">
        <f t="shared" si="37"/>
        <v>141007.62450640515</v>
      </c>
    </row>
    <row r="115" spans="2:13">
      <c r="B115" t="s">
        <v>230</v>
      </c>
      <c r="C115" s="3">
        <f>C113-C87</f>
        <v>0</v>
      </c>
      <c r="D115" s="3">
        <f>D113-D87</f>
        <v>0</v>
      </c>
      <c r="E115" s="3">
        <f t="shared" ref="E115:J115" si="38">E113-E87</f>
        <v>0</v>
      </c>
      <c r="F115" s="3">
        <f t="shared" si="38"/>
        <v>0</v>
      </c>
      <c r="G115" s="3">
        <f t="shared" si="38"/>
        <v>0</v>
      </c>
      <c r="H115" s="3">
        <f t="shared" si="38"/>
        <v>0</v>
      </c>
      <c r="I115" s="3">
        <f t="shared" si="38"/>
        <v>0</v>
      </c>
      <c r="J115" s="3">
        <f t="shared" si="38"/>
        <v>0</v>
      </c>
    </row>
    <row r="116" spans="2:13">
      <c r="E116" s="3"/>
      <c r="F116" s="3"/>
      <c r="G116" s="3"/>
      <c r="H116" s="3"/>
      <c r="I116" s="3"/>
      <c r="J116" s="3"/>
    </row>
    <row r="117" spans="2:13">
      <c r="F117" s="3"/>
      <c r="G117" s="3"/>
      <c r="H117" s="3"/>
      <c r="I117" s="3"/>
      <c r="J117" s="3"/>
    </row>
    <row r="120" spans="2:13">
      <c r="B120" s="14" t="s">
        <v>76</v>
      </c>
      <c r="C120" s="15">
        <v>44926</v>
      </c>
      <c r="D120" s="15">
        <f>EOMONTH(C120,12)</f>
        <v>45291</v>
      </c>
      <c r="E120" s="16">
        <f t="shared" ref="E120:J120" si="39">EOMONTH(D120,12)</f>
        <v>45657</v>
      </c>
      <c r="F120" s="15">
        <f t="shared" si="39"/>
        <v>46022</v>
      </c>
      <c r="G120" s="15">
        <f t="shared" si="39"/>
        <v>46387</v>
      </c>
      <c r="H120" s="15">
        <f t="shared" si="39"/>
        <v>46752</v>
      </c>
      <c r="I120" s="15">
        <f t="shared" si="39"/>
        <v>47118</v>
      </c>
      <c r="J120" s="15">
        <f t="shared" si="39"/>
        <v>47483</v>
      </c>
      <c r="L120" t="s">
        <v>98</v>
      </c>
    </row>
    <row r="121" spans="2:13">
      <c r="B121" s="2" t="s">
        <v>78</v>
      </c>
      <c r="C121" s="11">
        <f>-C6/C3</f>
        <v>0.55189180258219839</v>
      </c>
      <c r="D121" s="11">
        <f>-D6/D3</f>
        <v>0.54346175643452133</v>
      </c>
      <c r="E121" s="11">
        <f>-E6/E3</f>
        <v>0.54880357039670924</v>
      </c>
      <c r="F121" s="23">
        <f>AVERAGE($C$121:$E$121)-$L$121</f>
        <v>0.53805237647114301</v>
      </c>
      <c r="G121" s="23">
        <f>F121-$L$121</f>
        <v>0.528052376471143</v>
      </c>
      <c r="H121" s="23">
        <f>G121-$L$121</f>
        <v>0.51805237647114299</v>
      </c>
      <c r="I121" s="23">
        <f>H121-$L$121</f>
        <v>0.50805237647114299</v>
      </c>
      <c r="J121" s="23">
        <f>I121-$L$121</f>
        <v>0.49805237647114298</v>
      </c>
      <c r="L121" s="285">
        <f>Dashboard!F8</f>
        <v>0.01</v>
      </c>
    </row>
    <row r="122" spans="2:13">
      <c r="B122" s="2" t="s">
        <v>79</v>
      </c>
      <c r="C122" s="11">
        <f>-('OperatingModel '!D49+'OperatingModel '!D50)/'OperatingModel '!C3</f>
        <v>0.11474732692897774</v>
      </c>
      <c r="D122" s="11">
        <f>-('OperatingModel '!C49+'OperatingModel '!C50)/'OperatingModel '!D3</f>
        <v>8.4699365904254753E-2</v>
      </c>
      <c r="E122" s="11">
        <f>D122-L129</f>
        <v>8.4699365904254753E-2</v>
      </c>
      <c r="F122" s="316">
        <f>E122-$L$129</f>
        <v>8.4699365904254753E-2</v>
      </c>
      <c r="G122" s="316">
        <f>F122-$L$129</f>
        <v>8.4699365904254753E-2</v>
      </c>
      <c r="H122" s="316">
        <f>G122-$L$129</f>
        <v>8.4699365904254753E-2</v>
      </c>
      <c r="I122" s="316">
        <f>H122-$L$129</f>
        <v>8.4699365904254753E-2</v>
      </c>
      <c r="J122" s="316">
        <f>I122-$L$129</f>
        <v>8.4699365904254753E-2</v>
      </c>
    </row>
    <row r="123" spans="2:13">
      <c r="B123" s="2" t="s">
        <v>89</v>
      </c>
      <c r="C123" s="25">
        <f>('OperatingModel '!C80-'OperatingModel '!C97)/C3</f>
        <v>6.4094696343852522E-2</v>
      </c>
      <c r="D123" s="25">
        <f>('OperatingModel '!D80-'OperatingModel '!D97)/D3</f>
        <v>1.2735379976261509E-2</v>
      </c>
      <c r="E123" s="26">
        <f>AVERAGE(C123:D123)</f>
        <v>3.8415038160057015E-2</v>
      </c>
      <c r="F123" s="26">
        <v>3.8399999999999997E-2</v>
      </c>
      <c r="G123" s="26">
        <v>3.8399999999999997E-2</v>
      </c>
      <c r="H123" s="26">
        <v>3.8399999999999997E-2</v>
      </c>
      <c r="I123" s="26">
        <v>3.8399999999999997E-2</v>
      </c>
      <c r="J123" s="26">
        <v>3.8399999999999997E-2</v>
      </c>
    </row>
    <row r="124" spans="2:13">
      <c r="B124" t="s">
        <v>100</v>
      </c>
      <c r="C124" s="88">
        <f>C14/C13</f>
        <v>0.80893042575285568</v>
      </c>
      <c r="D124" s="88">
        <f>D14/D13</f>
        <v>0.31100478468899523</v>
      </c>
      <c r="E124" s="88">
        <f t="shared" ref="E124:J124" si="40">E14/E13</f>
        <v>0.31</v>
      </c>
      <c r="F124" s="88">
        <f t="shared" si="40"/>
        <v>0.31</v>
      </c>
      <c r="G124" s="88">
        <f t="shared" si="40"/>
        <v>0.31</v>
      </c>
      <c r="H124" s="88">
        <f t="shared" si="40"/>
        <v>0.31</v>
      </c>
      <c r="I124" s="88">
        <f t="shared" si="40"/>
        <v>0.31</v>
      </c>
      <c r="J124" s="88">
        <f t="shared" si="40"/>
        <v>0.31</v>
      </c>
      <c r="M124" s="266"/>
    </row>
    <row r="125" spans="2:13">
      <c r="B125" s="2"/>
    </row>
    <row r="126" spans="2:13">
      <c r="B126" s="2"/>
    </row>
    <row r="127" spans="2:13">
      <c r="C127" s="54"/>
    </row>
    <row r="129" spans="12:12">
      <c r="L129" s="26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E546-6498-7A4D-9249-5FCC6F4E0A4C}">
  <dimension ref="B3:K36"/>
  <sheetViews>
    <sheetView showGridLines="0" zoomScale="74" workbookViewId="0">
      <selection activeCell="B44" sqref="B44"/>
    </sheetView>
  </sheetViews>
  <sheetFormatPr defaultColWidth="11.5" defaultRowHeight="16"/>
  <cols>
    <col min="2" max="2" width="32.33203125" bestFit="1" customWidth="1"/>
    <col min="3" max="3" width="11.83203125" bestFit="1" customWidth="1"/>
    <col min="5" max="5" width="8.83203125" bestFit="1" customWidth="1"/>
    <col min="6" max="7" width="8" bestFit="1" customWidth="1"/>
    <col min="8" max="10" width="8.1640625" bestFit="1" customWidth="1"/>
  </cols>
  <sheetData>
    <row r="3" spans="2:11">
      <c r="B3" s="223" t="s">
        <v>80</v>
      </c>
      <c r="C3" s="224"/>
      <c r="D3" s="224"/>
      <c r="E3" s="225">
        <v>45291</v>
      </c>
      <c r="F3" s="225">
        <f>EOMONTH(E3,12)</f>
        <v>45657</v>
      </c>
      <c r="G3" s="225">
        <f>EOMONTH(F3,12)</f>
        <v>46022</v>
      </c>
      <c r="H3" s="225">
        <f>EOMONTH(G3,12)</f>
        <v>46387</v>
      </c>
      <c r="I3" s="225">
        <f>EOMONTH(H3,12)</f>
        <v>46752</v>
      </c>
      <c r="J3" s="225">
        <f>EOMONTH(I3,12)</f>
        <v>47118</v>
      </c>
      <c r="K3" s="225">
        <f t="shared" ref="K3" si="0">EOMONTH(J3,12)</f>
        <v>47483</v>
      </c>
    </row>
    <row r="4" spans="2:11">
      <c r="B4" s="229" t="s">
        <v>235</v>
      </c>
      <c r="C4" s="224"/>
      <c r="D4" s="224"/>
      <c r="E4" s="226" t="s">
        <v>101</v>
      </c>
      <c r="F4" s="226" t="s">
        <v>101</v>
      </c>
      <c r="G4" s="226" t="s">
        <v>101</v>
      </c>
      <c r="H4" s="226" t="s">
        <v>101</v>
      </c>
      <c r="I4" s="226" t="s">
        <v>101</v>
      </c>
      <c r="J4" s="226" t="s">
        <v>101</v>
      </c>
      <c r="K4" s="226" t="s">
        <v>101</v>
      </c>
    </row>
    <row r="5" spans="2:11">
      <c r="B5" s="230"/>
      <c r="C5" s="224"/>
      <c r="D5" s="224"/>
      <c r="E5" s="227">
        <f t="shared" ref="E5:J5" si="1">YEAR(E3)</f>
        <v>2023</v>
      </c>
      <c r="F5" s="228">
        <f t="shared" si="1"/>
        <v>2024</v>
      </c>
      <c r="G5" s="228">
        <f t="shared" si="1"/>
        <v>2025</v>
      </c>
      <c r="H5" s="228">
        <f t="shared" si="1"/>
        <v>2026</v>
      </c>
      <c r="I5" s="228">
        <f t="shared" si="1"/>
        <v>2027</v>
      </c>
      <c r="J5" s="228">
        <f t="shared" si="1"/>
        <v>2028</v>
      </c>
      <c r="K5" s="228">
        <f t="shared" ref="K5" si="2">YEAR(K3)</f>
        <v>2029</v>
      </c>
    </row>
    <row r="6" spans="2:11">
      <c r="B6" s="36" t="s">
        <v>102</v>
      </c>
      <c r="E6" s="40">
        <f>'Ebitda Margin '!C21</f>
        <v>0</v>
      </c>
      <c r="F6" s="40">
        <f>'OperatingModel '!E11</f>
        <v>-1601.0616598644556</v>
      </c>
      <c r="G6" s="40">
        <f>'OperatingModel '!F11</f>
        <v>314.21801649327244</v>
      </c>
      <c r="H6" s="40">
        <f>'OperatingModel '!G11</f>
        <v>2666.0157473383952</v>
      </c>
      <c r="I6" s="40">
        <f>'OperatingModel '!H11</f>
        <v>5471.9741053972539</v>
      </c>
      <c r="J6" s="40">
        <f>'OperatingModel '!I11</f>
        <v>8817.8687776309525</v>
      </c>
      <c r="K6" s="40">
        <f>'OperatingModel '!J11</f>
        <v>12800.753521609717</v>
      </c>
    </row>
    <row r="7" spans="2:11">
      <c r="B7" s="3" t="s">
        <v>103</v>
      </c>
      <c r="E7" s="41">
        <f>'OperatingModel '!C14</f>
        <v>-1558</v>
      </c>
      <c r="F7" s="41">
        <f>'OperatingModel '!D14</f>
        <v>-910</v>
      </c>
      <c r="G7" s="41">
        <f>'OperatingModel '!E14</f>
        <v>-806.32911455798126</v>
      </c>
      <c r="H7" s="41">
        <f>'OperatingModel '!F14</f>
        <v>-212.59241488708554</v>
      </c>
      <c r="I7" s="41">
        <f>'OperatingModel '!G14</f>
        <v>516.46488167490247</v>
      </c>
      <c r="J7" s="41">
        <f>'OperatingModel '!H14</f>
        <v>1386.3119726731486</v>
      </c>
      <c r="K7" s="41">
        <f>'OperatingModel '!I14</f>
        <v>2423.5393210655952</v>
      </c>
    </row>
    <row r="8" spans="2:11">
      <c r="B8" s="36" t="s">
        <v>234</v>
      </c>
      <c r="C8" s="37"/>
      <c r="D8" s="37"/>
      <c r="E8" s="40">
        <f t="shared" ref="E8:K8" si="3">SUM(E6:E7)</f>
        <v>-1558</v>
      </c>
      <c r="F8" s="40">
        <f t="shared" si="3"/>
        <v>-2511.0616598644556</v>
      </c>
      <c r="G8" s="40">
        <f t="shared" si="3"/>
        <v>-492.11109806470881</v>
      </c>
      <c r="H8" s="40">
        <f t="shared" si="3"/>
        <v>2453.4233324513098</v>
      </c>
      <c r="I8" s="40">
        <f t="shared" si="3"/>
        <v>5988.4389870721561</v>
      </c>
      <c r="J8" s="40">
        <f t="shared" si="3"/>
        <v>10204.180750304102</v>
      </c>
      <c r="K8" s="40">
        <f t="shared" si="3"/>
        <v>15224.292842675311</v>
      </c>
    </row>
    <row r="9" spans="2:11">
      <c r="B9" s="3" t="s">
        <v>104</v>
      </c>
      <c r="E9" s="39">
        <f>'Capex Build'!D27</f>
        <v>13067</v>
      </c>
      <c r="F9" s="39">
        <f>'Capex Build'!E27</f>
        <v>13634.644044087059</v>
      </c>
      <c r="G9" s="39">
        <f>'Capex Build'!F27</f>
        <v>14226.947134687282</v>
      </c>
      <c r="H9" s="39">
        <f>'Capex Build'!G27</f>
        <v>14844.980486378312</v>
      </c>
      <c r="I9" s="39">
        <f>'Capex Build'!H27</f>
        <v>15489.86184841101</v>
      </c>
      <c r="J9" s="39">
        <f>'Capex Build'!I27</f>
        <v>16162.757526223964</v>
      </c>
      <c r="K9" s="39">
        <f>'Capex Build'!J27</f>
        <v>16864.88449077469</v>
      </c>
    </row>
    <row r="10" spans="2:11">
      <c r="B10" s="3" t="s">
        <v>105</v>
      </c>
      <c r="E10" s="38">
        <f>'OperatingModel '!D34</f>
        <v>-455</v>
      </c>
      <c r="F10" s="38">
        <f>'OperatingModel '!E34</f>
        <v>-2746.427491089381</v>
      </c>
      <c r="G10" s="38">
        <f>'OperatingModel '!F34</f>
        <v>-254.73529217399164</v>
      </c>
      <c r="H10" s="38">
        <f>'OperatingModel '!G34</f>
        <v>-377.3201262339503</v>
      </c>
      <c r="I10" s="38">
        <f>'OperatingModel '!H34</f>
        <v>-460.93839991801315</v>
      </c>
      <c r="J10" s="38">
        <f>'OperatingModel '!I34</f>
        <v>-562.06204912312478</v>
      </c>
      <c r="K10" s="38">
        <f>'OperatingModel '!J34</f>
        <v>-681.72251478164162</v>
      </c>
    </row>
    <row r="11" spans="2:11">
      <c r="B11" s="3" t="s">
        <v>265</v>
      </c>
      <c r="E11" s="38">
        <f>-1*'OperatingModel '!D51</f>
        <v>9723</v>
      </c>
      <c r="F11" s="38">
        <f>-1*'OperatingModel '!E51</f>
        <v>9893.5054575116574</v>
      </c>
      <c r="G11" s="38">
        <f>-1*'OperatingModel '!F51</f>
        <v>10223.730244184939</v>
      </c>
      <c r="H11" s="38">
        <f>-1*'OperatingModel '!G51</f>
        <v>10610.378913196746</v>
      </c>
      <c r="I11" s="38">
        <f>-1*'OperatingModel '!H51</f>
        <v>10991.030886623339</v>
      </c>
      <c r="J11" s="38">
        <f>-1*'OperatingModel '!I51</f>
        <v>11362.970062199902</v>
      </c>
      <c r="K11" s="38">
        <f>-1*'OperatingModel '!J51</f>
        <v>11720.862795322873</v>
      </c>
    </row>
    <row r="12" spans="2:11">
      <c r="B12" s="42" t="s">
        <v>106</v>
      </c>
      <c r="C12" s="43"/>
      <c r="D12" s="43"/>
      <c r="E12" s="231">
        <f>E8+E9-E10-E11</f>
        <v>2241</v>
      </c>
      <c r="F12" s="231">
        <f t="shared" ref="F12:K12" si="4">F8+F9-F10-F11</f>
        <v>3976.5044178003282</v>
      </c>
      <c r="G12" s="231">
        <f t="shared" si="4"/>
        <v>3765.8410846116258</v>
      </c>
      <c r="H12" s="231">
        <f t="shared" si="4"/>
        <v>7065.3450318668256</v>
      </c>
      <c r="I12" s="231">
        <f t="shared" si="4"/>
        <v>10948.20834877784</v>
      </c>
      <c r="J12" s="231">
        <f t="shared" si="4"/>
        <v>15566.03026345129</v>
      </c>
      <c r="K12" s="231">
        <f t="shared" si="4"/>
        <v>21050.037052908774</v>
      </c>
    </row>
    <row r="13" spans="2:11">
      <c r="B13" s="44"/>
      <c r="E13" s="171"/>
      <c r="F13" s="171"/>
      <c r="G13" s="171"/>
      <c r="H13" s="171"/>
      <c r="I13" s="171"/>
      <c r="J13" s="171"/>
      <c r="K13" s="171"/>
    </row>
    <row r="14" spans="2:11">
      <c r="B14" s="42" t="s">
        <v>107</v>
      </c>
      <c r="C14" s="45"/>
      <c r="D14" s="45"/>
      <c r="E14" s="45"/>
      <c r="F14" s="45"/>
      <c r="G14" s="172"/>
      <c r="H14" s="45"/>
      <c r="I14" s="45"/>
    </row>
    <row r="15" spans="2:11">
      <c r="B15" s="3" t="s">
        <v>108</v>
      </c>
      <c r="F15" s="173">
        <f>25/365</f>
        <v>6.8493150684931503E-2</v>
      </c>
      <c r="G15" s="173">
        <f>F15+1</f>
        <v>1.0684931506849316</v>
      </c>
      <c r="H15" s="173">
        <f>G15+1</f>
        <v>2.0684931506849313</v>
      </c>
      <c r="I15" s="174">
        <f>H15+1</f>
        <v>3.0684931506849313</v>
      </c>
      <c r="J15" s="174">
        <f t="shared" ref="J15:K15" si="5">I15+1</f>
        <v>4.0684931506849313</v>
      </c>
      <c r="K15" s="174">
        <f t="shared" si="5"/>
        <v>5.0684931506849313</v>
      </c>
    </row>
    <row r="16" spans="2:11">
      <c r="B16" s="175" t="s">
        <v>109</v>
      </c>
      <c r="C16" s="45"/>
      <c r="D16" s="45"/>
      <c r="E16" s="45"/>
      <c r="F16" s="5">
        <f t="shared" ref="F16:K16" si="6">1/(1+$C$36)^F15</f>
        <v>0.99141264573911247</v>
      </c>
      <c r="G16" s="5">
        <f t="shared" si="6"/>
        <v>0.87411683528766471</v>
      </c>
      <c r="H16" s="5">
        <f t="shared" si="6"/>
        <v>0.77069850280524688</v>
      </c>
      <c r="I16" s="5">
        <f t="shared" si="6"/>
        <v>0.67951577895279436</v>
      </c>
      <c r="J16" s="5">
        <f t="shared" si="6"/>
        <v>0.59912104690114287</v>
      </c>
      <c r="K16" s="5">
        <f t="shared" si="6"/>
        <v>0.52823795996775125</v>
      </c>
    </row>
    <row r="17" spans="2:11">
      <c r="B17" s="36" t="s">
        <v>110</v>
      </c>
      <c r="F17" s="46">
        <f t="shared" ref="F17:K17" si="7">F16*F12</f>
        <v>3942.3567656446926</v>
      </c>
      <c r="G17" s="46">
        <f t="shared" si="7"/>
        <v>3291.7850910769812</v>
      </c>
      <c r="H17" s="46">
        <f t="shared" si="7"/>
        <v>5445.2508378622515</v>
      </c>
      <c r="I17" s="46">
        <f t="shared" si="7"/>
        <v>7439.4803242572607</v>
      </c>
      <c r="J17" s="46">
        <f t="shared" si="7"/>
        <v>9325.9363475338105</v>
      </c>
      <c r="K17" s="46">
        <f t="shared" si="7"/>
        <v>11119.428630074106</v>
      </c>
    </row>
    <row r="18" spans="2:11">
      <c r="B18" s="36"/>
      <c r="K18" s="9"/>
    </row>
    <row r="19" spans="2:11">
      <c r="B19" s="36"/>
      <c r="F19" s="51"/>
      <c r="G19" s="40"/>
      <c r="H19" s="40"/>
      <c r="I19" s="40"/>
      <c r="J19" s="40"/>
    </row>
    <row r="20" spans="2:11">
      <c r="B20" s="221" t="s">
        <v>114</v>
      </c>
      <c r="C20" s="222"/>
      <c r="F20" s="37"/>
      <c r="G20" t="s">
        <v>254</v>
      </c>
    </row>
    <row r="21" spans="2:11">
      <c r="B21" s="176" t="s">
        <v>112</v>
      </c>
      <c r="C21" s="177">
        <v>6</v>
      </c>
      <c r="E21" s="317" t="s">
        <v>255</v>
      </c>
      <c r="F21" s="318"/>
      <c r="G21" s="318"/>
      <c r="H21" s="318"/>
      <c r="I21" s="318"/>
      <c r="J21" s="318"/>
    </row>
    <row r="22" spans="2:11">
      <c r="B22" s="52" t="s">
        <v>113</v>
      </c>
      <c r="C22" s="178">
        <f>(K6+K9)*C21</f>
        <v>177993.82807430642</v>
      </c>
      <c r="E22" s="179">
        <f>C32</f>
        <v>5.8173661741933689</v>
      </c>
      <c r="F22" s="180">
        <v>4</v>
      </c>
      <c r="G22" s="180">
        <v>5</v>
      </c>
      <c r="H22" s="180">
        <v>6</v>
      </c>
      <c r="I22" s="180">
        <v>7</v>
      </c>
      <c r="J22" s="180">
        <v>8</v>
      </c>
    </row>
    <row r="23" spans="2:11">
      <c r="E23" s="181">
        <f>E24-0.01</f>
        <v>0.11420000000000002</v>
      </c>
      <c r="F23" s="197">
        <f t="dataTable" ref="F23:J27" dt2D="1" dtr="1" r1="C21" r2="C36"/>
        <v>4.865252957282169</v>
      </c>
      <c r="G23" s="198">
        <v>5.5753584335898818</v>
      </c>
      <c r="H23" s="199">
        <v>6.2854639098975946</v>
      </c>
      <c r="I23" s="200">
        <v>6.9955693862053074</v>
      </c>
      <c r="J23" s="201">
        <v>7.7056748625130203</v>
      </c>
    </row>
    <row r="24" spans="2:11">
      <c r="B24" s="182" t="s">
        <v>109</v>
      </c>
      <c r="C24" s="183">
        <f>K16</f>
        <v>0.52823795996775125</v>
      </c>
      <c r="E24" s="181">
        <f>E25-0.01</f>
        <v>0.12420000000000002</v>
      </c>
      <c r="F24" s="202">
        <v>4.6878546106762036</v>
      </c>
      <c r="G24" s="203">
        <v>5.3665188179152938</v>
      </c>
      <c r="H24" s="204">
        <v>6.0451830251543823</v>
      </c>
      <c r="I24" s="205">
        <v>6.7238472323934735</v>
      </c>
      <c r="J24" s="206">
        <v>7.4025114396325638</v>
      </c>
    </row>
    <row r="25" spans="2:11">
      <c r="B25" s="184" t="s">
        <v>82</v>
      </c>
      <c r="C25" s="185">
        <f>C22*C24</f>
        <v>94023.09662882227</v>
      </c>
      <c r="E25" s="186">
        <v>0.13420000000000001</v>
      </c>
      <c r="F25" s="207">
        <v>4.5193444270776766</v>
      </c>
      <c r="G25" s="208">
        <v>5.1682196726191849</v>
      </c>
      <c r="H25" s="209">
        <v>5.817094918160695</v>
      </c>
      <c r="I25" s="210">
        <v>6.4659701637022042</v>
      </c>
      <c r="J25" s="211">
        <v>7.1148454092437143</v>
      </c>
    </row>
    <row r="26" spans="2:11">
      <c r="B26" s="184" t="s">
        <v>81</v>
      </c>
      <c r="C26" s="185">
        <f>SUM(F17:K17)</f>
        <v>40564.237996449105</v>
      </c>
      <c r="E26" s="187">
        <f>E25+0.01</f>
        <v>0.14420000000000002</v>
      </c>
      <c r="F26" s="212">
        <v>4.3591975124025568</v>
      </c>
      <c r="G26" s="213">
        <v>4.9798358333875141</v>
      </c>
      <c r="H26" s="214">
        <v>5.6004741543724723</v>
      </c>
      <c r="I26" s="215">
        <v>6.2211124753574305</v>
      </c>
      <c r="J26" s="216">
        <v>6.8417507963423896</v>
      </c>
    </row>
    <row r="27" spans="2:11">
      <c r="B27" s="188" t="s">
        <v>83</v>
      </c>
      <c r="C27" s="189">
        <f>C25+C26</f>
        <v>134587.33462527138</v>
      </c>
      <c r="E27" s="190">
        <f>E26+0.01</f>
        <v>0.15420000000000003</v>
      </c>
      <c r="F27" s="191">
        <v>4.2069243878908713</v>
      </c>
      <c r="G27" s="217">
        <v>4.8007844376817239</v>
      </c>
      <c r="H27" s="218">
        <v>5.3946444874725765</v>
      </c>
      <c r="I27" s="219">
        <v>5.9885045372634309</v>
      </c>
      <c r="J27" s="220">
        <v>6.5823645870542835</v>
      </c>
    </row>
    <row r="28" spans="2:11">
      <c r="B28" s="192" t="s">
        <v>84</v>
      </c>
      <c r="C28" s="193">
        <v>2900</v>
      </c>
    </row>
    <row r="29" spans="2:11">
      <c r="B29" s="192" t="s">
        <v>85</v>
      </c>
      <c r="C29" s="193">
        <f>'OperatingModel '!D77</f>
        <v>8796</v>
      </c>
    </row>
    <row r="30" spans="2:11">
      <c r="B30" s="192" t="s">
        <v>86</v>
      </c>
      <c r="C30" s="185">
        <f>C27-C28+C29</f>
        <v>140483.33462527138</v>
      </c>
    </row>
    <row r="31" spans="2:11">
      <c r="B31" s="192" t="s">
        <v>87</v>
      </c>
      <c r="C31" s="194">
        <f>23000+'Convertible Debt'!D8</f>
        <v>25356.406480117821</v>
      </c>
      <c r="E31" s="9"/>
    </row>
    <row r="32" spans="2:11">
      <c r="B32" s="188" t="s">
        <v>88</v>
      </c>
      <c r="C32" s="195">
        <f>(C30/C31)*1.05</f>
        <v>5.8173661741933689</v>
      </c>
    </row>
    <row r="33" spans="2:3">
      <c r="B33" s="192" t="s">
        <v>74</v>
      </c>
      <c r="C33" s="196">
        <v>3.31</v>
      </c>
    </row>
    <row r="34" spans="2:3">
      <c r="B34" s="188" t="s">
        <v>75</v>
      </c>
      <c r="C34" s="288">
        <f>C32/C33-1</f>
        <v>0.75751243933334411</v>
      </c>
    </row>
    <row r="36" spans="2:3">
      <c r="B36" s="50" t="s">
        <v>111</v>
      </c>
      <c r="C36" s="103">
        <f>'Wacc Build'!G21</f>
        <v>0.13418779471607661</v>
      </c>
    </row>
  </sheetData>
  <mergeCells count="1">
    <mergeCell ref="E21:J21"/>
  </mergeCells>
  <conditionalFormatting sqref="F23:J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08F5-9F6A-FA40-A1E5-D8C4AE582421}">
  <dimension ref="B1:AN44"/>
  <sheetViews>
    <sheetView showGridLines="0" topLeftCell="E22" zoomScale="87" zoomScaleNormal="150" workbookViewId="0">
      <selection activeCell="H29" sqref="H29"/>
    </sheetView>
  </sheetViews>
  <sheetFormatPr defaultColWidth="11.5" defaultRowHeight="16" outlineLevelCol="1"/>
  <cols>
    <col min="2" max="2" width="37.6640625" bestFit="1" customWidth="1"/>
    <col min="3" max="3" width="12.5" bestFit="1" customWidth="1"/>
    <col min="5" max="5" width="32" bestFit="1" customWidth="1"/>
    <col min="6" max="9" width="11.5" customWidth="1" outlineLevel="1"/>
    <col min="11" max="14" width="11.5" customWidth="1" outlineLevel="1"/>
    <col min="16" max="19" width="11.5" hidden="1" customWidth="1" outlineLevel="1"/>
    <col min="20" max="20" width="11.5" collapsed="1"/>
    <col min="21" max="24" width="11.5" hidden="1" customWidth="1" outlineLevel="1"/>
    <col min="25" max="25" width="11.5" collapsed="1"/>
    <col min="26" max="29" width="11.5" hidden="1" customWidth="1" outlineLevel="1"/>
    <col min="30" max="30" width="11.5" collapsed="1"/>
    <col min="31" max="34" width="11.5" hidden="1" customWidth="1" outlineLevel="1"/>
    <col min="35" max="35" width="11.5" collapsed="1"/>
    <col min="36" max="39" width="11.5" hidden="1" customWidth="1" outlineLevel="1"/>
    <col min="40" max="40" width="11.5" collapsed="1"/>
  </cols>
  <sheetData>
    <row r="1" spans="2:40">
      <c r="B1" s="82"/>
    </row>
    <row r="4" spans="2:40">
      <c r="E4" s="235" t="s">
        <v>270</v>
      </c>
    </row>
    <row r="5" spans="2:40">
      <c r="E5" s="53" t="s">
        <v>115</v>
      </c>
    </row>
    <row r="6" spans="2:40">
      <c r="E6" s="53" t="s">
        <v>187</v>
      </c>
    </row>
    <row r="8" spans="2:40">
      <c r="B8" s="242" t="s">
        <v>175</v>
      </c>
      <c r="E8" s="238" t="s">
        <v>295</v>
      </c>
      <c r="F8" s="239">
        <v>2023</v>
      </c>
      <c r="G8" s="239">
        <v>2023</v>
      </c>
      <c r="H8" s="239">
        <v>2023</v>
      </c>
      <c r="I8" s="239">
        <v>2023</v>
      </c>
      <c r="J8" s="267">
        <v>2023</v>
      </c>
      <c r="K8" s="239">
        <v>2024</v>
      </c>
      <c r="L8" s="239">
        <v>2024</v>
      </c>
      <c r="M8" s="239">
        <v>2024</v>
      </c>
      <c r="N8" s="239">
        <v>2024</v>
      </c>
      <c r="O8" s="267">
        <v>2024</v>
      </c>
      <c r="P8" s="239">
        <v>2025</v>
      </c>
      <c r="Q8" s="239">
        <v>2025</v>
      </c>
      <c r="R8" s="239">
        <v>2025</v>
      </c>
      <c r="S8" s="239">
        <v>2025</v>
      </c>
      <c r="T8" s="267">
        <v>2025</v>
      </c>
      <c r="U8" s="239">
        <v>2026</v>
      </c>
      <c r="V8" s="239">
        <v>2026</v>
      </c>
      <c r="W8" s="239">
        <v>2026</v>
      </c>
      <c r="X8" s="239">
        <v>2026</v>
      </c>
      <c r="Y8" s="267">
        <v>2026</v>
      </c>
      <c r="Z8" s="239">
        <v>2027</v>
      </c>
      <c r="AA8" s="239">
        <v>2027</v>
      </c>
      <c r="AB8" s="239">
        <v>2027</v>
      </c>
      <c r="AC8" s="239">
        <v>2027</v>
      </c>
      <c r="AD8" s="267">
        <v>2027</v>
      </c>
      <c r="AE8" s="239">
        <v>2028</v>
      </c>
      <c r="AF8" s="239">
        <v>2028</v>
      </c>
      <c r="AG8" s="239">
        <v>2028</v>
      </c>
      <c r="AH8" s="239">
        <v>2028</v>
      </c>
      <c r="AI8" s="267">
        <v>2028</v>
      </c>
      <c r="AJ8" s="239">
        <v>2029</v>
      </c>
      <c r="AK8" s="239">
        <v>2029</v>
      </c>
      <c r="AL8" s="239">
        <v>2029</v>
      </c>
      <c r="AM8" s="239">
        <v>2029</v>
      </c>
      <c r="AN8" s="267">
        <v>2029</v>
      </c>
    </row>
    <row r="9" spans="2:40">
      <c r="F9" s="239" t="s">
        <v>147</v>
      </c>
      <c r="G9" s="239" t="s">
        <v>148</v>
      </c>
      <c r="H9" s="239" t="s">
        <v>149</v>
      </c>
      <c r="I9" s="239" t="s">
        <v>150</v>
      </c>
      <c r="J9" s="268" t="s">
        <v>151</v>
      </c>
      <c r="K9" s="239" t="s">
        <v>147</v>
      </c>
      <c r="L9" s="239" t="s">
        <v>148</v>
      </c>
      <c r="M9" s="239" t="s">
        <v>149</v>
      </c>
      <c r="N9" s="239" t="s">
        <v>155</v>
      </c>
      <c r="O9" s="268" t="s">
        <v>156</v>
      </c>
      <c r="P9" s="239" t="s">
        <v>152</v>
      </c>
      <c r="Q9" s="239" t="s">
        <v>153</v>
      </c>
      <c r="R9" s="239" t="s">
        <v>154</v>
      </c>
      <c r="S9" s="239" t="s">
        <v>155</v>
      </c>
      <c r="T9" s="268" t="s">
        <v>156</v>
      </c>
      <c r="U9" s="239" t="s">
        <v>152</v>
      </c>
      <c r="V9" s="239" t="s">
        <v>153</v>
      </c>
      <c r="W9" s="239" t="s">
        <v>154</v>
      </c>
      <c r="X9" s="239" t="s">
        <v>155</v>
      </c>
      <c r="Y9" s="268" t="s">
        <v>156</v>
      </c>
      <c r="Z9" s="239" t="s">
        <v>152</v>
      </c>
      <c r="AA9" s="239" t="s">
        <v>153</v>
      </c>
      <c r="AB9" s="239" t="s">
        <v>154</v>
      </c>
      <c r="AC9" s="239" t="s">
        <v>155</v>
      </c>
      <c r="AD9" s="268" t="s">
        <v>156</v>
      </c>
      <c r="AE9" s="239" t="s">
        <v>152</v>
      </c>
      <c r="AF9" s="239" t="s">
        <v>153</v>
      </c>
      <c r="AG9" s="239" t="s">
        <v>154</v>
      </c>
      <c r="AH9" s="239" t="s">
        <v>155</v>
      </c>
      <c r="AI9" s="268" t="s">
        <v>156</v>
      </c>
      <c r="AJ9" s="239" t="s">
        <v>152</v>
      </c>
      <c r="AK9" s="239" t="s">
        <v>153</v>
      </c>
      <c r="AL9" s="239" t="s">
        <v>154</v>
      </c>
      <c r="AM9" s="239" t="s">
        <v>155</v>
      </c>
      <c r="AN9" s="268" t="s">
        <v>156</v>
      </c>
    </row>
    <row r="10" spans="2:40">
      <c r="B10" s="86" t="s">
        <v>178</v>
      </c>
      <c r="E10" t="s">
        <v>157</v>
      </c>
      <c r="F10" s="92">
        <v>103</v>
      </c>
      <c r="G10" s="92">
        <f>F12</f>
        <v>109</v>
      </c>
      <c r="H10" s="92">
        <f t="shared" ref="H10:N10" si="0">G12</f>
        <v>116</v>
      </c>
      <c r="I10" s="92">
        <f t="shared" si="0"/>
        <v>124</v>
      </c>
      <c r="J10" s="269"/>
      <c r="K10" s="92">
        <f>I12</f>
        <v>132</v>
      </c>
      <c r="L10" s="92">
        <f t="shared" si="0"/>
        <v>138</v>
      </c>
      <c r="M10" s="92">
        <f t="shared" si="0"/>
        <v>150</v>
      </c>
      <c r="N10" s="92">
        <f t="shared" si="0"/>
        <v>158</v>
      </c>
      <c r="O10" s="269"/>
      <c r="P10" s="92">
        <f>N12</f>
        <v>167</v>
      </c>
      <c r="Q10" s="92">
        <f t="shared" ref="Q10" si="1">P12</f>
        <v>177.5</v>
      </c>
      <c r="R10" s="92">
        <f t="shared" ref="R10" si="2">Q12</f>
        <v>188</v>
      </c>
      <c r="S10" s="92">
        <f t="shared" ref="S10" si="3">R12</f>
        <v>198.5</v>
      </c>
      <c r="T10" s="269"/>
      <c r="U10" s="92">
        <f>S12</f>
        <v>209</v>
      </c>
      <c r="V10" s="92">
        <f t="shared" ref="V10" si="4">U12</f>
        <v>221.5</v>
      </c>
      <c r="W10" s="92">
        <f t="shared" ref="W10" si="5">V12</f>
        <v>234</v>
      </c>
      <c r="X10" s="92">
        <f t="shared" ref="X10" si="6">W12</f>
        <v>246.5</v>
      </c>
      <c r="Y10" s="269"/>
      <c r="Z10" s="92">
        <f>X12</f>
        <v>259</v>
      </c>
      <c r="AA10" s="92">
        <f t="shared" ref="AA10" si="7">Z12</f>
        <v>274</v>
      </c>
      <c r="AB10" s="92">
        <f t="shared" ref="AB10" si="8">AA12</f>
        <v>289</v>
      </c>
      <c r="AC10" s="92">
        <f t="shared" ref="AC10" si="9">AB12</f>
        <v>304</v>
      </c>
      <c r="AD10" s="269"/>
      <c r="AE10" s="92">
        <f>AC12</f>
        <v>319</v>
      </c>
      <c r="AF10" s="92">
        <f t="shared" ref="AF10" si="10">AE12</f>
        <v>337</v>
      </c>
      <c r="AG10" s="92">
        <f t="shared" ref="AG10" si="11">AF12</f>
        <v>355</v>
      </c>
      <c r="AH10" s="92">
        <f t="shared" ref="AH10" si="12">AG12</f>
        <v>373</v>
      </c>
      <c r="AI10" s="269"/>
      <c r="AJ10" s="92">
        <f>AH12</f>
        <v>391</v>
      </c>
      <c r="AK10" s="92">
        <f t="shared" ref="AK10" si="13">AJ12</f>
        <v>412.5</v>
      </c>
      <c r="AL10" s="92">
        <f t="shared" ref="AL10" si="14">AK12</f>
        <v>434</v>
      </c>
      <c r="AM10" s="92">
        <f t="shared" ref="AM10" si="15">AL12</f>
        <v>455.5</v>
      </c>
      <c r="AN10" s="269"/>
    </row>
    <row r="11" spans="2:40">
      <c r="B11" t="s">
        <v>267</v>
      </c>
      <c r="C11" s="26">
        <f>'COGS build'!M7</f>
        <v>9.9249999999999991E-2</v>
      </c>
      <c r="E11" t="s">
        <v>158</v>
      </c>
      <c r="F11" s="92">
        <v>6</v>
      </c>
      <c r="G11" s="92">
        <v>7</v>
      </c>
      <c r="H11" s="92">
        <v>8</v>
      </c>
      <c r="I11" s="92">
        <v>8</v>
      </c>
      <c r="J11" s="269">
        <f>SUM(F11:I11)</f>
        <v>29</v>
      </c>
      <c r="K11" s="92">
        <v>6</v>
      </c>
      <c r="L11" s="92">
        <v>12</v>
      </c>
      <c r="M11" s="92">
        <v>8</v>
      </c>
      <c r="N11" s="92">
        <f>ROUND(AVERAGE(K11:M11),0)</f>
        <v>9</v>
      </c>
      <c r="O11" s="269">
        <f>SUM(K11:N11)</f>
        <v>35</v>
      </c>
      <c r="P11" s="92">
        <f>$T$11/4</f>
        <v>10.5</v>
      </c>
      <c r="Q11" s="92">
        <f>$T$11/4</f>
        <v>10.5</v>
      </c>
      <c r="R11" s="92">
        <f>$T$11/4</f>
        <v>10.5</v>
      </c>
      <c r="S11" s="92">
        <f>$T$11/4</f>
        <v>10.5</v>
      </c>
      <c r="T11" s="269">
        <f>ROUND(O11*(1+C26),0)</f>
        <v>42</v>
      </c>
      <c r="U11" s="92">
        <f>Y11/4</f>
        <v>12.5</v>
      </c>
      <c r="V11" s="92">
        <f>U11</f>
        <v>12.5</v>
      </c>
      <c r="W11" s="92">
        <f>V11</f>
        <v>12.5</v>
      </c>
      <c r="X11" s="92">
        <f>W11</f>
        <v>12.5</v>
      </c>
      <c r="Y11" s="271">
        <f>ROUND(T11*(1+C26),0)</f>
        <v>50</v>
      </c>
      <c r="Z11" s="92">
        <f>AD11/4</f>
        <v>15</v>
      </c>
      <c r="AA11" s="92">
        <f>Z11</f>
        <v>15</v>
      </c>
      <c r="AB11" s="92">
        <f>AA11</f>
        <v>15</v>
      </c>
      <c r="AC11" s="92">
        <f>AB11</f>
        <v>15</v>
      </c>
      <c r="AD11" s="269">
        <f>ROUND(Y11*(1+C26),0)</f>
        <v>60</v>
      </c>
      <c r="AE11" s="92">
        <f>AI11/4</f>
        <v>18</v>
      </c>
      <c r="AF11" s="92">
        <f>AE11</f>
        <v>18</v>
      </c>
      <c r="AG11" s="92">
        <f>AF11</f>
        <v>18</v>
      </c>
      <c r="AH11" s="92">
        <f>AG11</f>
        <v>18</v>
      </c>
      <c r="AI11" s="269">
        <f>ROUND(AD11*(1+C26),0)</f>
        <v>72</v>
      </c>
      <c r="AJ11" s="92">
        <f>AN11/4</f>
        <v>21.5</v>
      </c>
      <c r="AK11" s="92">
        <f>AJ11</f>
        <v>21.5</v>
      </c>
      <c r="AL11" s="92">
        <f>AK11</f>
        <v>21.5</v>
      </c>
      <c r="AM11" s="92">
        <f>AL11</f>
        <v>21.5</v>
      </c>
      <c r="AN11" s="269">
        <f>ROUND(AI11*(1+C26),0)</f>
        <v>86</v>
      </c>
    </row>
    <row r="12" spans="2:40">
      <c r="B12" t="s">
        <v>117</v>
      </c>
      <c r="C12" s="26">
        <f>'COGS build'!M6</f>
        <v>0.18775000000000003</v>
      </c>
      <c r="E12" t="s">
        <v>159</v>
      </c>
      <c r="F12" s="92">
        <f>F11+F10</f>
        <v>109</v>
      </c>
      <c r="G12" s="92">
        <f t="shared" ref="G12:AM12" si="16">G11+G10</f>
        <v>116</v>
      </c>
      <c r="H12" s="92">
        <f t="shared" si="16"/>
        <v>124</v>
      </c>
      <c r="I12" s="92">
        <f t="shared" si="16"/>
        <v>132</v>
      </c>
      <c r="J12" s="269"/>
      <c r="K12" s="92">
        <f>K11+K10</f>
        <v>138</v>
      </c>
      <c r="L12" s="92">
        <f t="shared" si="16"/>
        <v>150</v>
      </c>
      <c r="M12" s="92">
        <f t="shared" si="16"/>
        <v>158</v>
      </c>
      <c r="N12" s="92">
        <f t="shared" si="16"/>
        <v>167</v>
      </c>
      <c r="O12" s="269"/>
      <c r="P12" s="92">
        <f t="shared" si="16"/>
        <v>177.5</v>
      </c>
      <c r="Q12" s="92">
        <f t="shared" si="16"/>
        <v>188</v>
      </c>
      <c r="R12" s="92">
        <f>R11+R10</f>
        <v>198.5</v>
      </c>
      <c r="S12" s="92">
        <f>S11+S10</f>
        <v>209</v>
      </c>
      <c r="T12" s="269"/>
      <c r="U12" s="92">
        <f t="shared" si="16"/>
        <v>221.5</v>
      </c>
      <c r="V12" s="92">
        <f t="shared" si="16"/>
        <v>234</v>
      </c>
      <c r="W12" s="92">
        <f t="shared" si="16"/>
        <v>246.5</v>
      </c>
      <c r="X12" s="92">
        <f t="shared" si="16"/>
        <v>259</v>
      </c>
      <c r="Y12" s="269"/>
      <c r="Z12" s="92">
        <f t="shared" si="16"/>
        <v>274</v>
      </c>
      <c r="AA12" s="92">
        <f t="shared" si="16"/>
        <v>289</v>
      </c>
      <c r="AB12" s="92">
        <f t="shared" si="16"/>
        <v>304</v>
      </c>
      <c r="AC12" s="92">
        <f t="shared" si="16"/>
        <v>319</v>
      </c>
      <c r="AD12" s="269"/>
      <c r="AE12" s="92">
        <f t="shared" si="16"/>
        <v>337</v>
      </c>
      <c r="AF12" s="92">
        <f>AF11+AF10</f>
        <v>355</v>
      </c>
      <c r="AG12" s="92">
        <f t="shared" si="16"/>
        <v>373</v>
      </c>
      <c r="AH12" s="92">
        <f t="shared" si="16"/>
        <v>391</v>
      </c>
      <c r="AI12" s="269"/>
      <c r="AJ12" s="92">
        <f t="shared" si="16"/>
        <v>412.5</v>
      </c>
      <c r="AK12" s="92">
        <f t="shared" si="16"/>
        <v>434</v>
      </c>
      <c r="AL12" s="92">
        <f t="shared" si="16"/>
        <v>455.5</v>
      </c>
      <c r="AM12" s="92">
        <f t="shared" si="16"/>
        <v>477</v>
      </c>
      <c r="AN12" s="269"/>
    </row>
    <row r="13" spans="2:40">
      <c r="B13" t="s">
        <v>116</v>
      </c>
      <c r="C13" s="26">
        <f>'COGS build'!M4</f>
        <v>0.48899999999999999</v>
      </c>
      <c r="F13" s="92"/>
      <c r="G13" s="92"/>
      <c r="H13" s="92"/>
      <c r="I13" s="92"/>
      <c r="J13" s="269"/>
      <c r="K13" s="92"/>
      <c r="L13" s="92"/>
      <c r="M13" s="92"/>
      <c r="N13" s="92"/>
      <c r="O13" s="269"/>
      <c r="P13" s="92"/>
      <c r="Q13" s="92"/>
      <c r="R13" s="92"/>
      <c r="S13" s="92"/>
      <c r="T13" s="269"/>
      <c r="U13" s="92"/>
      <c r="V13" s="92"/>
      <c r="W13" s="92"/>
      <c r="X13" s="92"/>
      <c r="Y13" s="269"/>
      <c r="Z13" s="92"/>
      <c r="AA13" s="92"/>
      <c r="AB13" s="92"/>
      <c r="AC13" s="92"/>
      <c r="AD13" s="269"/>
      <c r="AE13" s="92"/>
      <c r="AF13" s="92"/>
      <c r="AG13" s="92"/>
      <c r="AH13" s="92"/>
      <c r="AI13" s="269"/>
      <c r="AJ13" s="92"/>
      <c r="AK13" s="92"/>
      <c r="AL13" s="92"/>
      <c r="AM13" s="92"/>
      <c r="AN13" s="269"/>
    </row>
    <row r="14" spans="2:40">
      <c r="B14" t="s">
        <v>296</v>
      </c>
      <c r="C14" s="26">
        <f>'COGS build'!M5</f>
        <v>0.2235</v>
      </c>
      <c r="E14" s="235" t="s">
        <v>272</v>
      </c>
      <c r="F14" s="93">
        <f>'Product mix'!D8*'Product mix'!H8</f>
        <v>2015.1999999999998</v>
      </c>
      <c r="G14" s="93">
        <f>'Product mix'!D9*'Product mix'!H9</f>
        <v>2395.9</v>
      </c>
      <c r="H14" s="93">
        <f>'Product mix'!D10*'Product mix'!H10</f>
        <v>2373</v>
      </c>
      <c r="I14" s="93">
        <f>'Product mix'!D11*'Product mix'!H11</f>
        <v>2503.7999999999997</v>
      </c>
      <c r="J14" s="270">
        <f>SUM(F14:I14)</f>
        <v>9287.9</v>
      </c>
      <c r="K14" s="93">
        <f>'Product mix'!D12*'Product mix'!H12</f>
        <v>2427.6</v>
      </c>
      <c r="L14" s="93">
        <f>'Product mix'!D13*'Product mix'!H13</f>
        <v>2689.2</v>
      </c>
      <c r="M14" s="93">
        <f>'Product mix'!D14*'Product mix'!H14</f>
        <v>3117.7999999999997</v>
      </c>
      <c r="N14" s="93">
        <f>N12*$C$19/4</f>
        <v>2935.7084190340906</v>
      </c>
      <c r="O14" s="270">
        <f>SUM(K14:N14)</f>
        <v>11170.308419034089</v>
      </c>
      <c r="P14" s="93">
        <f>P12*$C$19/4</f>
        <v>3120.2888884943181</v>
      </c>
      <c r="Q14" s="93">
        <f>Q12*$C$19/4</f>
        <v>3304.8693579545452</v>
      </c>
      <c r="R14" s="93">
        <f>R12*$C$19/4</f>
        <v>3489.4498274147727</v>
      </c>
      <c r="S14" s="93">
        <f>S12*$C$19/4</f>
        <v>3674.0302968749997</v>
      </c>
      <c r="T14" s="270">
        <f>SUM(P14:S14)</f>
        <v>13588.638370738638</v>
      </c>
      <c r="U14" s="93">
        <f>U12*$C$19/4</f>
        <v>3893.7689509943179</v>
      </c>
      <c r="V14" s="93">
        <f>V12*$C$19/4</f>
        <v>4113.5076051136357</v>
      </c>
      <c r="W14" s="93">
        <f>W12*$C$19/4</f>
        <v>4333.2462592329539</v>
      </c>
      <c r="X14" s="93">
        <f>X12*$C$19/4</f>
        <v>4552.9849133522721</v>
      </c>
      <c r="Y14" s="270">
        <f>SUM(U14:X14)</f>
        <v>16893.507728693181</v>
      </c>
      <c r="Z14" s="93">
        <f t="shared" ref="Z14:AH14" si="17">Z12*$C$19/4</f>
        <v>4816.6712982954541</v>
      </c>
      <c r="AA14" s="93">
        <f t="shared" si="17"/>
        <v>5080.3576832386361</v>
      </c>
      <c r="AB14" s="93">
        <f t="shared" si="17"/>
        <v>5344.0440681818181</v>
      </c>
      <c r="AC14" s="93">
        <f t="shared" si="17"/>
        <v>5607.7304531249993</v>
      </c>
      <c r="AD14" s="270">
        <f>SUM(Z14:AC14)</f>
        <v>20848.803502840907</v>
      </c>
      <c r="AE14" s="93">
        <f t="shared" si="17"/>
        <v>5924.1541150568173</v>
      </c>
      <c r="AF14" s="93">
        <f t="shared" si="17"/>
        <v>6240.5777769886363</v>
      </c>
      <c r="AG14" s="93">
        <f t="shared" si="17"/>
        <v>6557.0014389204543</v>
      </c>
      <c r="AH14" s="93">
        <f t="shared" si="17"/>
        <v>6873.4251008522724</v>
      </c>
      <c r="AI14" s="270">
        <f>SUM(AE14:AH14)</f>
        <v>25595.158431818181</v>
      </c>
      <c r="AJ14" s="93">
        <f>AJ12*$C$19/4</f>
        <v>7251.3755859374996</v>
      </c>
      <c r="AK14" s="93">
        <f>AK12*$C$19/4</f>
        <v>7629.3260710227269</v>
      </c>
      <c r="AL14" s="93">
        <f>AL12*$C$19/4</f>
        <v>8007.2765561079541</v>
      </c>
      <c r="AM14" s="93">
        <f>AM12*$C$19/4</f>
        <v>8385.2270411931804</v>
      </c>
      <c r="AN14" s="270">
        <f>SUM(AJ14:AM14)</f>
        <v>31273.20525426136</v>
      </c>
    </row>
    <row r="15" spans="2:40">
      <c r="N15" s="9"/>
      <c r="O15" s="9"/>
      <c r="T15" s="9"/>
      <c r="Y15" s="9"/>
    </row>
    <row r="16" spans="2:40">
      <c r="B16" s="86" t="s">
        <v>176</v>
      </c>
      <c r="F16" s="9"/>
      <c r="G16" s="9"/>
      <c r="H16" s="9"/>
      <c r="I16" s="9"/>
      <c r="J16" s="9"/>
      <c r="K16" s="9"/>
      <c r="L16" s="9"/>
      <c r="M16" s="9"/>
    </row>
    <row r="17" spans="2:40">
      <c r="B17" t="s">
        <v>287</v>
      </c>
      <c r="C17" s="39">
        <v>132</v>
      </c>
      <c r="F17" s="9"/>
      <c r="G17" s="9"/>
      <c r="H17" s="9"/>
      <c r="I17" s="9"/>
      <c r="J17" s="9"/>
      <c r="K17" s="9"/>
      <c r="L17" s="9"/>
      <c r="M17" s="9"/>
    </row>
    <row r="18" spans="2:40">
      <c r="B18" t="s">
        <v>271</v>
      </c>
      <c r="C18" s="89">
        <v>280</v>
      </c>
      <c r="F18" s="9"/>
    </row>
    <row r="19" spans="2:40">
      <c r="B19" t="s">
        <v>286</v>
      </c>
      <c r="C19" s="287">
        <f>Dashboard!F10</f>
        <v>70.316369318181813</v>
      </c>
      <c r="E19" s="238" t="s">
        <v>288</v>
      </c>
      <c r="F19" s="239">
        <v>2023</v>
      </c>
      <c r="G19" s="239">
        <v>2023</v>
      </c>
      <c r="H19" s="239">
        <v>2023</v>
      </c>
      <c r="I19" s="239">
        <v>2023</v>
      </c>
      <c r="J19" s="267">
        <v>2023</v>
      </c>
      <c r="K19" s="239">
        <v>2024</v>
      </c>
      <c r="L19" s="239">
        <v>2024</v>
      </c>
      <c r="M19" s="239">
        <v>2024</v>
      </c>
      <c r="N19" s="239">
        <v>2024</v>
      </c>
      <c r="O19" s="267">
        <v>2024</v>
      </c>
      <c r="P19" s="239">
        <v>2025</v>
      </c>
      <c r="Q19" s="239">
        <v>2025</v>
      </c>
      <c r="R19" s="239">
        <v>2025</v>
      </c>
      <c r="S19" s="239">
        <v>2025</v>
      </c>
      <c r="T19" s="267">
        <v>2025</v>
      </c>
      <c r="U19" s="239">
        <v>2026</v>
      </c>
      <c r="V19" s="239">
        <v>2026</v>
      </c>
      <c r="W19" s="239">
        <v>2026</v>
      </c>
      <c r="X19" s="239">
        <v>2026</v>
      </c>
      <c r="Y19" s="267">
        <v>2026</v>
      </c>
      <c r="Z19" s="239">
        <v>2027</v>
      </c>
      <c r="AA19" s="239">
        <v>2027</v>
      </c>
      <c r="AB19" s="239">
        <v>2027</v>
      </c>
      <c r="AC19" s="239">
        <v>2027</v>
      </c>
      <c r="AD19" s="267">
        <v>2027</v>
      </c>
      <c r="AE19" s="239">
        <v>2028</v>
      </c>
      <c r="AF19" s="239">
        <v>2028</v>
      </c>
      <c r="AG19" s="239">
        <v>2028</v>
      </c>
      <c r="AH19" s="239">
        <v>2028</v>
      </c>
      <c r="AI19" s="267">
        <v>2028</v>
      </c>
      <c r="AJ19" s="239">
        <v>2029</v>
      </c>
      <c r="AK19" s="239">
        <v>2029</v>
      </c>
      <c r="AL19" s="239">
        <v>2029</v>
      </c>
      <c r="AM19" s="239">
        <v>2029</v>
      </c>
      <c r="AN19" s="267">
        <v>2029</v>
      </c>
    </row>
    <row r="20" spans="2:40">
      <c r="B20" t="s">
        <v>268</v>
      </c>
      <c r="C20" s="287">
        <f>Dashboard!F12</f>
        <v>62.70782946428573</v>
      </c>
      <c r="F20" s="239" t="s">
        <v>147</v>
      </c>
      <c r="G20" s="239" t="s">
        <v>148</v>
      </c>
      <c r="H20" s="239" t="s">
        <v>149</v>
      </c>
      <c r="I20" s="239" t="s">
        <v>150</v>
      </c>
      <c r="J20" s="268" t="s">
        <v>151</v>
      </c>
      <c r="K20" s="239" t="s">
        <v>147</v>
      </c>
      <c r="L20" s="239" t="s">
        <v>148</v>
      </c>
      <c r="M20" s="239" t="s">
        <v>149</v>
      </c>
      <c r="N20" s="239" t="s">
        <v>155</v>
      </c>
      <c r="O20" s="268" t="s">
        <v>156</v>
      </c>
      <c r="P20" s="239" t="s">
        <v>152</v>
      </c>
      <c r="Q20" s="239" t="s">
        <v>153</v>
      </c>
      <c r="R20" s="239" t="s">
        <v>154</v>
      </c>
      <c r="S20" s="239" t="s">
        <v>155</v>
      </c>
      <c r="T20" s="268" t="s">
        <v>156</v>
      </c>
      <c r="U20" s="239" t="s">
        <v>152</v>
      </c>
      <c r="V20" s="239" t="s">
        <v>153</v>
      </c>
      <c r="W20" s="239" t="s">
        <v>154</v>
      </c>
      <c r="X20" s="239" t="s">
        <v>155</v>
      </c>
      <c r="Y20" s="268" t="s">
        <v>156</v>
      </c>
      <c r="Z20" s="239" t="s">
        <v>152</v>
      </c>
      <c r="AA20" s="239" t="s">
        <v>153</v>
      </c>
      <c r="AB20" s="239" t="s">
        <v>154</v>
      </c>
      <c r="AC20" s="239" t="s">
        <v>155</v>
      </c>
      <c r="AD20" s="268" t="s">
        <v>156</v>
      </c>
      <c r="AE20" s="239" t="s">
        <v>152</v>
      </c>
      <c r="AF20" s="239" t="s">
        <v>153</v>
      </c>
      <c r="AG20" s="239" t="s">
        <v>154</v>
      </c>
      <c r="AH20" s="239" t="s">
        <v>155</v>
      </c>
      <c r="AI20" s="268" t="s">
        <v>156</v>
      </c>
      <c r="AJ20" s="239" t="s">
        <v>152</v>
      </c>
      <c r="AK20" s="239" t="s">
        <v>153</v>
      </c>
      <c r="AL20" s="239" t="s">
        <v>154</v>
      </c>
      <c r="AM20" s="239" t="s">
        <v>155</v>
      </c>
      <c r="AN20" s="268" t="s">
        <v>156</v>
      </c>
    </row>
    <row r="21" spans="2:40">
      <c r="E21" t="s">
        <v>273</v>
      </c>
      <c r="F21" s="92">
        <v>240</v>
      </c>
      <c r="G21" s="92">
        <f>F23</f>
        <v>248</v>
      </c>
      <c r="H21" s="92">
        <f>G23</f>
        <v>258</v>
      </c>
      <c r="I21" s="92">
        <f t="shared" ref="I21" si="18">H23</f>
        <v>272</v>
      </c>
      <c r="J21" s="269"/>
      <c r="K21" s="92">
        <f>I23</f>
        <v>280</v>
      </c>
      <c r="L21" s="92">
        <f t="shared" ref="L21" si="19">K23</f>
        <v>286</v>
      </c>
      <c r="M21" s="92">
        <f t="shared" ref="M21" si="20">L23</f>
        <v>298</v>
      </c>
      <c r="N21" s="92">
        <f t="shared" ref="N21" si="21">M23</f>
        <v>306</v>
      </c>
      <c r="O21" s="269"/>
      <c r="P21" s="92">
        <f>N23</f>
        <v>315</v>
      </c>
      <c r="Q21" s="92">
        <f t="shared" ref="Q21" si="22">P23</f>
        <v>324.75</v>
      </c>
      <c r="R21" s="92">
        <f t="shared" ref="R21" si="23">Q23</f>
        <v>334.5</v>
      </c>
      <c r="S21" s="92">
        <f t="shared" ref="S21" si="24">R23</f>
        <v>344.25</v>
      </c>
      <c r="T21" s="269"/>
      <c r="U21" s="92">
        <f>S23</f>
        <v>354</v>
      </c>
      <c r="V21" s="92">
        <f t="shared" ref="V21" si="25">U23</f>
        <v>365</v>
      </c>
      <c r="W21" s="92">
        <f t="shared" ref="W21" si="26">V23</f>
        <v>376</v>
      </c>
      <c r="X21" s="92">
        <f t="shared" ref="X21" si="27">W23</f>
        <v>387</v>
      </c>
      <c r="Y21" s="269"/>
      <c r="Z21" s="92">
        <f>X23</f>
        <v>398</v>
      </c>
      <c r="AA21" s="92">
        <f t="shared" ref="AA21" si="28">Z23</f>
        <v>409.75</v>
      </c>
      <c r="AB21" s="92">
        <f t="shared" ref="AB21" si="29">AA23</f>
        <v>421.5</v>
      </c>
      <c r="AC21" s="92">
        <f t="shared" ref="AC21" si="30">AB23</f>
        <v>433.25</v>
      </c>
      <c r="AD21" s="269"/>
      <c r="AE21" s="92">
        <f>AC23</f>
        <v>445</v>
      </c>
      <c r="AF21" s="92">
        <f t="shared" ref="AF21" si="31">AE23</f>
        <v>458</v>
      </c>
      <c r="AG21" s="92">
        <f t="shared" ref="AG21" si="32">AF23</f>
        <v>471</v>
      </c>
      <c r="AH21" s="92">
        <f t="shared" ref="AH21" si="33">AG23</f>
        <v>484</v>
      </c>
      <c r="AI21" s="269"/>
      <c r="AJ21" s="92">
        <f>AH23</f>
        <v>497</v>
      </c>
      <c r="AK21" s="92">
        <f t="shared" ref="AK21" si="34">AJ23</f>
        <v>511.25</v>
      </c>
      <c r="AL21" s="92">
        <f t="shared" ref="AL21" si="35">AK23</f>
        <v>525.5</v>
      </c>
      <c r="AM21" s="92">
        <f t="shared" ref="AM21" si="36">AL23</f>
        <v>539.75</v>
      </c>
      <c r="AN21" s="269"/>
    </row>
    <row r="22" spans="2:40">
      <c r="E22" t="s">
        <v>160</v>
      </c>
      <c r="F22" s="92">
        <v>8</v>
      </c>
      <c r="G22" s="92">
        <v>10</v>
      </c>
      <c r="H22" s="92">
        <v>14</v>
      </c>
      <c r="I22" s="92">
        <v>8</v>
      </c>
      <c r="J22" s="269">
        <f>SUM(F22:I22)</f>
        <v>40</v>
      </c>
      <c r="K22" s="92">
        <v>6</v>
      </c>
      <c r="L22" s="92">
        <v>12</v>
      </c>
      <c r="M22" s="92">
        <v>8</v>
      </c>
      <c r="N22" s="92">
        <f>ROUND(AVERAGE(K22:M22),0)</f>
        <v>9</v>
      </c>
      <c r="O22" s="269">
        <f>SUM(K22:N22)</f>
        <v>35</v>
      </c>
      <c r="P22" s="93">
        <f>$T$22/4</f>
        <v>9.75</v>
      </c>
      <c r="Q22" s="93">
        <f>$T$22/4</f>
        <v>9.75</v>
      </c>
      <c r="R22" s="93">
        <f>$T$22/4</f>
        <v>9.75</v>
      </c>
      <c r="S22" s="93">
        <f>$T$22/4</f>
        <v>9.75</v>
      </c>
      <c r="T22" s="269">
        <f>ROUND(O22*(1+C27),0)</f>
        <v>39</v>
      </c>
      <c r="U22" s="92">
        <f>ROUND($Y$22/4,0)</f>
        <v>11</v>
      </c>
      <c r="V22" s="92">
        <f>ROUND($Y$22/4,0)</f>
        <v>11</v>
      </c>
      <c r="W22" s="92">
        <f>ROUND($Y$22/4,0)</f>
        <v>11</v>
      </c>
      <c r="X22" s="92">
        <f>ROUND($Y$22/4,0)</f>
        <v>11</v>
      </c>
      <c r="Y22" s="269">
        <f>ROUND(T22*(1+C27),0)</f>
        <v>43</v>
      </c>
      <c r="Z22" s="92">
        <f>$AD$22/4</f>
        <v>11.75</v>
      </c>
      <c r="AA22" s="92">
        <f>$AD$22/4</f>
        <v>11.75</v>
      </c>
      <c r="AB22" s="92">
        <f>$AD$22/4</f>
        <v>11.75</v>
      </c>
      <c r="AC22" s="92">
        <f>$AD$22/4</f>
        <v>11.75</v>
      </c>
      <c r="AD22" s="269">
        <f>ROUND(Y22*(1+C27),0)</f>
        <v>47</v>
      </c>
      <c r="AE22" s="92">
        <f>ROUND($AI$22/4,0)</f>
        <v>13</v>
      </c>
      <c r="AF22" s="92">
        <f>ROUND($AI$22/4,0)</f>
        <v>13</v>
      </c>
      <c r="AG22" s="92">
        <f>ROUND($AI$22/4,0)</f>
        <v>13</v>
      </c>
      <c r="AH22" s="92">
        <f>ROUND($AI$22/4,0)</f>
        <v>13</v>
      </c>
      <c r="AI22" s="269">
        <f>ROUND(AD22*(1 +C27),0)</f>
        <v>52</v>
      </c>
      <c r="AJ22" s="92">
        <f>$AN$22/4</f>
        <v>14.25</v>
      </c>
      <c r="AK22" s="92">
        <f>$AN$22/4</f>
        <v>14.25</v>
      </c>
      <c r="AL22" s="92">
        <f>$AN$22/4</f>
        <v>14.25</v>
      </c>
      <c r="AM22" s="92">
        <f>$AN$22/4</f>
        <v>14.25</v>
      </c>
      <c r="AN22" s="269">
        <f>ROUND(AI22*(1+C27),0)</f>
        <v>57</v>
      </c>
    </row>
    <row r="23" spans="2:40">
      <c r="B23" s="86" t="s">
        <v>180</v>
      </c>
      <c r="E23" t="s">
        <v>161</v>
      </c>
      <c r="F23" s="92">
        <f>F21+F22</f>
        <v>248</v>
      </c>
      <c r="G23" s="92">
        <f>G21+G22</f>
        <v>258</v>
      </c>
      <c r="H23" s="92">
        <f>H21+H22</f>
        <v>272</v>
      </c>
      <c r="I23" s="92">
        <f>I21+I22</f>
        <v>280</v>
      </c>
      <c r="J23" s="269"/>
      <c r="K23" s="92">
        <f>K22+K21</f>
        <v>286</v>
      </c>
      <c r="L23" s="92">
        <f t="shared" ref="L23:N23" si="37">L22+L21</f>
        <v>298</v>
      </c>
      <c r="M23" s="92">
        <f t="shared" si="37"/>
        <v>306</v>
      </c>
      <c r="N23" s="92">
        <f t="shared" si="37"/>
        <v>315</v>
      </c>
      <c r="O23" s="269"/>
      <c r="P23" s="92">
        <f t="shared" ref="P23:S23" si="38">P22+P21</f>
        <v>324.75</v>
      </c>
      <c r="Q23" s="92">
        <f t="shared" si="38"/>
        <v>334.5</v>
      </c>
      <c r="R23" s="92">
        <f t="shared" si="38"/>
        <v>344.25</v>
      </c>
      <c r="S23" s="92">
        <f t="shared" si="38"/>
        <v>354</v>
      </c>
      <c r="T23" s="269"/>
      <c r="U23" s="92">
        <f t="shared" ref="U23:X23" si="39">U22+U21</f>
        <v>365</v>
      </c>
      <c r="V23" s="92">
        <f t="shared" si="39"/>
        <v>376</v>
      </c>
      <c r="W23" s="92">
        <f t="shared" si="39"/>
        <v>387</v>
      </c>
      <c r="X23" s="92">
        <f t="shared" si="39"/>
        <v>398</v>
      </c>
      <c r="Y23" s="269"/>
      <c r="Z23" s="92">
        <f t="shared" ref="Z23:AC23" si="40">Z22+Z21</f>
        <v>409.75</v>
      </c>
      <c r="AA23" s="92">
        <f t="shared" si="40"/>
        <v>421.5</v>
      </c>
      <c r="AB23" s="92">
        <f t="shared" si="40"/>
        <v>433.25</v>
      </c>
      <c r="AC23" s="92">
        <f t="shared" si="40"/>
        <v>445</v>
      </c>
      <c r="AD23" s="269"/>
      <c r="AE23" s="92">
        <f t="shared" ref="AE23:AH23" si="41">AE22+AE21</f>
        <v>458</v>
      </c>
      <c r="AF23" s="92">
        <f t="shared" si="41"/>
        <v>471</v>
      </c>
      <c r="AG23" s="92">
        <f t="shared" si="41"/>
        <v>484</v>
      </c>
      <c r="AH23" s="92">
        <f t="shared" si="41"/>
        <v>497</v>
      </c>
      <c r="AI23" s="269"/>
      <c r="AJ23" s="92">
        <f t="shared" ref="AJ23:AM23" si="42">AJ22+AJ21</f>
        <v>511.25</v>
      </c>
      <c r="AK23" s="92">
        <f t="shared" si="42"/>
        <v>525.5</v>
      </c>
      <c r="AL23" s="92">
        <f t="shared" si="42"/>
        <v>539.75</v>
      </c>
      <c r="AM23" s="92">
        <f t="shared" si="42"/>
        <v>554</v>
      </c>
      <c r="AN23" s="269"/>
    </row>
    <row r="24" spans="2:40">
      <c r="B24" t="s">
        <v>177</v>
      </c>
      <c r="C24" s="88">
        <v>0.09</v>
      </c>
      <c r="F24" s="92"/>
      <c r="G24" s="92"/>
      <c r="H24" s="92"/>
      <c r="I24" s="92"/>
      <c r="J24" s="269"/>
      <c r="K24" s="92"/>
      <c r="L24" s="92"/>
      <c r="M24" s="92"/>
      <c r="N24" s="92"/>
      <c r="O24" s="269"/>
      <c r="P24" s="92"/>
      <c r="Q24" s="92"/>
      <c r="R24" s="92"/>
      <c r="S24" s="92"/>
      <c r="T24" s="269"/>
      <c r="U24" s="92"/>
      <c r="V24" s="92"/>
      <c r="W24" s="92"/>
      <c r="X24" s="92"/>
      <c r="Y24" s="269"/>
      <c r="Z24" s="92"/>
      <c r="AA24" s="92"/>
      <c r="AB24" s="92"/>
      <c r="AC24" s="92"/>
      <c r="AD24" s="269"/>
      <c r="AE24" s="92"/>
      <c r="AF24" s="92"/>
      <c r="AG24" s="92"/>
      <c r="AH24" s="92"/>
      <c r="AI24" s="269"/>
      <c r="AJ24" s="92"/>
      <c r="AK24" s="92"/>
      <c r="AL24" s="92"/>
      <c r="AM24" s="92"/>
      <c r="AN24" s="269"/>
    </row>
    <row r="25" spans="2:40">
      <c r="E25" s="235" t="s">
        <v>285</v>
      </c>
      <c r="F25" s="92">
        <f>'Product mix'!D8*'Product mix'!G8</f>
        <v>4511.3</v>
      </c>
      <c r="G25" s="92">
        <f>'Product mix'!D9*'Product mix'!G9</f>
        <v>4347.2</v>
      </c>
      <c r="H25" s="92">
        <f>'Product mix'!D10*'Product mix'!G10</f>
        <v>4361.8</v>
      </c>
      <c r="I25" s="92">
        <f>'Product mix'!D11*'Product mix'!G11</f>
        <v>4329</v>
      </c>
      <c r="J25" s="270">
        <f>SUM(F25:I25)</f>
        <v>17549.3</v>
      </c>
      <c r="K25" s="93">
        <f>'Product mix'!D12*'Product mix'!G12</f>
        <v>4736.2</v>
      </c>
      <c r="L25" s="93">
        <f>'Product mix'!D13*'Product mix'!G13</f>
        <v>4905.3</v>
      </c>
      <c r="M25" s="93">
        <f>'Product mix'!D14*'Product mix'!G14</f>
        <v>4532.5999999999995</v>
      </c>
      <c r="N25" s="93">
        <f>N23*$C$20/4</f>
        <v>4938.2415703125016</v>
      </c>
      <c r="O25" s="270">
        <f>SUM(K25:N25)</f>
        <v>19112.341570312499</v>
      </c>
      <c r="P25" s="93">
        <f>P23*$C$20/4</f>
        <v>5091.0919046316976</v>
      </c>
      <c r="Q25" s="93">
        <f t="shared" ref="Q25:R25" si="43">Q23*$C$20/4</f>
        <v>5243.9422389508945</v>
      </c>
      <c r="R25" s="93">
        <f t="shared" si="43"/>
        <v>5396.7925732700905</v>
      </c>
      <c r="S25" s="93">
        <f>S23*$C$20/4</f>
        <v>5549.6429075892875</v>
      </c>
      <c r="T25" s="270">
        <f>SUM(P25:S25)</f>
        <v>21281.469624441972</v>
      </c>
      <c r="U25" s="93">
        <f>U23*$C$20/4</f>
        <v>5722.0894386160726</v>
      </c>
      <c r="V25" s="93">
        <f t="shared" ref="V25:X25" si="44">V23*$C$20/4</f>
        <v>5894.5359696428586</v>
      </c>
      <c r="W25" s="93">
        <f t="shared" si="44"/>
        <v>6066.9825006696447</v>
      </c>
      <c r="X25" s="93">
        <f t="shared" si="44"/>
        <v>6239.4290316964298</v>
      </c>
      <c r="Y25" s="270">
        <f>SUM(U25:X25)</f>
        <v>23923.036940625007</v>
      </c>
      <c r="Z25" s="93">
        <f>Z23*$C$20/4</f>
        <v>6423.6332807477693</v>
      </c>
      <c r="AA25" s="93">
        <f>AA23*$C$20/4</f>
        <v>6607.8375297991088</v>
      </c>
      <c r="AB25" s="93">
        <f>AB23*$C$20/4</f>
        <v>6792.0417788504483</v>
      </c>
      <c r="AC25" s="93">
        <f t="shared" ref="AC25" si="45">AC23*$C$20/4</f>
        <v>6976.2460279017878</v>
      </c>
      <c r="AD25" s="270">
        <f>SUM(Z25:AC25)</f>
        <v>26799.758617299114</v>
      </c>
      <c r="AE25" s="93">
        <f t="shared" ref="AE25:AH25" si="46">AE23*$C$20/4</f>
        <v>7180.0464736607164</v>
      </c>
      <c r="AF25" s="93">
        <f t="shared" si="46"/>
        <v>7383.846919419645</v>
      </c>
      <c r="AG25" s="93">
        <f t="shared" si="46"/>
        <v>7587.6473651785736</v>
      </c>
      <c r="AH25" s="93">
        <f t="shared" si="46"/>
        <v>7791.4478109375023</v>
      </c>
      <c r="AI25" s="270">
        <f>SUM(AE25:AH25)</f>
        <v>29942.988569196437</v>
      </c>
      <c r="AJ25" s="93">
        <f t="shared" ref="AJ25:AM25" si="47">AJ23*$C$20/4</f>
        <v>8014.84445340402</v>
      </c>
      <c r="AK25" s="93">
        <f t="shared" si="47"/>
        <v>8238.2410958705386</v>
      </c>
      <c r="AL25" s="93">
        <f t="shared" si="47"/>
        <v>8461.6377383370564</v>
      </c>
      <c r="AM25" s="93">
        <f t="shared" si="47"/>
        <v>8685.0343808035741</v>
      </c>
      <c r="AN25" s="270">
        <f>SUM(AJ25:AM25)</f>
        <v>33399.757668415186</v>
      </c>
    </row>
    <row r="26" spans="2:40">
      <c r="B26" t="s">
        <v>181</v>
      </c>
      <c r="C26" s="286">
        <f>Dashboard!F9</f>
        <v>0.2</v>
      </c>
      <c r="T26" s="9"/>
      <c r="AD26" s="9"/>
    </row>
    <row r="27" spans="2:40">
      <c r="B27" t="s">
        <v>182</v>
      </c>
      <c r="C27" s="286">
        <f>Dashboard!F11</f>
        <v>0.1</v>
      </c>
    </row>
    <row r="28" spans="2:40">
      <c r="B28" t="s">
        <v>291</v>
      </c>
      <c r="C28" s="286">
        <f>Dashboard!F13</f>
        <v>0.05</v>
      </c>
      <c r="E28" s="238" t="s">
        <v>275</v>
      </c>
      <c r="F28" s="239">
        <v>2023</v>
      </c>
      <c r="G28" s="239">
        <v>2023</v>
      </c>
      <c r="H28" s="239">
        <v>2023</v>
      </c>
      <c r="I28" s="239">
        <v>2023</v>
      </c>
      <c r="J28" s="239">
        <v>2023</v>
      </c>
      <c r="K28" s="239">
        <v>2024</v>
      </c>
      <c r="L28" s="239">
        <v>2024</v>
      </c>
      <c r="M28" s="239">
        <v>2024</v>
      </c>
      <c r="N28" s="239">
        <v>2024</v>
      </c>
      <c r="O28" s="239">
        <v>2024</v>
      </c>
      <c r="P28" s="239">
        <v>2025</v>
      </c>
      <c r="Q28" s="239">
        <v>2025</v>
      </c>
      <c r="R28" s="239">
        <v>2025</v>
      </c>
      <c r="S28" s="239">
        <v>2025</v>
      </c>
      <c r="T28" s="239">
        <v>2025</v>
      </c>
      <c r="U28" s="239">
        <v>2026</v>
      </c>
      <c r="V28" s="239">
        <v>2026</v>
      </c>
      <c r="W28" s="239">
        <v>2026</v>
      </c>
      <c r="X28" s="239">
        <v>2026</v>
      </c>
      <c r="Y28" s="239">
        <v>2026</v>
      </c>
      <c r="Z28" s="239">
        <v>2027</v>
      </c>
      <c r="AA28" s="239">
        <v>2027</v>
      </c>
      <c r="AB28" s="239">
        <v>2027</v>
      </c>
      <c r="AC28" s="239">
        <v>2027</v>
      </c>
      <c r="AD28" s="239">
        <v>2027</v>
      </c>
      <c r="AE28" s="239">
        <v>2028</v>
      </c>
      <c r="AF28" s="239">
        <v>2028</v>
      </c>
      <c r="AG28" s="239">
        <v>2028</v>
      </c>
      <c r="AH28" s="239">
        <v>2028</v>
      </c>
      <c r="AI28" s="239">
        <v>2028</v>
      </c>
      <c r="AJ28" s="239">
        <v>2029</v>
      </c>
      <c r="AK28" s="239">
        <v>2029</v>
      </c>
      <c r="AL28" s="239">
        <v>2029</v>
      </c>
      <c r="AM28" s="239">
        <v>2029</v>
      </c>
      <c r="AN28" s="239">
        <v>2029</v>
      </c>
    </row>
    <row r="29" spans="2:40">
      <c r="B29" t="s">
        <v>183</v>
      </c>
      <c r="C29" s="286">
        <f>Dashboard!F14</f>
        <v>0.05</v>
      </c>
      <c r="F29" s="239" t="s">
        <v>147</v>
      </c>
      <c r="G29" s="239" t="s">
        <v>148</v>
      </c>
      <c r="H29" s="239" t="s">
        <v>149</v>
      </c>
      <c r="I29" s="239" t="s">
        <v>150</v>
      </c>
      <c r="J29" s="239" t="s">
        <v>151</v>
      </c>
      <c r="K29" s="239" t="s">
        <v>147</v>
      </c>
      <c r="L29" s="239" t="s">
        <v>148</v>
      </c>
      <c r="M29" s="239" t="s">
        <v>149</v>
      </c>
      <c r="N29" s="239" t="s">
        <v>155</v>
      </c>
      <c r="O29" s="239" t="s">
        <v>156</v>
      </c>
      <c r="P29" s="239" t="s">
        <v>152</v>
      </c>
      <c r="Q29" s="239" t="s">
        <v>153</v>
      </c>
      <c r="R29" s="239" t="s">
        <v>154</v>
      </c>
      <c r="S29" s="239" t="s">
        <v>155</v>
      </c>
      <c r="T29" s="239" t="s">
        <v>156</v>
      </c>
      <c r="U29" s="239" t="s">
        <v>152</v>
      </c>
      <c r="V29" s="239" t="s">
        <v>153</v>
      </c>
      <c r="W29" s="239" t="s">
        <v>154</v>
      </c>
      <c r="X29" s="239" t="s">
        <v>155</v>
      </c>
      <c r="Y29" s="239" t="s">
        <v>156</v>
      </c>
      <c r="Z29" s="239" t="s">
        <v>152</v>
      </c>
      <c r="AA29" s="239" t="s">
        <v>153</v>
      </c>
      <c r="AB29" s="239" t="s">
        <v>154</v>
      </c>
      <c r="AC29" s="239" t="s">
        <v>155</v>
      </c>
      <c r="AD29" s="239" t="s">
        <v>156</v>
      </c>
      <c r="AE29" s="239" t="s">
        <v>152</v>
      </c>
      <c r="AF29" s="239" t="s">
        <v>153</v>
      </c>
      <c r="AG29" s="239" t="s">
        <v>154</v>
      </c>
      <c r="AH29" s="239" t="s">
        <v>155</v>
      </c>
      <c r="AI29" s="239" t="s">
        <v>156</v>
      </c>
      <c r="AJ29" s="239" t="s">
        <v>152</v>
      </c>
      <c r="AK29" s="239" t="s">
        <v>153</v>
      </c>
      <c r="AL29" s="239" t="s">
        <v>154</v>
      </c>
      <c r="AM29" s="239" t="s">
        <v>155</v>
      </c>
      <c r="AN29" s="239" t="s">
        <v>156</v>
      </c>
    </row>
    <row r="30" spans="2:40">
      <c r="E30" s="235" t="s">
        <v>290</v>
      </c>
      <c r="F30">
        <f>'Product mix'!D8*'Product mix'!E8</f>
        <v>11060.699999999999</v>
      </c>
      <c r="G30">
        <f>'Product mix'!D9*'Product mix'!E9</f>
        <v>12177.1</v>
      </c>
      <c r="H30">
        <f>'Product mix'!D10*'Product mix'!E10</f>
        <v>11232.2</v>
      </c>
      <c r="I30">
        <f>'Product mix'!D11*'Product mix'!E11</f>
        <v>11302.199999999999</v>
      </c>
      <c r="J30" s="9">
        <f>SUM(F30:I30)</f>
        <v>45772.2</v>
      </c>
      <c r="K30" s="9">
        <f>'Product mix'!D12*'Product mix'!E12</f>
        <v>12066.6</v>
      </c>
      <c r="L30" s="9">
        <f>'Product mix'!D13*'Product mix'!E13</f>
        <v>12350.4</v>
      </c>
      <c r="M30" s="9">
        <f>'Product mix'!D14*'Product mix'!E14</f>
        <v>12838</v>
      </c>
      <c r="N30" s="9">
        <f>AVERAGE(K30:M30)</f>
        <v>12418.333333333334</v>
      </c>
      <c r="O30" s="9">
        <f>SUM(K30:N30)</f>
        <v>49673.333333333336</v>
      </c>
      <c r="P30" s="9">
        <f>SUM(K30:N30)*(1+$C$28)/4</f>
        <v>13039.250000000002</v>
      </c>
      <c r="Q30" s="9">
        <f>P30</f>
        <v>13039.250000000002</v>
      </c>
      <c r="R30" s="9">
        <f>Q30</f>
        <v>13039.250000000002</v>
      </c>
      <c r="S30" s="9">
        <f>P30</f>
        <v>13039.250000000002</v>
      </c>
      <c r="T30" s="9">
        <f>SUM(P30:S30)</f>
        <v>52157.000000000007</v>
      </c>
      <c r="U30" s="9">
        <f>SUM(P30:S30)*(1+$C$28)/4</f>
        <v>13691.212500000003</v>
      </c>
      <c r="V30" s="9">
        <f>U30</f>
        <v>13691.212500000003</v>
      </c>
      <c r="W30" s="9">
        <f>V30</f>
        <v>13691.212500000003</v>
      </c>
      <c r="X30" s="9">
        <f>W30</f>
        <v>13691.212500000003</v>
      </c>
      <c r="Y30" s="9">
        <f>SUM(U30:X30)</f>
        <v>54764.850000000013</v>
      </c>
      <c r="Z30" s="9">
        <f>SUM(U30:X30)*(1+$C$28)/4</f>
        <v>14375.773125000003</v>
      </c>
      <c r="AA30" s="9">
        <f>Z30</f>
        <v>14375.773125000003</v>
      </c>
      <c r="AB30" s="9">
        <f>AA30</f>
        <v>14375.773125000003</v>
      </c>
      <c r="AC30" s="9">
        <f>AB30</f>
        <v>14375.773125000003</v>
      </c>
      <c r="AD30" s="9">
        <f>SUM(Z30:AC30)</f>
        <v>57503.092500000013</v>
      </c>
      <c r="AE30" s="9">
        <f>SUM(Z30:AC30)*(1+$C$28)/4</f>
        <v>15094.561781250004</v>
      </c>
      <c r="AF30" s="9">
        <f>AE30</f>
        <v>15094.561781250004</v>
      </c>
      <c r="AG30" s="9">
        <f>AF30</f>
        <v>15094.561781250004</v>
      </c>
      <c r="AH30" s="9">
        <f>AG30</f>
        <v>15094.561781250004</v>
      </c>
      <c r="AI30" s="9">
        <f>SUM(AE30:AH30)</f>
        <v>60378.247125000016</v>
      </c>
      <c r="AJ30" s="9">
        <f>SUM(AE30:AH30)*(1+$C$28)/4</f>
        <v>15849.289870312505</v>
      </c>
      <c r="AK30" s="9">
        <f>AJ30</f>
        <v>15849.289870312505</v>
      </c>
      <c r="AL30" s="9">
        <f>AK30</f>
        <v>15849.289870312505</v>
      </c>
      <c r="AM30" s="9">
        <f>AL30</f>
        <v>15849.289870312505</v>
      </c>
      <c r="AN30" s="9">
        <f>SUM(AJ30:AM30)</f>
        <v>63397.159481250019</v>
      </c>
    </row>
    <row r="32" spans="2:40">
      <c r="B32" s="86" t="s">
        <v>184</v>
      </c>
    </row>
    <row r="33" spans="2:40">
      <c r="B33" s="90">
        <v>2024</v>
      </c>
      <c r="C33" s="91" t="s">
        <v>185</v>
      </c>
      <c r="E33" s="238" t="s">
        <v>297</v>
      </c>
      <c r="F33" s="239">
        <v>2023</v>
      </c>
      <c r="G33" s="239">
        <v>2023</v>
      </c>
      <c r="H33" s="239">
        <v>2023</v>
      </c>
      <c r="I33" s="239">
        <v>2023</v>
      </c>
      <c r="J33" s="239">
        <v>2023</v>
      </c>
      <c r="K33" s="239">
        <v>2024</v>
      </c>
      <c r="L33" s="239">
        <v>2024</v>
      </c>
      <c r="M33" s="239">
        <v>2024</v>
      </c>
      <c r="N33" s="239">
        <v>2024</v>
      </c>
      <c r="O33" s="239">
        <v>2024</v>
      </c>
      <c r="P33" s="239">
        <v>2025</v>
      </c>
      <c r="Q33" s="239">
        <v>2025</v>
      </c>
      <c r="R33" s="239">
        <v>2025</v>
      </c>
      <c r="S33" s="239">
        <v>2025</v>
      </c>
      <c r="T33" s="239">
        <v>2025</v>
      </c>
      <c r="U33" s="239">
        <v>2026</v>
      </c>
      <c r="V33" s="239">
        <v>2026</v>
      </c>
      <c r="W33" s="239">
        <v>2026</v>
      </c>
      <c r="X33" s="239">
        <v>2026</v>
      </c>
      <c r="Y33" s="239">
        <v>2026</v>
      </c>
      <c r="Z33" s="239">
        <v>2027</v>
      </c>
      <c r="AA33" s="239">
        <v>2027</v>
      </c>
      <c r="AB33" s="239">
        <v>2027</v>
      </c>
      <c r="AC33" s="239">
        <v>2027</v>
      </c>
      <c r="AD33" s="239">
        <v>2027</v>
      </c>
      <c r="AE33" s="239">
        <v>2028</v>
      </c>
      <c r="AF33" s="239">
        <v>2028</v>
      </c>
      <c r="AG33" s="239">
        <v>2028</v>
      </c>
      <c r="AH33" s="239">
        <v>2028</v>
      </c>
      <c r="AI33" s="239">
        <v>2028</v>
      </c>
      <c r="AJ33" s="239">
        <v>2029</v>
      </c>
      <c r="AK33" s="239">
        <v>2029</v>
      </c>
      <c r="AL33" s="239">
        <v>2029</v>
      </c>
      <c r="AM33" s="239">
        <v>2029</v>
      </c>
      <c r="AN33" s="239">
        <v>2029</v>
      </c>
    </row>
    <row r="34" spans="2:40">
      <c r="B34" t="s">
        <v>269</v>
      </c>
      <c r="C34" s="91" t="s">
        <v>186</v>
      </c>
      <c r="F34" s="239" t="s">
        <v>147</v>
      </c>
      <c r="G34" s="239" t="s">
        <v>148</v>
      </c>
      <c r="H34" s="239" t="s">
        <v>149</v>
      </c>
      <c r="I34" s="239" t="s">
        <v>150</v>
      </c>
      <c r="J34" s="239" t="s">
        <v>151</v>
      </c>
      <c r="K34" s="239" t="s">
        <v>147</v>
      </c>
      <c r="L34" s="239" t="s">
        <v>148</v>
      </c>
      <c r="M34" s="239" t="s">
        <v>149</v>
      </c>
      <c r="N34" s="239" t="s">
        <v>155</v>
      </c>
      <c r="O34" s="239" t="s">
        <v>156</v>
      </c>
      <c r="P34" s="239" t="s">
        <v>152</v>
      </c>
      <c r="Q34" s="239" t="s">
        <v>153</v>
      </c>
      <c r="R34" s="239" t="s">
        <v>154</v>
      </c>
      <c r="S34" s="239" t="s">
        <v>155</v>
      </c>
      <c r="T34" s="239" t="s">
        <v>156</v>
      </c>
      <c r="U34" s="239" t="s">
        <v>152</v>
      </c>
      <c r="V34" s="239" t="s">
        <v>153</v>
      </c>
      <c r="W34" s="239" t="s">
        <v>154</v>
      </c>
      <c r="X34" s="239" t="s">
        <v>155</v>
      </c>
      <c r="Y34" s="239" t="s">
        <v>156</v>
      </c>
      <c r="Z34" s="239" t="s">
        <v>152</v>
      </c>
      <c r="AA34" s="239" t="s">
        <v>153</v>
      </c>
      <c r="AB34" s="239" t="s">
        <v>154</v>
      </c>
      <c r="AC34" s="239" t="s">
        <v>155</v>
      </c>
      <c r="AD34" s="239" t="s">
        <v>156</v>
      </c>
      <c r="AE34" s="239" t="s">
        <v>152</v>
      </c>
      <c r="AF34" s="239" t="s">
        <v>153</v>
      </c>
      <c r="AG34" s="239" t="s">
        <v>154</v>
      </c>
      <c r="AH34" s="239" t="s">
        <v>155</v>
      </c>
      <c r="AI34" s="239" t="s">
        <v>156</v>
      </c>
      <c r="AJ34" s="239" t="s">
        <v>152</v>
      </c>
      <c r="AK34" s="239" t="s">
        <v>153</v>
      </c>
      <c r="AL34" s="239" t="s">
        <v>154</v>
      </c>
      <c r="AM34" s="239" t="s">
        <v>155</v>
      </c>
      <c r="AN34" s="239" t="s">
        <v>156</v>
      </c>
    </row>
    <row r="35" spans="2:40">
      <c r="C35" s="88"/>
      <c r="E35" s="235" t="s">
        <v>274</v>
      </c>
      <c r="F35">
        <f>'Product mix'!D8*'Product mix'!F8</f>
        <v>5312.8</v>
      </c>
      <c r="G35">
        <f>SUM('Product mix'!F9*'Product mix'!D9)</f>
        <v>5779.8</v>
      </c>
      <c r="H35">
        <f>'Product mix'!F10*'Product mix'!D10</f>
        <v>4655.5999999999995</v>
      </c>
      <c r="I35">
        <f>'Product mix'!F11*'Product mix'!D11</f>
        <v>5194.8</v>
      </c>
      <c r="J35" s="9">
        <f>SUM(F35:I35)</f>
        <v>20943</v>
      </c>
      <c r="K35">
        <f>'Product mix'!F12*'Product mix'!D12</f>
        <v>4902.8</v>
      </c>
      <c r="L35">
        <f>'Product mix'!F13*'Product mix'!D13</f>
        <v>4905.3</v>
      </c>
      <c r="M35">
        <f>'Product mix'!F14*'Product mix'!D14</f>
        <v>5711.6</v>
      </c>
      <c r="N35">
        <f>AVERAGE(K35:M35)</f>
        <v>5173.2333333333336</v>
      </c>
      <c r="O35" s="9">
        <f>SUM(K35:N35)</f>
        <v>20692.933333333334</v>
      </c>
      <c r="P35">
        <f>SUM(K35:N35)*1.09/4</f>
        <v>5638.8243333333339</v>
      </c>
      <c r="Q35">
        <f>P35</f>
        <v>5638.8243333333339</v>
      </c>
      <c r="R35">
        <f t="shared" ref="R35:S35" si="48">Q35</f>
        <v>5638.8243333333339</v>
      </c>
      <c r="S35">
        <f t="shared" si="48"/>
        <v>5638.8243333333339</v>
      </c>
      <c r="T35" s="9">
        <f>SUM(P35:S35)</f>
        <v>22555.297333333336</v>
      </c>
      <c r="U35">
        <f>SUM(P35:S35)*1.09/4</f>
        <v>6146.3185233333343</v>
      </c>
      <c r="V35">
        <f>U35</f>
        <v>6146.3185233333343</v>
      </c>
      <c r="W35">
        <f t="shared" ref="W35:X35" si="49">V35</f>
        <v>6146.3185233333343</v>
      </c>
      <c r="X35">
        <f t="shared" si="49"/>
        <v>6146.3185233333343</v>
      </c>
      <c r="Y35" s="9">
        <f>SUM(U35:X35)</f>
        <v>24585.274093333337</v>
      </c>
      <c r="Z35">
        <f>SUM(U35:X35)*1.09/4</f>
        <v>6699.4871904333349</v>
      </c>
      <c r="AA35">
        <f>Z35</f>
        <v>6699.4871904333349</v>
      </c>
      <c r="AB35">
        <f t="shared" ref="AB35:AC35" si="50">AA35</f>
        <v>6699.4871904333349</v>
      </c>
      <c r="AC35">
        <f t="shared" si="50"/>
        <v>6699.4871904333349</v>
      </c>
      <c r="AD35" s="9">
        <f>SUM(Z35:AC35)</f>
        <v>26797.94876173334</v>
      </c>
      <c r="AE35">
        <f>SUM(Z35:AC35)*1.09/4</f>
        <v>7302.4410375723355</v>
      </c>
      <c r="AF35">
        <f>AE35</f>
        <v>7302.4410375723355</v>
      </c>
      <c r="AG35">
        <f t="shared" ref="AG35:AH35" si="51">AF35</f>
        <v>7302.4410375723355</v>
      </c>
      <c r="AH35">
        <f t="shared" si="51"/>
        <v>7302.4410375723355</v>
      </c>
      <c r="AI35" s="9">
        <f>SUM(AE35:AH35)</f>
        <v>29209.764150289342</v>
      </c>
      <c r="AJ35">
        <f>SUM(AE35:AH35)*1.09/4</f>
        <v>7959.6607309538467</v>
      </c>
      <c r="AK35">
        <f>AJ35</f>
        <v>7959.6607309538467</v>
      </c>
      <c r="AL35">
        <f t="shared" ref="AL35:AM35" si="52">AK35</f>
        <v>7959.6607309538467</v>
      </c>
      <c r="AM35">
        <f t="shared" si="52"/>
        <v>7959.6607309538467</v>
      </c>
      <c r="AN35" s="9">
        <f>SUM(AJ35:AM35)</f>
        <v>31838.642923815387</v>
      </c>
    </row>
    <row r="36" spans="2:40">
      <c r="C36" s="26"/>
      <c r="O36" s="54"/>
    </row>
    <row r="37" spans="2:40">
      <c r="O37" s="54"/>
    </row>
    <row r="38" spans="2:40">
      <c r="E38" s="238" t="s">
        <v>289</v>
      </c>
      <c r="F38" s="239">
        <v>2023</v>
      </c>
      <c r="G38" s="239">
        <v>2023</v>
      </c>
      <c r="H38" s="239">
        <v>2023</v>
      </c>
      <c r="I38" s="239">
        <v>2023</v>
      </c>
      <c r="J38" s="239">
        <v>2023</v>
      </c>
      <c r="K38" s="239">
        <v>2024</v>
      </c>
      <c r="L38" s="239">
        <v>2024</v>
      </c>
      <c r="M38" s="239">
        <v>2024</v>
      </c>
      <c r="N38" s="239">
        <v>2024</v>
      </c>
      <c r="O38" s="239">
        <v>2024</v>
      </c>
      <c r="P38" s="239">
        <v>2025</v>
      </c>
      <c r="Q38" s="239">
        <v>2025</v>
      </c>
      <c r="R38" s="239">
        <v>2025</v>
      </c>
      <c r="S38" s="239">
        <v>2025</v>
      </c>
      <c r="T38" s="239">
        <v>2025</v>
      </c>
      <c r="U38" s="239">
        <v>2026</v>
      </c>
      <c r="V38" s="239">
        <v>2026</v>
      </c>
      <c r="W38" s="239">
        <v>2026</v>
      </c>
      <c r="X38" s="239">
        <v>2026</v>
      </c>
      <c r="Y38" s="239">
        <v>2026</v>
      </c>
      <c r="Z38" s="239">
        <v>2027</v>
      </c>
      <c r="AA38" s="239">
        <v>2027</v>
      </c>
      <c r="AB38" s="239">
        <v>2027</v>
      </c>
      <c r="AC38" s="239">
        <v>2027</v>
      </c>
      <c r="AD38" s="239">
        <v>2027</v>
      </c>
      <c r="AE38" s="239">
        <v>2028</v>
      </c>
      <c r="AF38" s="239">
        <v>2028</v>
      </c>
      <c r="AG38" s="239">
        <v>2028</v>
      </c>
      <c r="AH38" s="239">
        <v>2028</v>
      </c>
      <c r="AI38" s="239">
        <v>2028</v>
      </c>
      <c r="AJ38" s="239">
        <v>2029</v>
      </c>
      <c r="AK38" s="239">
        <v>2029</v>
      </c>
      <c r="AL38" s="239">
        <v>2029</v>
      </c>
      <c r="AM38" s="239">
        <v>2029</v>
      </c>
      <c r="AN38" s="239">
        <v>2029</v>
      </c>
    </row>
    <row r="39" spans="2:40">
      <c r="F39" s="239" t="s">
        <v>147</v>
      </c>
      <c r="G39" s="239" t="s">
        <v>148</v>
      </c>
      <c r="H39" s="239" t="s">
        <v>149</v>
      </c>
      <c r="I39" s="239" t="s">
        <v>150</v>
      </c>
      <c r="J39" s="239" t="s">
        <v>151</v>
      </c>
      <c r="K39" s="239" t="s">
        <v>147</v>
      </c>
      <c r="L39" s="239" t="s">
        <v>148</v>
      </c>
      <c r="M39" s="239" t="s">
        <v>149</v>
      </c>
      <c r="N39" s="239" t="s">
        <v>155</v>
      </c>
      <c r="O39" s="239" t="s">
        <v>156</v>
      </c>
      <c r="P39" s="239" t="s">
        <v>152</v>
      </c>
      <c r="Q39" s="239" t="s">
        <v>153</v>
      </c>
      <c r="R39" s="239" t="s">
        <v>154</v>
      </c>
      <c r="S39" s="239" t="s">
        <v>155</v>
      </c>
      <c r="T39" s="239" t="s">
        <v>156</v>
      </c>
      <c r="U39" s="239" t="s">
        <v>152</v>
      </c>
      <c r="V39" s="239" t="s">
        <v>153</v>
      </c>
      <c r="W39" s="239" t="s">
        <v>154</v>
      </c>
      <c r="X39" s="239" t="s">
        <v>155</v>
      </c>
      <c r="Y39" s="239" t="s">
        <v>156</v>
      </c>
      <c r="Z39" s="239" t="s">
        <v>152</v>
      </c>
      <c r="AA39" s="239" t="s">
        <v>153</v>
      </c>
      <c r="AB39" s="239" t="s">
        <v>154</v>
      </c>
      <c r="AC39" s="239" t="s">
        <v>155</v>
      </c>
      <c r="AD39" s="239" t="s">
        <v>156</v>
      </c>
      <c r="AE39" s="239" t="s">
        <v>152</v>
      </c>
      <c r="AF39" s="239" t="s">
        <v>153</v>
      </c>
      <c r="AG39" s="239" t="s">
        <v>154</v>
      </c>
      <c r="AH39" s="239" t="s">
        <v>155</v>
      </c>
      <c r="AI39" s="239" t="s">
        <v>156</v>
      </c>
      <c r="AJ39" s="239" t="s">
        <v>152</v>
      </c>
      <c r="AK39" s="239" t="s">
        <v>153</v>
      </c>
      <c r="AL39" s="239" t="s">
        <v>154</v>
      </c>
      <c r="AM39" s="239" t="s">
        <v>155</v>
      </c>
      <c r="AN39" s="239" t="s">
        <v>156</v>
      </c>
    </row>
    <row r="40" spans="2:40">
      <c r="E40" s="53" t="s">
        <v>179</v>
      </c>
      <c r="F40" s="9">
        <f t="shared" ref="F40:AN40" si="53">F35+F30+F25+F14</f>
        <v>22900</v>
      </c>
      <c r="G40" s="9">
        <f t="shared" si="53"/>
        <v>24700.000000000004</v>
      </c>
      <c r="H40" s="9">
        <f t="shared" si="53"/>
        <v>22622.6</v>
      </c>
      <c r="I40" s="9">
        <f t="shared" si="53"/>
        <v>23329.8</v>
      </c>
      <c r="J40" s="9">
        <f t="shared" si="53"/>
        <v>93552.4</v>
      </c>
      <c r="K40" s="9">
        <f t="shared" si="53"/>
        <v>24133.200000000001</v>
      </c>
      <c r="L40" s="9">
        <f t="shared" si="53"/>
        <v>24850.2</v>
      </c>
      <c r="M40" s="9">
        <f t="shared" si="53"/>
        <v>26199.999999999996</v>
      </c>
      <c r="N40" s="9">
        <f t="shared" si="53"/>
        <v>25465.516656013257</v>
      </c>
      <c r="O40" s="9">
        <f t="shared" si="53"/>
        <v>100648.91665601326</v>
      </c>
      <c r="P40" s="9">
        <f t="shared" si="53"/>
        <v>26889.455126459354</v>
      </c>
      <c r="Q40" s="9">
        <f t="shared" si="53"/>
        <v>27226.885930238779</v>
      </c>
      <c r="R40" s="9">
        <f t="shared" si="53"/>
        <v>27564.316734018201</v>
      </c>
      <c r="S40" s="9">
        <f t="shared" si="53"/>
        <v>27901.747537797626</v>
      </c>
      <c r="T40" s="9">
        <f t="shared" si="53"/>
        <v>109582.40532851397</v>
      </c>
      <c r="U40" s="9">
        <f t="shared" si="53"/>
        <v>29453.389412943729</v>
      </c>
      <c r="V40" s="9">
        <f t="shared" si="53"/>
        <v>29845.574598089828</v>
      </c>
      <c r="W40" s="9">
        <f t="shared" si="53"/>
        <v>30237.759783235935</v>
      </c>
      <c r="X40" s="9">
        <f t="shared" si="53"/>
        <v>30629.944968382038</v>
      </c>
      <c r="Y40" s="9">
        <f t="shared" si="53"/>
        <v>120166.66876265153</v>
      </c>
      <c r="Z40" s="9">
        <f t="shared" si="53"/>
        <v>32315.564894476563</v>
      </c>
      <c r="AA40" s="9">
        <f t="shared" si="53"/>
        <v>32763.45552847108</v>
      </c>
      <c r="AB40" s="9">
        <f t="shared" si="53"/>
        <v>33211.346162465605</v>
      </c>
      <c r="AC40" s="9">
        <f t="shared" si="53"/>
        <v>33659.236796460122</v>
      </c>
      <c r="AD40" s="9">
        <f t="shared" si="53"/>
        <v>131949.60338187337</v>
      </c>
      <c r="AE40" s="9">
        <f t="shared" si="53"/>
        <v>35501.203407539877</v>
      </c>
      <c r="AF40" s="9">
        <f t="shared" si="53"/>
        <v>36021.427515230622</v>
      </c>
      <c r="AG40" s="9">
        <f t="shared" si="53"/>
        <v>36541.651622921367</v>
      </c>
      <c r="AH40" s="9">
        <f t="shared" si="53"/>
        <v>37061.875730612112</v>
      </c>
      <c r="AI40" s="9">
        <f t="shared" si="53"/>
        <v>145126.15827630399</v>
      </c>
      <c r="AJ40" s="9">
        <f t="shared" si="53"/>
        <v>39075.170640607874</v>
      </c>
      <c r="AK40" s="9">
        <f t="shared" si="53"/>
        <v>39676.517768159618</v>
      </c>
      <c r="AL40" s="9">
        <f t="shared" si="53"/>
        <v>40277.864895711362</v>
      </c>
      <c r="AM40" s="9">
        <f t="shared" si="53"/>
        <v>40879.212023263106</v>
      </c>
      <c r="AN40" s="9">
        <f t="shared" si="53"/>
        <v>159908.76532774194</v>
      </c>
    </row>
    <row r="41" spans="2:40">
      <c r="O41" s="54"/>
      <c r="R41" s="3"/>
    </row>
    <row r="42" spans="2:40">
      <c r="O42" s="54"/>
      <c r="R42" s="3"/>
    </row>
    <row r="43" spans="2:40">
      <c r="O43" s="53"/>
      <c r="U43" s="53"/>
    </row>
    <row r="44" spans="2:40">
      <c r="O44" s="53"/>
      <c r="U44" s="5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AB68-DD8E-4EED-AE3F-1F729E58E90E}">
  <dimension ref="B2:G21"/>
  <sheetViews>
    <sheetView showGridLines="0" workbookViewId="0">
      <selection activeCell="I23" sqref="I23"/>
    </sheetView>
  </sheetViews>
  <sheetFormatPr defaultColWidth="8.83203125" defaultRowHeight="16"/>
  <cols>
    <col min="1" max="1" width="3" customWidth="1"/>
    <col min="7" max="7" width="15" bestFit="1" customWidth="1"/>
  </cols>
  <sheetData>
    <row r="2" spans="2:7">
      <c r="B2" t="s">
        <v>130</v>
      </c>
    </row>
    <row r="3" spans="2:7">
      <c r="B3" t="s">
        <v>131</v>
      </c>
    </row>
    <row r="5" spans="2:7">
      <c r="B5" s="58" t="s">
        <v>132</v>
      </c>
      <c r="C5" s="59"/>
      <c r="D5" s="60"/>
      <c r="E5" s="60"/>
      <c r="F5" s="61"/>
      <c r="G5" s="62"/>
    </row>
    <row r="6" spans="2:7">
      <c r="B6" s="63" t="s">
        <v>133</v>
      </c>
      <c r="C6" s="64"/>
      <c r="D6" s="64"/>
      <c r="E6" s="64"/>
      <c r="F6" s="65"/>
      <c r="G6" s="66">
        <v>4.2259999999999999E-2</v>
      </c>
    </row>
    <row r="7" spans="2:7">
      <c r="B7" s="63" t="s">
        <v>134</v>
      </c>
      <c r="C7" s="64"/>
      <c r="D7" s="64"/>
      <c r="E7" s="64"/>
      <c r="F7" s="65"/>
      <c r="G7" s="67">
        <v>0.9</v>
      </c>
    </row>
    <row r="8" spans="2:7">
      <c r="B8" s="63" t="s">
        <v>135</v>
      </c>
      <c r="C8" s="64"/>
      <c r="D8" s="64"/>
      <c r="E8" s="64"/>
      <c r="F8" s="65"/>
      <c r="G8" s="66">
        <v>0.09</v>
      </c>
    </row>
    <row r="9" spans="2:7">
      <c r="B9" s="63" t="s">
        <v>136</v>
      </c>
      <c r="C9" s="64"/>
      <c r="D9" s="64"/>
      <c r="E9" s="64"/>
      <c r="F9" s="65"/>
      <c r="G9" s="66">
        <f>G6+(G7*(G8-G6))</f>
        <v>8.5225999999999996E-2</v>
      </c>
    </row>
    <row r="10" spans="2:7">
      <c r="B10" s="63" t="s">
        <v>137</v>
      </c>
      <c r="C10" s="64"/>
      <c r="D10" s="64"/>
      <c r="E10" s="64"/>
      <c r="F10" s="65"/>
      <c r="G10" s="101">
        <v>25007682</v>
      </c>
    </row>
    <row r="11" spans="2:7">
      <c r="B11" s="63" t="s">
        <v>138</v>
      </c>
      <c r="C11" s="64"/>
      <c r="D11" s="64"/>
      <c r="E11" s="64"/>
      <c r="F11" s="65"/>
      <c r="G11" s="100">
        <v>3.33</v>
      </c>
    </row>
    <row r="12" spans="2:7">
      <c r="B12" s="63" t="s">
        <v>139</v>
      </c>
      <c r="C12" s="64"/>
      <c r="D12" s="64"/>
      <c r="E12" s="64"/>
      <c r="F12" s="65"/>
      <c r="G12" s="102">
        <f>G11*G10</f>
        <v>83275581.060000002</v>
      </c>
    </row>
    <row r="13" spans="2:7">
      <c r="B13" s="63" t="s">
        <v>140</v>
      </c>
      <c r="C13" s="64"/>
      <c r="D13" s="64"/>
      <c r="E13" s="64"/>
      <c r="F13" s="65"/>
      <c r="G13" s="66">
        <v>0.14000000000000001</v>
      </c>
    </row>
    <row r="14" spans="2:7">
      <c r="B14" s="63" t="s">
        <v>141</v>
      </c>
      <c r="C14" s="64"/>
      <c r="D14" s="64"/>
      <c r="E14" s="64"/>
      <c r="F14" s="65"/>
      <c r="G14" s="66">
        <v>0.26500000000000001</v>
      </c>
    </row>
    <row r="15" spans="2:7">
      <c r="B15" s="63" t="s">
        <v>142</v>
      </c>
      <c r="C15" s="64"/>
      <c r="D15" s="64"/>
      <c r="E15" s="64"/>
      <c r="F15" s="65"/>
      <c r="G15" s="66">
        <v>7.4999999999999997E-2</v>
      </c>
    </row>
    <row r="16" spans="2:7">
      <c r="B16" s="68" t="s">
        <v>143</v>
      </c>
      <c r="C16" s="69"/>
      <c r="D16" s="69"/>
      <c r="E16" s="69"/>
      <c r="F16" s="70"/>
      <c r="G16" s="71">
        <v>9410000</v>
      </c>
    </row>
    <row r="17" spans="2:7">
      <c r="B17" s="72" t="s">
        <v>144</v>
      </c>
      <c r="C17" s="73"/>
      <c r="D17" s="73"/>
      <c r="E17" s="73"/>
      <c r="F17" s="74"/>
      <c r="G17" s="75">
        <f>G12/(G12+G16)</f>
        <v>0.898473960109195</v>
      </c>
    </row>
    <row r="18" spans="2:7">
      <c r="B18" s="68" t="s">
        <v>145</v>
      </c>
      <c r="C18" s="69"/>
      <c r="D18" s="69"/>
      <c r="E18" s="69"/>
      <c r="F18" s="70"/>
      <c r="G18" s="76">
        <f>G16/(G16+G12)</f>
        <v>0.101526039890805</v>
      </c>
    </row>
    <row r="19" spans="2:7">
      <c r="B19" s="77" t="s">
        <v>146</v>
      </c>
      <c r="C19" s="78"/>
      <c r="D19" s="78"/>
      <c r="E19" s="78"/>
      <c r="F19" s="79"/>
      <c r="G19" s="80">
        <f>(G17*G9)+(G18*G15)</f>
        <v>8.4187794716076625E-2</v>
      </c>
    </row>
    <row r="21" spans="2:7">
      <c r="B21" s="77" t="s">
        <v>266</v>
      </c>
      <c r="C21" s="78"/>
      <c r="D21" s="78"/>
      <c r="E21" s="78"/>
      <c r="F21" s="79"/>
      <c r="G21" s="80">
        <f>G19+5%</f>
        <v>0.13418779471607661</v>
      </c>
    </row>
  </sheetData>
  <printOptions gridLines="1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52D-CC4A-4357-8E74-EC58ED1C80AA}">
  <dimension ref="B2:K37"/>
  <sheetViews>
    <sheetView workbookViewId="0">
      <selection activeCell="B13" sqref="B13"/>
    </sheetView>
  </sheetViews>
  <sheetFormatPr defaultColWidth="8.83203125" defaultRowHeight="16"/>
  <cols>
    <col min="2" max="2" width="23.5" bestFit="1" customWidth="1"/>
    <col min="3" max="3" width="10" bestFit="1" customWidth="1"/>
  </cols>
  <sheetData>
    <row r="2" spans="2:11">
      <c r="C2" s="18" t="s">
        <v>222</v>
      </c>
      <c r="D2" s="18"/>
      <c r="E2" s="18"/>
      <c r="F2" s="19" t="s">
        <v>77</v>
      </c>
      <c r="G2" s="19"/>
      <c r="H2" s="19"/>
      <c r="I2" s="19"/>
      <c r="J2" s="19"/>
    </row>
    <row r="3" spans="2:11">
      <c r="B3" s="14" t="s">
        <v>207</v>
      </c>
      <c r="C3" s="15">
        <v>44926</v>
      </c>
      <c r="D3" s="16">
        <f t="shared" ref="D3:J3" si="0">EOMONTH(C3,12)</f>
        <v>45291</v>
      </c>
      <c r="E3" s="16">
        <f t="shared" si="0"/>
        <v>45657</v>
      </c>
      <c r="F3" s="15">
        <f t="shared" si="0"/>
        <v>46022</v>
      </c>
      <c r="G3" s="15">
        <f t="shared" si="0"/>
        <v>46387</v>
      </c>
      <c r="H3" s="15">
        <f t="shared" si="0"/>
        <v>46752</v>
      </c>
      <c r="I3" s="15">
        <f t="shared" si="0"/>
        <v>47118</v>
      </c>
      <c r="J3" s="15">
        <f t="shared" si="0"/>
        <v>47483</v>
      </c>
    </row>
    <row r="4" spans="2:11">
      <c r="D4" s="128"/>
    </row>
    <row r="5" spans="2:11">
      <c r="B5" s="53" t="s">
        <v>209</v>
      </c>
      <c r="C5" s="126">
        <f>'OperatingModel '!C3</f>
        <v>84734</v>
      </c>
      <c r="D5" s="141">
        <f>'OperatingModel '!D3</f>
        <v>93519</v>
      </c>
      <c r="E5" s="126">
        <f>'OperatingModel '!E3</f>
        <v>100648.91665601326</v>
      </c>
      <c r="F5" s="126">
        <f>'OperatingModel '!F3</f>
        <v>109582.40532851397</v>
      </c>
      <c r="G5" s="126">
        <f>'OperatingModel '!G3</f>
        <v>120166.66876265153</v>
      </c>
      <c r="H5" s="126">
        <f>'OperatingModel '!H3</f>
        <v>131949.60338187337</v>
      </c>
      <c r="I5" s="126">
        <f>'OperatingModel '!I3</f>
        <v>145126.15827630399</v>
      </c>
      <c r="J5" s="126">
        <f>'OperatingModel '!J3</f>
        <v>159908.76532774194</v>
      </c>
      <c r="K5" s="32"/>
    </row>
    <row r="6" spans="2:11">
      <c r="B6" t="s">
        <v>208</v>
      </c>
      <c r="C6" s="141">
        <f>'OperatingModel '!C49</f>
        <v>-544</v>
      </c>
      <c r="D6" s="126">
        <f>'OperatingModel '!D49</f>
        <v>-332</v>
      </c>
      <c r="E6" s="126">
        <f>E5*E11</f>
        <v>458.73736171725108</v>
      </c>
      <c r="F6" s="126">
        <f t="shared" ref="F6:J6" si="1">F5*F11</f>
        <v>499.45439236905673</v>
      </c>
      <c r="G6" s="126">
        <f t="shared" si="1"/>
        <v>547.69531979096701</v>
      </c>
      <c r="H6" s="126">
        <f t="shared" si="1"/>
        <v>601.39954751735411</v>
      </c>
      <c r="I6" s="126">
        <f t="shared" si="1"/>
        <v>661.45561398702239</v>
      </c>
      <c r="J6" s="126">
        <f t="shared" si="1"/>
        <v>728.83174065966182</v>
      </c>
    </row>
    <row r="7" spans="2:11">
      <c r="B7" t="s">
        <v>210</v>
      </c>
      <c r="C7" s="141"/>
      <c r="D7" s="96">
        <f>D24</f>
        <v>-352</v>
      </c>
      <c r="E7" s="5">
        <f t="shared" ref="E7:I7" si="2">SUM(E13:E19)</f>
        <v>-367.29124539057506</v>
      </c>
      <c r="F7" s="5">
        <f t="shared" si="2"/>
        <v>-383.93972513621026</v>
      </c>
      <c r="G7" s="5">
        <f t="shared" si="2"/>
        <v>-402.19623579590916</v>
      </c>
      <c r="H7" s="5">
        <f t="shared" si="2"/>
        <v>-422.24288737982096</v>
      </c>
      <c r="I7" s="5">
        <f t="shared" si="2"/>
        <v>-444.29140784605505</v>
      </c>
      <c r="J7" s="5">
        <f>SUM(J13:J19)</f>
        <v>-468.58579920137709</v>
      </c>
    </row>
    <row r="8" spans="2:11">
      <c r="D8" s="128"/>
    </row>
    <row r="9" spans="2:11">
      <c r="B9" s="130" t="s">
        <v>219</v>
      </c>
      <c r="C9" s="131">
        <v>30</v>
      </c>
      <c r="D9" s="128"/>
    </row>
    <row r="10" spans="2:11">
      <c r="D10" s="128"/>
    </row>
    <row r="11" spans="2:11">
      <c r="B11" t="s">
        <v>211</v>
      </c>
      <c r="C11" s="142">
        <f>-C6/D5</f>
        <v>5.8169997540606722E-3</v>
      </c>
      <c r="D11" s="26">
        <f>-D6/E5</f>
        <v>3.2985948684840088E-3</v>
      </c>
      <c r="E11" s="25">
        <f>AVERAGE(C11:D11)</f>
        <v>4.5577973112723401E-3</v>
      </c>
      <c r="F11" s="25">
        <f>E11</f>
        <v>4.5577973112723401E-3</v>
      </c>
      <c r="G11" s="26">
        <f>AVERAGE($C$11:$D$11)</f>
        <v>4.5577973112723401E-3</v>
      </c>
      <c r="H11" s="26">
        <f>AVERAGE($C$11:$D$11)</f>
        <v>4.5577973112723401E-3</v>
      </c>
      <c r="I11" s="26">
        <f>AVERAGE($C$11:$D$11)</f>
        <v>4.5577973112723401E-3</v>
      </c>
      <c r="J11" s="26">
        <f>AVERAGE($C$11:$D$11)</f>
        <v>4.5577973112723401E-3</v>
      </c>
    </row>
    <row r="13" spans="2:11">
      <c r="B13" t="s">
        <v>212</v>
      </c>
      <c r="C13" s="133" t="s">
        <v>6</v>
      </c>
      <c r="D13" s="134">
        <f>(-D7)/-1</f>
        <v>-352</v>
      </c>
      <c r="E13" s="134">
        <f>D13</f>
        <v>-352</v>
      </c>
      <c r="F13" s="134">
        <f t="shared" ref="F13:J13" si="3">E13</f>
        <v>-352</v>
      </c>
      <c r="G13" s="134">
        <f t="shared" si="3"/>
        <v>-352</v>
      </c>
      <c r="H13" s="134">
        <f t="shared" si="3"/>
        <v>-352</v>
      </c>
      <c r="I13" s="134">
        <f t="shared" si="3"/>
        <v>-352</v>
      </c>
      <c r="J13" s="134">
        <f t="shared" si="3"/>
        <v>-352</v>
      </c>
    </row>
    <row r="14" spans="2:11">
      <c r="B14" s="135">
        <v>1</v>
      </c>
      <c r="E14" s="132">
        <f>-E6/$C$9</f>
        <v>-15.291245390575035</v>
      </c>
      <c r="F14" s="138">
        <f>E14</f>
        <v>-15.291245390575035</v>
      </c>
      <c r="G14" s="138">
        <f>F14</f>
        <v>-15.291245390575035</v>
      </c>
      <c r="H14" s="138">
        <f>G14</f>
        <v>-15.291245390575035</v>
      </c>
      <c r="I14" s="138">
        <f>H14</f>
        <v>-15.291245390575035</v>
      </c>
      <c r="J14" s="139">
        <f>I14</f>
        <v>-15.291245390575035</v>
      </c>
    </row>
    <row r="15" spans="2:11">
      <c r="B15" s="135">
        <f>B14+1</f>
        <v>2</v>
      </c>
      <c r="E15" s="127"/>
      <c r="F15" s="136">
        <f>-F6/$C$9</f>
        <v>-16.648479745635225</v>
      </c>
      <c r="G15" s="136">
        <f>F15</f>
        <v>-16.648479745635225</v>
      </c>
      <c r="H15" s="136">
        <f>G15</f>
        <v>-16.648479745635225</v>
      </c>
      <c r="I15" s="136">
        <f>H15</f>
        <v>-16.648479745635225</v>
      </c>
      <c r="J15" s="140">
        <f>I15</f>
        <v>-16.648479745635225</v>
      </c>
    </row>
    <row r="16" spans="2:11">
      <c r="B16" s="135">
        <f>B15+1</f>
        <v>3</v>
      </c>
      <c r="E16" s="127"/>
      <c r="G16" s="136">
        <f>-G6/$C$9</f>
        <v>-18.2565106596989</v>
      </c>
      <c r="H16" s="136">
        <f>G16</f>
        <v>-18.2565106596989</v>
      </c>
      <c r="I16" s="136">
        <f>H16</f>
        <v>-18.2565106596989</v>
      </c>
      <c r="J16" s="140">
        <f>I16</f>
        <v>-18.2565106596989</v>
      </c>
    </row>
    <row r="17" spans="2:11">
      <c r="B17" s="135">
        <f>B16+1</f>
        <v>4</v>
      </c>
      <c r="E17" s="127"/>
      <c r="H17" s="136">
        <f>-H6/$C$9</f>
        <v>-20.046651583911803</v>
      </c>
      <c r="I17" s="136">
        <f>H17</f>
        <v>-20.046651583911803</v>
      </c>
      <c r="J17" s="140">
        <f>I17</f>
        <v>-20.046651583911803</v>
      </c>
    </row>
    <row r="18" spans="2:11">
      <c r="B18" s="135">
        <f>B17+1</f>
        <v>5</v>
      </c>
      <c r="E18" s="127"/>
      <c r="I18" s="136">
        <f>-I6/$C$9</f>
        <v>-22.048520466234081</v>
      </c>
      <c r="J18" s="140">
        <f>I18</f>
        <v>-22.048520466234081</v>
      </c>
    </row>
    <row r="19" spans="2:11">
      <c r="B19" s="92" t="s">
        <v>220</v>
      </c>
      <c r="E19" s="52"/>
      <c r="F19" s="45"/>
      <c r="G19" s="45"/>
      <c r="H19" s="45"/>
      <c r="I19" s="45"/>
      <c r="J19" s="137">
        <f>-J6/C9</f>
        <v>-24.294391355322059</v>
      </c>
    </row>
    <row r="22" spans="2:11">
      <c r="B22" s="53" t="s">
        <v>213</v>
      </c>
      <c r="D22" s="125">
        <f>C25</f>
        <v>660</v>
      </c>
      <c r="E22" s="125">
        <f t="shared" ref="E22:J22" si="4">D25</f>
        <v>640</v>
      </c>
      <c r="F22" s="125">
        <f t="shared" si="4"/>
        <v>731.44611632667602</v>
      </c>
      <c r="G22" s="125">
        <f t="shared" si="4"/>
        <v>846.9607835595225</v>
      </c>
      <c r="H22" s="125">
        <f t="shared" si="4"/>
        <v>992.45986755458034</v>
      </c>
      <c r="I22" s="125">
        <f t="shared" si="4"/>
        <v>1171.6165276921136</v>
      </c>
      <c r="J22" s="125">
        <f t="shared" si="4"/>
        <v>1388.7807338330808</v>
      </c>
    </row>
    <row r="23" spans="2:11">
      <c r="B23" t="s">
        <v>214</v>
      </c>
      <c r="D23" s="125">
        <f>-'OperatingModel '!D49</f>
        <v>332</v>
      </c>
      <c r="E23" s="125">
        <f>-'OperatingModel '!E49</f>
        <v>458.73736171725108</v>
      </c>
      <c r="F23" s="125">
        <f>-'OperatingModel '!F49</f>
        <v>499.45439236905673</v>
      </c>
      <c r="G23" s="125">
        <f>-'OperatingModel '!G49</f>
        <v>547.69531979096701</v>
      </c>
      <c r="H23" s="125">
        <f>-'OperatingModel '!H49</f>
        <v>601.39954751735411</v>
      </c>
      <c r="I23" s="125">
        <f>-'OperatingModel '!I49</f>
        <v>661.45561398702239</v>
      </c>
      <c r="J23" s="125">
        <f>-'OperatingModel '!J49</f>
        <v>728.83174065966182</v>
      </c>
    </row>
    <row r="24" spans="2:11">
      <c r="B24" t="s">
        <v>215</v>
      </c>
      <c r="D24" s="125">
        <f>-(D22+D23-D25)</f>
        <v>-352</v>
      </c>
      <c r="E24" s="125">
        <f t="shared" ref="E24:J24" si="5">-(E22+E23-E25)</f>
        <v>-367.29124539057511</v>
      </c>
      <c r="F24" s="125">
        <f t="shared" si="5"/>
        <v>-383.9397251362102</v>
      </c>
      <c r="G24" s="125">
        <f t="shared" si="5"/>
        <v>-402.19623579590916</v>
      </c>
      <c r="H24" s="125">
        <f t="shared" si="5"/>
        <v>-422.24288737982101</v>
      </c>
      <c r="I24" s="125">
        <f t="shared" si="5"/>
        <v>-444.29140784605511</v>
      </c>
      <c r="J24" s="125">
        <f t="shared" si="5"/>
        <v>-468.58579920137709</v>
      </c>
    </row>
    <row r="25" spans="2:11">
      <c r="B25" s="53" t="s">
        <v>216</v>
      </c>
      <c r="C25">
        <f>'OperatingModel '!C81</f>
        <v>660</v>
      </c>
      <c r="D25" s="125">
        <f>'OperatingModel '!D81</f>
        <v>640</v>
      </c>
      <c r="E25" s="125">
        <f>'OperatingModel '!E81</f>
        <v>731.44611632667602</v>
      </c>
      <c r="F25" s="125">
        <f>'OperatingModel '!F81</f>
        <v>846.9607835595225</v>
      </c>
      <c r="G25" s="125">
        <f>'OperatingModel '!G81</f>
        <v>992.45986755458034</v>
      </c>
      <c r="H25" s="125">
        <f>'OperatingModel '!H81</f>
        <v>1171.6165276921136</v>
      </c>
      <c r="I25" s="125">
        <f>'OperatingModel '!I81</f>
        <v>1388.7807338330808</v>
      </c>
      <c r="J25" s="125">
        <f>'OperatingModel '!J81</f>
        <v>1649.0266752913658</v>
      </c>
    </row>
    <row r="26" spans="2:11">
      <c r="D26" s="125"/>
      <c r="K26" s="150"/>
    </row>
    <row r="27" spans="2:11">
      <c r="B27" t="s">
        <v>217</v>
      </c>
      <c r="D27" s="3">
        <f>'OperatingModel '!D25</f>
        <v>13067</v>
      </c>
      <c r="E27" s="3">
        <f>D27*($E$24/$D$24)</f>
        <v>13634.644044087059</v>
      </c>
      <c r="F27" s="3">
        <f t="shared" ref="F27:J27" si="6">E27*($E$24/$D$24)</f>
        <v>14226.947134687282</v>
      </c>
      <c r="G27" s="3">
        <f t="shared" si="6"/>
        <v>14844.980486378312</v>
      </c>
      <c r="H27" s="3">
        <f t="shared" si="6"/>
        <v>15489.86184841101</v>
      </c>
      <c r="I27" s="3">
        <f t="shared" si="6"/>
        <v>16162.757526223964</v>
      </c>
      <c r="J27" s="3">
        <f t="shared" si="6"/>
        <v>16864.88449077469</v>
      </c>
    </row>
    <row r="28" spans="2:11">
      <c r="B28" s="129" t="s">
        <v>218</v>
      </c>
      <c r="D28" s="3">
        <f>D27+D24</f>
        <v>12715</v>
      </c>
      <c r="E28" s="3">
        <f t="shared" ref="E28" si="7">E27+E24</f>
        <v>13267.352798696484</v>
      </c>
      <c r="F28" s="3">
        <f t="shared" ref="F28" si="8">F27+F24</f>
        <v>13843.007409551072</v>
      </c>
      <c r="G28" s="3">
        <f t="shared" ref="G28" si="9">G27+G24</f>
        <v>14442.784250582403</v>
      </c>
      <c r="H28" s="3">
        <f t="shared" ref="H28" si="10">H27+H24</f>
        <v>15067.618961031189</v>
      </c>
      <c r="I28" s="3">
        <f t="shared" ref="I28" si="11">I27+I24</f>
        <v>15718.46611837791</v>
      </c>
      <c r="J28" s="3">
        <f t="shared" ref="J28" si="12">J27+J24</f>
        <v>16396.298691573313</v>
      </c>
    </row>
    <row r="29" spans="2:11">
      <c r="B29" s="129"/>
      <c r="D29" s="25">
        <v>0.96</v>
      </c>
      <c r="E29" s="26">
        <v>0.96499999999999997</v>
      </c>
      <c r="F29" s="26">
        <f t="shared" ref="F29:J29" si="13">E29+$K$29</f>
        <v>0.96499999999999997</v>
      </c>
      <c r="G29" s="26">
        <f t="shared" si="13"/>
        <v>0.96499999999999997</v>
      </c>
      <c r="H29" s="26">
        <f t="shared" si="13"/>
        <v>0.96499999999999997</v>
      </c>
      <c r="I29" s="26">
        <f t="shared" si="13"/>
        <v>0.96499999999999997</v>
      </c>
      <c r="J29" s="26">
        <f t="shared" si="13"/>
        <v>0.96499999999999997</v>
      </c>
      <c r="K29" s="151"/>
    </row>
    <row r="32" spans="2:11">
      <c r="D32" s="53" t="s">
        <v>222</v>
      </c>
      <c r="H32" s="53" t="s">
        <v>223</v>
      </c>
    </row>
    <row r="33" spans="2:11">
      <c r="B33" s="14" t="s">
        <v>203</v>
      </c>
      <c r="C33" s="15">
        <v>44926</v>
      </c>
      <c r="D33" s="16">
        <f t="shared" ref="D33" si="14">EOMONTH(C33,12)</f>
        <v>45291</v>
      </c>
      <c r="E33" s="16">
        <f t="shared" ref="E33" si="15">EOMONTH(D33,12)</f>
        <v>45657</v>
      </c>
      <c r="F33" s="15">
        <f t="shared" ref="F33" si="16">EOMONTH(E33,12)</f>
        <v>46022</v>
      </c>
      <c r="G33" s="15">
        <f t="shared" ref="G33" si="17">EOMONTH(F33,12)</f>
        <v>46387</v>
      </c>
      <c r="H33" s="15">
        <f t="shared" ref="H33" si="18">EOMONTH(G33,12)</f>
        <v>46752</v>
      </c>
      <c r="I33" s="15">
        <f t="shared" ref="I33" si="19">EOMONTH(H33,12)</f>
        <v>47118</v>
      </c>
      <c r="J33" s="15">
        <f t="shared" ref="J33" si="20">EOMONTH(I33,12)</f>
        <v>47483</v>
      </c>
      <c r="K33" s="150" t="s">
        <v>98</v>
      </c>
    </row>
    <row r="34" spans="2:11">
      <c r="D34" s="128"/>
    </row>
    <row r="35" spans="2:11">
      <c r="B35" s="53" t="s">
        <v>209</v>
      </c>
      <c r="C35" s="96">
        <f t="shared" ref="C35:J35" si="21">C5</f>
        <v>84734</v>
      </c>
      <c r="D35" s="141">
        <f t="shared" si="21"/>
        <v>93519</v>
      </c>
      <c r="E35" s="126">
        <f t="shared" si="21"/>
        <v>100648.91665601326</v>
      </c>
      <c r="F35" s="126">
        <f t="shared" si="21"/>
        <v>109582.40532851397</v>
      </c>
      <c r="G35" s="126">
        <f t="shared" si="21"/>
        <v>120166.66876265153</v>
      </c>
      <c r="H35" s="126">
        <f t="shared" si="21"/>
        <v>131949.60338187337</v>
      </c>
      <c r="I35" s="126">
        <f t="shared" si="21"/>
        <v>145126.15827630399</v>
      </c>
      <c r="J35" s="126">
        <f t="shared" si="21"/>
        <v>159908.76532774194</v>
      </c>
    </row>
    <row r="36" spans="2:11">
      <c r="B36" t="s">
        <v>221</v>
      </c>
      <c r="C36" s="143">
        <f>'OperatingModel '!C50</f>
        <v>-7377</v>
      </c>
      <c r="D36" s="141">
        <f>'OperatingModel '!D50</f>
        <v>-9391</v>
      </c>
      <c r="E36" s="126">
        <f>E35*E37*-1</f>
        <v>-9434.7680957944067</v>
      </c>
      <c r="F36" s="126">
        <f t="shared" ref="F36:J36" si="22">F35*F37*-1</f>
        <v>-9724.2758518158826</v>
      </c>
      <c r="G36" s="126">
        <f t="shared" si="22"/>
        <v>-10062.683593405778</v>
      </c>
      <c r="H36" s="126">
        <f t="shared" si="22"/>
        <v>-10389.631339105985</v>
      </c>
      <c r="I36" s="126">
        <f t="shared" si="22"/>
        <v>-10701.51444821288</v>
      </c>
      <c r="J36" s="126">
        <f t="shared" si="22"/>
        <v>-10992.031054663212</v>
      </c>
    </row>
    <row r="37" spans="2:11">
      <c r="B37" t="s">
        <v>224</v>
      </c>
      <c r="C37" s="144">
        <f>C36/C35*-1</f>
        <v>8.7060684022942383E-2</v>
      </c>
      <c r="D37" s="145">
        <f>D36/D35*-1</f>
        <v>0.10041809685732311</v>
      </c>
      <c r="E37" s="25">
        <f>AVERAGE(C37:D37)</f>
        <v>9.3739390440132742E-2</v>
      </c>
      <c r="F37" s="25">
        <f>E37+$K$37</f>
        <v>8.8739390440132737E-2</v>
      </c>
      <c r="G37" s="25">
        <f t="shared" ref="G37:J37" si="23">F37+$K$37</f>
        <v>8.3739390440132733E-2</v>
      </c>
      <c r="H37" s="25">
        <f t="shared" si="23"/>
        <v>7.8739390440132728E-2</v>
      </c>
      <c r="I37" s="25">
        <f t="shared" si="23"/>
        <v>7.3739390440132724E-2</v>
      </c>
      <c r="J37" s="25">
        <f t="shared" si="23"/>
        <v>6.8739390440132719E-2</v>
      </c>
      <c r="K37" s="151">
        <v>-5.0000000000000001E-3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ECE8-9FE3-40E2-A2CC-F193E097D434}">
  <dimension ref="B2:Q45"/>
  <sheetViews>
    <sheetView topLeftCell="A8" workbookViewId="0">
      <selection activeCell="L32" sqref="L32"/>
    </sheetView>
  </sheetViews>
  <sheetFormatPr defaultColWidth="8.83203125" defaultRowHeight="16"/>
  <cols>
    <col min="2" max="2" width="22.6640625" bestFit="1" customWidth="1"/>
    <col min="3" max="9" width="10.6640625" bestFit="1" customWidth="1"/>
    <col min="10" max="11" width="4.83203125" bestFit="1" customWidth="1"/>
    <col min="12" max="12" width="29.5" bestFit="1" customWidth="1"/>
    <col min="13" max="13" width="18" bestFit="1" customWidth="1"/>
    <col min="14" max="14" width="21.5" bestFit="1" customWidth="1"/>
    <col min="16" max="16" width="21.6640625" bestFit="1" customWidth="1"/>
    <col min="17" max="17" width="9.1640625" bestFit="1" customWidth="1"/>
  </cols>
  <sheetData>
    <row r="2" spans="2:17">
      <c r="B2" s="92"/>
      <c r="C2" s="92"/>
      <c r="D2" s="92"/>
      <c r="E2" s="92"/>
      <c r="F2" s="92"/>
      <c r="G2" s="92"/>
      <c r="H2" s="92"/>
      <c r="I2" s="92"/>
      <c r="P2" s="83"/>
    </row>
    <row r="3" spans="2:17">
      <c r="B3" s="297" t="s">
        <v>276</v>
      </c>
      <c r="C3" s="241">
        <v>2023</v>
      </c>
      <c r="D3" s="241">
        <v>2024</v>
      </c>
      <c r="E3" s="241">
        <v>2025</v>
      </c>
      <c r="F3" s="241">
        <v>2026</v>
      </c>
      <c r="G3" s="241">
        <v>2027</v>
      </c>
      <c r="H3" s="241">
        <v>2028</v>
      </c>
      <c r="I3" s="241">
        <v>2029</v>
      </c>
      <c r="L3" s="242" t="s">
        <v>173</v>
      </c>
      <c r="M3" s="243" t="s">
        <v>163</v>
      </c>
      <c r="N3" s="243" t="s">
        <v>168</v>
      </c>
      <c r="P3" s="244" t="s">
        <v>167</v>
      </c>
    </row>
    <row r="4" spans="2:17">
      <c r="B4" s="92"/>
      <c r="C4" s="94" t="s">
        <v>151</v>
      </c>
      <c r="D4" s="94" t="s">
        <v>156</v>
      </c>
      <c r="E4" s="94" t="s">
        <v>156</v>
      </c>
      <c r="F4" s="94" t="s">
        <v>156</v>
      </c>
      <c r="G4" s="94" t="s">
        <v>156</v>
      </c>
      <c r="H4" s="94" t="s">
        <v>156</v>
      </c>
      <c r="I4" s="94" t="s">
        <v>156</v>
      </c>
      <c r="L4" s="83" t="s">
        <v>277</v>
      </c>
      <c r="M4" s="25">
        <f>AVERAGE('Product mix'!E8:E11)</f>
        <v>0.48899999999999999</v>
      </c>
      <c r="N4" s="9">
        <f>M4*'OperatingModel '!D3</f>
        <v>45730.790999999997</v>
      </c>
      <c r="P4" s="85" t="s">
        <v>169</v>
      </c>
    </row>
    <row r="5" spans="2:17">
      <c r="B5" s="92" t="s">
        <v>179</v>
      </c>
      <c r="C5" s="93">
        <f>'Revenue Build'!J14</f>
        <v>9287.9</v>
      </c>
      <c r="D5" s="93">
        <f>'Revenue Build'!O14</f>
        <v>11170.308419034089</v>
      </c>
      <c r="E5" s="93">
        <f>'Revenue Build'!T14</f>
        <v>13588.638370738638</v>
      </c>
      <c r="F5" s="93">
        <f>'Revenue Build'!Y14</f>
        <v>16893.507728693181</v>
      </c>
      <c r="G5" s="93">
        <f>'Revenue Build'!AD14</f>
        <v>20848.803502840907</v>
      </c>
      <c r="H5" s="93">
        <f>'Revenue Build'!AI14</f>
        <v>25595.158431818181</v>
      </c>
      <c r="I5" s="93">
        <f>'Revenue Build'!AN14</f>
        <v>31273.20525426136</v>
      </c>
      <c r="L5" s="83" t="s">
        <v>164</v>
      </c>
      <c r="M5" s="25">
        <f>AVERAGE('Product mix'!F8:F11)</f>
        <v>0.2235</v>
      </c>
      <c r="N5" s="9">
        <f>M5*'OperatingModel '!D3</f>
        <v>20901.496500000001</v>
      </c>
      <c r="P5" s="83" t="s">
        <v>188</v>
      </c>
      <c r="Q5" s="10" t="s">
        <v>199</v>
      </c>
    </row>
    <row r="6" spans="2:17">
      <c r="B6" s="92" t="s">
        <v>197</v>
      </c>
      <c r="C6" s="93">
        <f t="shared" ref="C6:I6" si="0">C5-C8</f>
        <v>1857.58</v>
      </c>
      <c r="D6" s="93">
        <f t="shared" si="0"/>
        <v>2234.0616838068181</v>
      </c>
      <c r="E6" s="93">
        <f t="shared" si="0"/>
        <v>2717.7276741477272</v>
      </c>
      <c r="F6" s="93">
        <f t="shared" si="0"/>
        <v>3378.7015457386351</v>
      </c>
      <c r="G6" s="93">
        <f t="shared" si="0"/>
        <v>4169.7607005681821</v>
      </c>
      <c r="H6" s="93">
        <f t="shared" si="0"/>
        <v>5119.0316863636363</v>
      </c>
      <c r="I6" s="93">
        <f t="shared" si="0"/>
        <v>6254.6410508522713</v>
      </c>
      <c r="L6" s="83" t="s">
        <v>165</v>
      </c>
      <c r="M6" s="26">
        <f>AVERAGE('Product mix'!G8:G11)</f>
        <v>0.18775000000000003</v>
      </c>
      <c r="N6" s="9">
        <f>M6*'OperatingModel '!D3</f>
        <v>17558.192250000004</v>
      </c>
      <c r="P6" s="293" t="s">
        <v>171</v>
      </c>
      <c r="Q6" s="294">
        <v>0.8</v>
      </c>
    </row>
    <row r="7" spans="2:17">
      <c r="B7" s="92"/>
      <c r="C7" s="93"/>
      <c r="D7" s="93"/>
      <c r="E7" s="93"/>
      <c r="F7" s="93"/>
      <c r="G7" s="93"/>
      <c r="H7" s="93"/>
      <c r="I7" s="93"/>
      <c r="L7" s="83" t="s">
        <v>278</v>
      </c>
      <c r="M7" s="26">
        <f>AVERAGE('Product mix'!H8:H11)</f>
        <v>9.9249999999999991E-2</v>
      </c>
      <c r="N7" s="9">
        <f>M7*'OperatingModel '!D3</f>
        <v>9281.7607499999995</v>
      </c>
      <c r="P7" s="83"/>
      <c r="Q7" s="10"/>
    </row>
    <row r="8" spans="2:17">
      <c r="B8" s="95" t="s">
        <v>198</v>
      </c>
      <c r="C8" s="93">
        <f t="shared" ref="C8:I8" si="1">C5*$M$13</f>
        <v>7430.32</v>
      </c>
      <c r="D8" s="93">
        <f t="shared" si="1"/>
        <v>8936.2467352272706</v>
      </c>
      <c r="E8" s="93">
        <f t="shared" si="1"/>
        <v>10870.91069659091</v>
      </c>
      <c r="F8" s="93">
        <f t="shared" si="1"/>
        <v>13514.806182954546</v>
      </c>
      <c r="G8" s="93">
        <f t="shared" si="1"/>
        <v>16679.042802272725</v>
      </c>
      <c r="H8" s="93">
        <f t="shared" si="1"/>
        <v>20476.126745454545</v>
      </c>
      <c r="I8" s="93">
        <f t="shared" si="1"/>
        <v>25018.564203409089</v>
      </c>
      <c r="L8" s="83"/>
      <c r="P8" s="84" t="s">
        <v>170</v>
      </c>
    </row>
    <row r="9" spans="2:17">
      <c r="B9" s="92"/>
      <c r="C9" s="92"/>
      <c r="D9" s="92"/>
      <c r="E9" s="92"/>
      <c r="F9" s="92"/>
      <c r="G9" s="92"/>
      <c r="H9" s="92"/>
      <c r="I9" s="92"/>
      <c r="L9" s="83"/>
      <c r="P9" s="83" t="s">
        <v>188</v>
      </c>
      <c r="Q9" s="10" t="s">
        <v>200</v>
      </c>
    </row>
    <row r="10" spans="2:17">
      <c r="B10" s="240" t="s">
        <v>192</v>
      </c>
      <c r="C10" s="240">
        <v>2023</v>
      </c>
      <c r="D10" s="240">
        <v>2024</v>
      </c>
      <c r="E10" s="240">
        <v>2025</v>
      </c>
      <c r="F10" s="240">
        <v>2026</v>
      </c>
      <c r="G10" s="240">
        <v>2027</v>
      </c>
      <c r="H10" s="240">
        <v>2028</v>
      </c>
      <c r="I10" s="240">
        <v>2029</v>
      </c>
      <c r="M10" s="86" t="s">
        <v>166</v>
      </c>
      <c r="P10" s="293" t="s">
        <v>171</v>
      </c>
      <c r="Q10" s="294">
        <v>0.7</v>
      </c>
    </row>
    <row r="11" spans="2:17">
      <c r="B11" s="92"/>
      <c r="C11" s="92" t="s">
        <v>151</v>
      </c>
      <c r="D11" s="92" t="s">
        <v>156</v>
      </c>
      <c r="E11" s="92" t="s">
        <v>156</v>
      </c>
      <c r="F11" s="92" t="s">
        <v>156</v>
      </c>
      <c r="G11" s="92" t="s">
        <v>156</v>
      </c>
      <c r="H11" s="92" t="s">
        <v>156</v>
      </c>
      <c r="I11" s="92" t="s">
        <v>156</v>
      </c>
      <c r="L11" s="83" t="s">
        <v>164</v>
      </c>
      <c r="M11" s="26">
        <f>Q14</f>
        <v>0.75</v>
      </c>
      <c r="N11" s="9">
        <f>M11*N5</f>
        <v>15676.122375000001</v>
      </c>
    </row>
    <row r="12" spans="2:17">
      <c r="B12" s="92" t="s">
        <v>179</v>
      </c>
      <c r="C12" s="93">
        <f>'Revenue Build'!J25</f>
        <v>17549.3</v>
      </c>
      <c r="D12" s="93">
        <f>'Revenue Build'!O25</f>
        <v>19112.341570312499</v>
      </c>
      <c r="E12" s="93">
        <f>'Revenue Build'!T25</f>
        <v>21281.469624441972</v>
      </c>
      <c r="F12" s="93">
        <f>'Revenue Build'!Y25</f>
        <v>23923.036940625007</v>
      </c>
      <c r="G12" s="93">
        <f>'Revenue Build'!AD25</f>
        <v>26799.758617299114</v>
      </c>
      <c r="H12" s="93">
        <f>'Revenue Build'!AI25</f>
        <v>29942.988569196437</v>
      </c>
      <c r="I12" s="93">
        <f>'Revenue Build'!AN25</f>
        <v>33399.757668415186</v>
      </c>
      <c r="L12" s="83" t="s">
        <v>165</v>
      </c>
      <c r="M12" s="26">
        <f>Q10</f>
        <v>0.7</v>
      </c>
      <c r="N12" s="9">
        <f>M12*N6</f>
        <v>12290.734575000002</v>
      </c>
      <c r="P12" s="298" t="s">
        <v>283</v>
      </c>
    </row>
    <row r="13" spans="2:17">
      <c r="B13" s="92" t="s">
        <v>197</v>
      </c>
      <c r="C13" s="93">
        <f t="shared" ref="C13:I13" si="2">C12-C15</f>
        <v>5264.7900000000009</v>
      </c>
      <c r="D13" s="93">
        <f t="shared" si="2"/>
        <v>5733.7024710937512</v>
      </c>
      <c r="E13" s="93">
        <f t="shared" si="2"/>
        <v>6384.440887332592</v>
      </c>
      <c r="F13" s="93">
        <f t="shared" si="2"/>
        <v>7176.9110821875038</v>
      </c>
      <c r="G13" s="93">
        <f t="shared" si="2"/>
        <v>8039.9275851897364</v>
      </c>
      <c r="H13" s="93">
        <f t="shared" si="2"/>
        <v>8982.8965707589341</v>
      </c>
      <c r="I13" s="93">
        <f t="shared" si="2"/>
        <v>10019.927300524556</v>
      </c>
      <c r="L13" s="83" t="s">
        <v>278</v>
      </c>
      <c r="M13" s="26">
        <f>Q6</f>
        <v>0.8</v>
      </c>
      <c r="N13" s="9">
        <f>M13*N7</f>
        <v>7425.4085999999998</v>
      </c>
      <c r="P13" t="s">
        <v>188</v>
      </c>
      <c r="Q13" t="s">
        <v>172</v>
      </c>
    </row>
    <row r="14" spans="2:17">
      <c r="B14" s="92"/>
      <c r="C14" s="92"/>
      <c r="D14" s="92"/>
      <c r="E14" s="92"/>
      <c r="F14" s="92"/>
      <c r="G14" s="92"/>
      <c r="H14" s="92"/>
      <c r="I14" s="92"/>
      <c r="L14" s="83" t="s">
        <v>277</v>
      </c>
      <c r="M14" s="25">
        <f>N14/N4</f>
        <v>0.31809496691189959</v>
      </c>
      <c r="N14" s="9">
        <f>N16-N13-N12-N11</f>
        <v>14546.734449999994</v>
      </c>
      <c r="P14" s="235" t="s">
        <v>171</v>
      </c>
      <c r="Q14" s="294">
        <v>0.75</v>
      </c>
    </row>
    <row r="15" spans="2:17">
      <c r="B15" s="95" t="s">
        <v>198</v>
      </c>
      <c r="C15" s="93">
        <f t="shared" ref="C15:I15" si="3">C12*$M$12</f>
        <v>12284.509999999998</v>
      </c>
      <c r="D15" s="93">
        <f t="shared" si="3"/>
        <v>13378.639099218748</v>
      </c>
      <c r="E15" s="93">
        <f t="shared" si="3"/>
        <v>14897.02873710938</v>
      </c>
      <c r="F15" s="93">
        <f t="shared" si="3"/>
        <v>16746.125858437503</v>
      </c>
      <c r="G15" s="93">
        <f t="shared" si="3"/>
        <v>18759.831032109378</v>
      </c>
      <c r="H15" s="93">
        <f t="shared" si="3"/>
        <v>20960.091998437503</v>
      </c>
      <c r="I15" s="93">
        <f t="shared" si="3"/>
        <v>23379.83036789063</v>
      </c>
      <c r="L15" s="83"/>
    </row>
    <row r="16" spans="2:17">
      <c r="B16" s="92"/>
      <c r="C16" s="92"/>
      <c r="D16" s="92"/>
      <c r="E16" s="92"/>
      <c r="F16" s="92"/>
      <c r="G16" s="92"/>
      <c r="H16" s="92"/>
      <c r="I16" s="92"/>
      <c r="L16" s="87" t="s">
        <v>174</v>
      </c>
      <c r="N16" s="32">
        <f>'OperatingModel '!D5</f>
        <v>49939</v>
      </c>
    </row>
    <row r="17" spans="2:13">
      <c r="B17" s="297" t="s">
        <v>277</v>
      </c>
      <c r="C17" s="240">
        <v>2023</v>
      </c>
      <c r="D17" s="240">
        <v>2024</v>
      </c>
      <c r="E17" s="240">
        <v>2025</v>
      </c>
      <c r="F17" s="240">
        <v>2026</v>
      </c>
      <c r="G17" s="240">
        <v>2027</v>
      </c>
      <c r="H17" s="240">
        <v>2028</v>
      </c>
      <c r="I17" s="240">
        <v>2029</v>
      </c>
    </row>
    <row r="18" spans="2:13">
      <c r="B18" s="92"/>
      <c r="C18" s="92" t="s">
        <v>151</v>
      </c>
      <c r="D18" s="92" t="s">
        <v>156</v>
      </c>
      <c r="E18" s="92" t="s">
        <v>156</v>
      </c>
      <c r="F18" s="92" t="s">
        <v>156</v>
      </c>
      <c r="G18" s="92" t="s">
        <v>156</v>
      </c>
      <c r="H18" s="92" t="s">
        <v>156</v>
      </c>
      <c r="I18" s="92" t="s">
        <v>156</v>
      </c>
    </row>
    <row r="19" spans="2:13">
      <c r="B19" s="92" t="s">
        <v>179</v>
      </c>
      <c r="C19" s="93">
        <f>'Revenue Build'!J30</f>
        <v>45772.2</v>
      </c>
      <c r="D19" s="93">
        <f>'Revenue Build'!O30</f>
        <v>49673.333333333336</v>
      </c>
      <c r="E19" s="93">
        <f>'Revenue Build'!T30</f>
        <v>52157.000000000007</v>
      </c>
      <c r="F19" s="93">
        <f>'Revenue Build'!Y30</f>
        <v>54764.850000000013</v>
      </c>
      <c r="G19" s="93">
        <f>'Revenue Build'!AD30</f>
        <v>57503.092500000013</v>
      </c>
      <c r="H19" s="93">
        <f>'Revenue Build'!AI30</f>
        <v>60378.247125000016</v>
      </c>
      <c r="I19" s="93">
        <f>'Revenue Build'!AN30</f>
        <v>63397.159481250019</v>
      </c>
      <c r="L19" s="238" t="s">
        <v>280</v>
      </c>
    </row>
    <row r="20" spans="2:13">
      <c r="B20" s="92" t="s">
        <v>197</v>
      </c>
      <c r="C20" s="93">
        <f t="shared" ref="C20:I20" si="4">C19-C22</f>
        <v>31212.293555515149</v>
      </c>
      <c r="D20" s="93">
        <f t="shared" si="4"/>
        <v>33872.496010262912</v>
      </c>
      <c r="E20" s="93">
        <f t="shared" si="4"/>
        <v>35566.120810776061</v>
      </c>
      <c r="F20" s="93">
        <f t="shared" si="4"/>
        <v>37344.426851314864</v>
      </c>
      <c r="G20" s="93">
        <f t="shared" si="4"/>
        <v>39211.64819388061</v>
      </c>
      <c r="H20" s="93">
        <f t="shared" si="4"/>
        <v>41172.230603574644</v>
      </c>
      <c r="I20" s="93">
        <f t="shared" si="4"/>
        <v>43230.842133753373</v>
      </c>
      <c r="L20" s="53" t="s">
        <v>194</v>
      </c>
      <c r="M20" s="9">
        <f>-1*(C27+C20+C13+C6)</f>
        <v>-43570.413555515152</v>
      </c>
    </row>
    <row r="21" spans="2:13">
      <c r="B21" s="92"/>
      <c r="C21" s="92"/>
      <c r="D21" s="92"/>
      <c r="E21" s="92"/>
      <c r="F21" s="92"/>
      <c r="G21" s="92"/>
      <c r="H21" s="92"/>
      <c r="I21" s="92"/>
      <c r="L21" s="53" t="s">
        <v>195</v>
      </c>
      <c r="M21" s="98">
        <f>'OperatingModel '!D4</f>
        <v>-43580</v>
      </c>
    </row>
    <row r="22" spans="2:13">
      <c r="B22" s="95" t="s">
        <v>198</v>
      </c>
      <c r="C22" s="93">
        <f t="shared" ref="C22:I22" si="5">$M$14*C19</f>
        <v>14559.90644448485</v>
      </c>
      <c r="D22" s="93">
        <f t="shared" si="5"/>
        <v>15800.837323070426</v>
      </c>
      <c r="E22" s="93">
        <f t="shared" si="5"/>
        <v>16590.87918922395</v>
      </c>
      <c r="F22" s="93">
        <f t="shared" si="5"/>
        <v>17420.423148685149</v>
      </c>
      <c r="G22" s="93">
        <f t="shared" si="5"/>
        <v>18291.444306119407</v>
      </c>
      <c r="H22" s="93">
        <f t="shared" si="5"/>
        <v>19206.016521425376</v>
      </c>
      <c r="I22" s="93">
        <f t="shared" si="5"/>
        <v>20166.317347496646</v>
      </c>
    </row>
    <row r="23" spans="2:13">
      <c r="B23" s="92"/>
      <c r="C23" s="92"/>
      <c r="D23" s="92"/>
      <c r="E23" s="92"/>
      <c r="F23" s="92"/>
      <c r="G23" s="92"/>
      <c r="H23" s="92"/>
      <c r="I23" s="92"/>
      <c r="L23" t="s">
        <v>279</v>
      </c>
      <c r="M23" s="99">
        <f>M20/M21-1</f>
        <v>-2.1997348519620097E-4</v>
      </c>
    </row>
    <row r="24" spans="2:13">
      <c r="B24" s="240" t="s">
        <v>193</v>
      </c>
      <c r="C24" s="240">
        <v>2023</v>
      </c>
      <c r="D24" s="240">
        <v>2024</v>
      </c>
      <c r="E24" s="240">
        <v>2025</v>
      </c>
      <c r="F24" s="240">
        <v>2026</v>
      </c>
      <c r="G24" s="240">
        <v>2027</v>
      </c>
      <c r="H24" s="240">
        <v>2028</v>
      </c>
      <c r="I24" s="240">
        <v>2029</v>
      </c>
    </row>
    <row r="25" spans="2:13">
      <c r="B25" s="92"/>
      <c r="C25" s="92" t="s">
        <v>151</v>
      </c>
      <c r="D25" s="92" t="s">
        <v>156</v>
      </c>
      <c r="E25" s="92" t="s">
        <v>156</v>
      </c>
      <c r="F25" s="92" t="s">
        <v>156</v>
      </c>
      <c r="G25" s="92" t="s">
        <v>156</v>
      </c>
      <c r="H25" s="92" t="s">
        <v>156</v>
      </c>
      <c r="I25" s="92" t="s">
        <v>156</v>
      </c>
    </row>
    <row r="26" spans="2:13">
      <c r="B26" s="92" t="s">
        <v>179</v>
      </c>
      <c r="C26" s="93">
        <f>'Revenue Build'!J35</f>
        <v>20943</v>
      </c>
      <c r="D26" s="93">
        <f>'Revenue Build'!O35</f>
        <v>20692.933333333334</v>
      </c>
      <c r="E26" s="93">
        <f>'Revenue Build'!T35</f>
        <v>22555.297333333336</v>
      </c>
      <c r="F26" s="93">
        <f>'Revenue Build'!Y35</f>
        <v>24585.274093333337</v>
      </c>
      <c r="G26" s="93">
        <f>'Revenue Build'!AD35</f>
        <v>26797.94876173334</v>
      </c>
      <c r="H26" s="93">
        <f>'Revenue Build'!AI35</f>
        <v>29209.764150289342</v>
      </c>
      <c r="I26" s="93">
        <f>'Revenue Build'!AN35</f>
        <v>31838.642923815387</v>
      </c>
      <c r="L26" s="235" t="s">
        <v>281</v>
      </c>
      <c r="M26" s="9">
        <f>C29+C22+C15+C8</f>
        <v>49981.986444484843</v>
      </c>
    </row>
    <row r="27" spans="2:13">
      <c r="B27" s="92" t="s">
        <v>197</v>
      </c>
      <c r="C27" s="93">
        <f t="shared" ref="C27:I27" si="6">C26-C29</f>
        <v>5235.75</v>
      </c>
      <c r="D27" s="93">
        <f t="shared" si="6"/>
        <v>5173.2333333333336</v>
      </c>
      <c r="E27" s="93">
        <f t="shared" si="6"/>
        <v>5638.8243333333339</v>
      </c>
      <c r="F27" s="93">
        <f t="shared" si="6"/>
        <v>6146.3185233333352</v>
      </c>
      <c r="G27" s="93">
        <f t="shared" si="6"/>
        <v>6699.487190433334</v>
      </c>
      <c r="H27" s="93">
        <f t="shared" si="6"/>
        <v>7302.4410375723346</v>
      </c>
      <c r="I27" s="93">
        <f t="shared" si="6"/>
        <v>7959.6607309538449</v>
      </c>
      <c r="L27" s="235" t="s">
        <v>282</v>
      </c>
      <c r="M27" s="98">
        <f>'OperatingModel '!D5</f>
        <v>49939</v>
      </c>
    </row>
    <row r="28" spans="2:13">
      <c r="B28" s="92"/>
      <c r="C28" s="94"/>
      <c r="D28" s="94"/>
      <c r="E28" s="94"/>
      <c r="F28" s="94"/>
      <c r="G28" s="94"/>
      <c r="H28" s="94"/>
      <c r="I28" s="94"/>
    </row>
    <row r="29" spans="2:13">
      <c r="B29" s="95" t="s">
        <v>198</v>
      </c>
      <c r="C29" s="93">
        <f t="shared" ref="C29:I29" si="7">C26*$M$11</f>
        <v>15707.25</v>
      </c>
      <c r="D29" s="93">
        <f t="shared" si="7"/>
        <v>15519.7</v>
      </c>
      <c r="E29" s="93">
        <f t="shared" si="7"/>
        <v>16916.473000000002</v>
      </c>
      <c r="F29" s="93">
        <f t="shared" si="7"/>
        <v>18438.955570000002</v>
      </c>
      <c r="G29" s="93">
        <f t="shared" si="7"/>
        <v>20098.461571300006</v>
      </c>
      <c r="H29" s="93">
        <f t="shared" si="7"/>
        <v>21907.323112717007</v>
      </c>
      <c r="I29" s="93">
        <f t="shared" si="7"/>
        <v>23878.982192861542</v>
      </c>
      <c r="L29" t="s">
        <v>196</v>
      </c>
      <c r="M29" s="99">
        <f>M26/M27-1</f>
        <v>8.6077904012582529E-4</v>
      </c>
    </row>
    <row r="30" spans="2:13">
      <c r="B30" s="92"/>
      <c r="C30" s="92"/>
      <c r="D30" s="92"/>
      <c r="E30" s="92"/>
      <c r="F30" s="92"/>
      <c r="G30" s="92"/>
      <c r="H30" s="92"/>
      <c r="I30" s="92"/>
    </row>
    <row r="31" spans="2:13">
      <c r="B31" s="240" t="s">
        <v>189</v>
      </c>
      <c r="C31" s="240">
        <v>2023</v>
      </c>
      <c r="D31" s="240">
        <v>2024</v>
      </c>
      <c r="E31" s="240">
        <v>2025</v>
      </c>
      <c r="F31" s="240">
        <v>2026</v>
      </c>
      <c r="G31" s="240">
        <v>2027</v>
      </c>
      <c r="H31" s="240">
        <v>2028</v>
      </c>
      <c r="I31" s="240">
        <v>2029</v>
      </c>
    </row>
    <row r="32" spans="2:13">
      <c r="B32" s="92"/>
      <c r="C32" s="92" t="s">
        <v>151</v>
      </c>
      <c r="D32" s="92" t="s">
        <v>156</v>
      </c>
      <c r="E32" s="92" t="s">
        <v>156</v>
      </c>
      <c r="F32" s="92" t="s">
        <v>156</v>
      </c>
      <c r="G32" s="92" t="s">
        <v>156</v>
      </c>
      <c r="H32" s="92" t="s">
        <v>156</v>
      </c>
      <c r="I32" s="92" t="s">
        <v>156</v>
      </c>
    </row>
    <row r="33" spans="2:9">
      <c r="B33" s="97" t="s">
        <v>190</v>
      </c>
      <c r="C33" s="96">
        <f>'OperatingModel '!D4</f>
        <v>-43580</v>
      </c>
      <c r="D33" s="96">
        <f t="shared" ref="D33:I33" si="8">(D27+D20+D13+D6)*-1</f>
        <v>-47013.49349849682</v>
      </c>
      <c r="E33" s="96">
        <f t="shared" si="8"/>
        <v>-50307.113705589712</v>
      </c>
      <c r="F33" s="96">
        <f t="shared" si="8"/>
        <v>-54046.358002574336</v>
      </c>
      <c r="G33" s="96">
        <f t="shared" si="8"/>
        <v>-58120.823670071855</v>
      </c>
      <c r="H33" s="96">
        <f t="shared" si="8"/>
        <v>-62576.59989826956</v>
      </c>
      <c r="I33" s="96">
        <f t="shared" si="8"/>
        <v>-67465.071216084049</v>
      </c>
    </row>
    <row r="34" spans="2:9">
      <c r="B34" s="97" t="s">
        <v>191</v>
      </c>
      <c r="C34" s="96">
        <f>'OperatingModel '!D5</f>
        <v>49939</v>
      </c>
      <c r="D34" s="96">
        <f t="shared" ref="D34:I34" si="9">D29+D22+D15+D8</f>
        <v>53635.423157516452</v>
      </c>
      <c r="E34" s="96">
        <f t="shared" si="9"/>
        <v>59275.29162292424</v>
      </c>
      <c r="F34" s="96">
        <f t="shared" si="9"/>
        <v>66120.310760077205</v>
      </c>
      <c r="G34" s="96">
        <f t="shared" si="9"/>
        <v>73828.779711801515</v>
      </c>
      <c r="H34" s="96">
        <f t="shared" si="9"/>
        <v>82549.558378034431</v>
      </c>
      <c r="I34" s="96">
        <f t="shared" si="9"/>
        <v>92443.694111657896</v>
      </c>
    </row>
    <row r="35" spans="2:9">
      <c r="B35" s="92"/>
      <c r="C35" s="93"/>
      <c r="D35" s="92"/>
      <c r="E35" s="92"/>
      <c r="F35" s="92"/>
      <c r="G35" s="92"/>
      <c r="H35" s="92"/>
      <c r="I35" s="92"/>
    </row>
    <row r="36" spans="2:9">
      <c r="B36" s="92"/>
      <c r="C36" s="93"/>
      <c r="D36" s="92"/>
      <c r="E36" s="92"/>
      <c r="F36" s="92"/>
      <c r="G36" s="92"/>
      <c r="H36" s="92"/>
      <c r="I36" s="92"/>
    </row>
    <row r="43" spans="2:9">
      <c r="E43" s="9"/>
    </row>
    <row r="45" spans="2:9">
      <c r="G45" s="9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30FF-92F3-413A-9168-92ACF67AE3C9}">
  <dimension ref="A1:D8"/>
  <sheetViews>
    <sheetView workbookViewId="0">
      <selection activeCell="C9" sqref="C9"/>
    </sheetView>
  </sheetViews>
  <sheetFormatPr defaultColWidth="8.83203125" defaultRowHeight="16"/>
  <cols>
    <col min="2" max="2" width="26.83203125" bestFit="1" customWidth="1"/>
    <col min="4" max="4" width="9.1640625" bestFit="1" customWidth="1"/>
    <col min="6" max="6" width="30" bestFit="1" customWidth="1"/>
    <col min="7" max="7" width="9.33203125" bestFit="1" customWidth="1"/>
    <col min="8" max="8" width="10" bestFit="1" customWidth="1"/>
  </cols>
  <sheetData>
    <row r="1" spans="1:4">
      <c r="A1" t="s">
        <v>201</v>
      </c>
    </row>
    <row r="3" spans="1:4">
      <c r="B3" s="238" t="s">
        <v>206</v>
      </c>
    </row>
    <row r="4" spans="1:4">
      <c r="B4" s="148" t="s">
        <v>229</v>
      </c>
    </row>
    <row r="5" spans="1:4">
      <c r="B5" t="s">
        <v>225</v>
      </c>
      <c r="D5" s="147">
        <v>4.8499999999999996</v>
      </c>
    </row>
    <row r="6" spans="1:4">
      <c r="B6" t="s">
        <v>226</v>
      </c>
      <c r="D6" s="25">
        <v>0.875</v>
      </c>
    </row>
    <row r="7" spans="1:4">
      <c r="B7" t="s">
        <v>227</v>
      </c>
      <c r="D7" s="136">
        <v>10000</v>
      </c>
    </row>
    <row r="8" spans="1:4">
      <c r="B8" t="s">
        <v>228</v>
      </c>
      <c r="D8" s="3">
        <f>D7/(D6*D5)</f>
        <v>2356.4064801178206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0462-0715-4CC8-964F-46470BCD0214}">
  <dimension ref="B2:K21"/>
  <sheetViews>
    <sheetView showGridLines="0" workbookViewId="0">
      <selection activeCell="B5" sqref="B5"/>
    </sheetView>
  </sheetViews>
  <sheetFormatPr defaultColWidth="8.83203125" defaultRowHeight="16"/>
  <cols>
    <col min="2" max="2" width="47.1640625" bestFit="1" customWidth="1"/>
    <col min="3" max="3" width="14.6640625" bestFit="1" customWidth="1"/>
    <col min="4" max="4" width="10" bestFit="1" customWidth="1"/>
    <col min="5" max="10" width="12" bestFit="1" customWidth="1"/>
  </cols>
  <sheetData>
    <row r="2" spans="2:11">
      <c r="B2" s="245" t="s">
        <v>237</v>
      </c>
      <c r="C2" s="245" t="s">
        <v>205</v>
      </c>
      <c r="D2" s="246">
        <v>2023</v>
      </c>
      <c r="E2" s="247">
        <v>2024</v>
      </c>
      <c r="F2" s="248">
        <v>2025</v>
      </c>
      <c r="G2" s="248">
        <v>2026</v>
      </c>
      <c r="H2" s="248">
        <v>2027</v>
      </c>
      <c r="I2" s="248">
        <v>2028</v>
      </c>
      <c r="J2" s="248">
        <v>2029</v>
      </c>
    </row>
    <row r="3" spans="2:11">
      <c r="B3" s="128" t="s">
        <v>240</v>
      </c>
      <c r="C3" s="39">
        <f>'OperatingModel '!C11</f>
        <v>-828</v>
      </c>
      <c r="D3" s="39">
        <f>'OperatingModel '!D11</f>
        <v>-777</v>
      </c>
      <c r="E3" s="39">
        <f>'OperatingModel '!E11</f>
        <v>-1601.0616598644556</v>
      </c>
      <c r="F3" s="39">
        <f>'OperatingModel '!F11</f>
        <v>314.21801649327244</v>
      </c>
      <c r="G3" s="39">
        <f>'OperatingModel '!G11</f>
        <v>2666.0157473383952</v>
      </c>
      <c r="H3" s="39">
        <f>'OperatingModel '!H11</f>
        <v>5471.9741053972539</v>
      </c>
      <c r="I3" s="39">
        <f>'OperatingModel '!I11</f>
        <v>8817.8687776309525</v>
      </c>
      <c r="J3" s="39">
        <f>'OperatingModel '!J11</f>
        <v>12800.753521609717</v>
      </c>
    </row>
    <row r="4" spans="2:11">
      <c r="B4" s="128" t="s">
        <v>238</v>
      </c>
      <c r="C4" s="39">
        <f>'OperatingModel '!C25</f>
        <v>8454</v>
      </c>
      <c r="D4" s="39">
        <f>'OperatingModel '!D25</f>
        <v>13067</v>
      </c>
      <c r="E4" s="39">
        <f>'OperatingModel '!E25</f>
        <v>13634.644044087059</v>
      </c>
      <c r="F4" s="39">
        <f>'OperatingModel '!F25</f>
        <v>14226.947134687282</v>
      </c>
      <c r="G4" s="39">
        <f>'OperatingModel '!G25</f>
        <v>14844.980486378312</v>
      </c>
      <c r="H4" s="39">
        <f>'OperatingModel '!H25</f>
        <v>15489.86184841101</v>
      </c>
      <c r="I4" s="39">
        <f>'OperatingModel '!I25</f>
        <v>16162.757526223964</v>
      </c>
      <c r="J4" s="39">
        <f>'OperatingModel '!J25</f>
        <v>16864.88449077469</v>
      </c>
    </row>
    <row r="5" spans="2:11">
      <c r="B5" s="168" t="s">
        <v>239</v>
      </c>
      <c r="C5" s="167">
        <f>C3+C4</f>
        <v>7626</v>
      </c>
      <c r="D5" s="167">
        <f t="shared" ref="D5:J5" si="0">D3+D4</f>
        <v>12290</v>
      </c>
      <c r="E5" s="167">
        <f t="shared" si="0"/>
        <v>12033.582384222604</v>
      </c>
      <c r="F5" s="167">
        <f t="shared" si="0"/>
        <v>14541.165151180554</v>
      </c>
      <c r="G5" s="167">
        <f t="shared" si="0"/>
        <v>17510.996233716709</v>
      </c>
      <c r="H5" s="167">
        <f t="shared" si="0"/>
        <v>20961.835953808266</v>
      </c>
      <c r="I5" s="167">
        <f t="shared" si="0"/>
        <v>24980.626303854915</v>
      </c>
      <c r="J5" s="167">
        <f t="shared" si="0"/>
        <v>29665.638012384406</v>
      </c>
    </row>
    <row r="6" spans="2:11">
      <c r="B6" s="128" t="s">
        <v>179</v>
      </c>
      <c r="C6" s="32">
        <f>'OperatingModel '!C3</f>
        <v>84734</v>
      </c>
      <c r="D6" s="32">
        <f>'OperatingModel '!D3</f>
        <v>93519</v>
      </c>
      <c r="E6" s="32">
        <f>'OperatingModel '!E3</f>
        <v>100648.91665601326</v>
      </c>
      <c r="F6" s="32">
        <f>'OperatingModel '!F3</f>
        <v>109582.40532851397</v>
      </c>
      <c r="G6" s="32">
        <f>'OperatingModel '!G3</f>
        <v>120166.66876265153</v>
      </c>
      <c r="H6" s="32">
        <f>'OperatingModel '!H3</f>
        <v>131949.60338187337</v>
      </c>
      <c r="I6" s="32">
        <f>'OperatingModel '!I3</f>
        <v>145126.15827630399</v>
      </c>
      <c r="J6" s="32">
        <f>'OperatingModel '!J3</f>
        <v>159908.76532774194</v>
      </c>
    </row>
    <row r="7" spans="2:11">
      <c r="B7" s="169" t="s">
        <v>241</v>
      </c>
      <c r="C7" s="170">
        <f>C5/C6</f>
        <v>8.9999291901715961E-2</v>
      </c>
      <c r="D7" s="170">
        <f>D5/D6</f>
        <v>0.13141714517905453</v>
      </c>
      <c r="E7" s="170">
        <f t="shared" ref="E7:J7" si="1">E5/E6</f>
        <v>0.11955997922312121</v>
      </c>
      <c r="F7" s="170">
        <f t="shared" si="1"/>
        <v>0.13269616694019454</v>
      </c>
      <c r="G7" s="170">
        <f t="shared" si="1"/>
        <v>0.14572257360569543</v>
      </c>
      <c r="H7" s="170">
        <f t="shared" si="1"/>
        <v>0.15886244002676483</v>
      </c>
      <c r="I7" s="170">
        <f t="shared" si="1"/>
        <v>0.17213041811728105</v>
      </c>
      <c r="J7" s="170">
        <f t="shared" si="1"/>
        <v>0.18551602191151326</v>
      </c>
    </row>
    <row r="10" spans="2:11">
      <c r="K10" s="32">
        <f t="shared" ref="K10" si="2">K6*K9</f>
        <v>0</v>
      </c>
    </row>
    <row r="15" spans="2:11">
      <c r="B15" s="313"/>
    </row>
    <row r="16" spans="2:11">
      <c r="B16" s="314"/>
    </row>
    <row r="17" spans="2:9">
      <c r="B17" s="314"/>
    </row>
    <row r="18" spans="2:9">
      <c r="B18" s="314"/>
    </row>
    <row r="21" spans="2:9">
      <c r="C21" s="32"/>
      <c r="D21" s="32"/>
      <c r="E21" s="32"/>
      <c r="F21" s="32"/>
      <c r="G21" s="32"/>
      <c r="H21" s="32"/>
      <c r="I21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5C2A-BE9C-8D42-AB06-FCDA57620765}">
  <dimension ref="C1:Z469"/>
  <sheetViews>
    <sheetView showGridLines="0" topLeftCell="A8" zoomScaleNormal="100" workbookViewId="0">
      <selection activeCell="F16" sqref="F16"/>
    </sheetView>
  </sheetViews>
  <sheetFormatPr defaultColWidth="11.5" defaultRowHeight="16"/>
  <cols>
    <col min="2" max="2" width="18.5" bestFit="1" customWidth="1"/>
    <col min="3" max="3" width="19.33203125" bestFit="1" customWidth="1"/>
    <col min="4" max="4" width="19.6640625" bestFit="1" customWidth="1"/>
    <col min="5" max="5" width="21.83203125" bestFit="1" customWidth="1"/>
    <col min="6" max="6" width="24.83203125" bestFit="1" customWidth="1"/>
    <col min="7" max="7" width="19.83203125" bestFit="1" customWidth="1"/>
    <col min="8" max="8" width="19.5" bestFit="1" customWidth="1"/>
    <col min="9" max="9" width="20.1640625" bestFit="1" customWidth="1"/>
    <col min="10" max="10" width="19.5" bestFit="1" customWidth="1"/>
    <col min="11" max="11" width="20.83203125" bestFit="1" customWidth="1"/>
    <col min="12" max="12" width="8.1640625" bestFit="1" customWidth="1"/>
    <col min="22" max="22" width="18.33203125" bestFit="1" customWidth="1"/>
  </cols>
  <sheetData>
    <row r="1" spans="3:13">
      <c r="E1" s="105"/>
    </row>
    <row r="7" spans="3:13">
      <c r="C7" s="238" t="s">
        <v>245</v>
      </c>
      <c r="D7" s="238" t="s">
        <v>162</v>
      </c>
      <c r="E7" s="238" t="s">
        <v>119</v>
      </c>
      <c r="F7" s="238" t="s">
        <v>118</v>
      </c>
      <c r="G7" s="238" t="s">
        <v>120</v>
      </c>
      <c r="H7" s="238" t="s">
        <v>121</v>
      </c>
      <c r="I7" s="238" t="s">
        <v>122</v>
      </c>
    </row>
    <row r="8" spans="3:13">
      <c r="C8" s="253" t="s">
        <v>123</v>
      </c>
      <c r="D8" s="253">
        <f>22.9*1000</f>
        <v>22900</v>
      </c>
      <c r="E8" s="258">
        <v>0.48299999999999998</v>
      </c>
      <c r="F8" s="258">
        <v>0.23200000000000001</v>
      </c>
      <c r="G8" s="258">
        <v>0.19700000000000001</v>
      </c>
      <c r="H8" s="258">
        <v>8.7999999999999995E-2</v>
      </c>
      <c r="I8" s="258">
        <v>0.53500000000000003</v>
      </c>
    </row>
    <row r="9" spans="3:13">
      <c r="C9" s="253" t="s">
        <v>124</v>
      </c>
      <c r="D9" s="253">
        <f>24.7*1000</f>
        <v>24700</v>
      </c>
      <c r="E9" s="258">
        <v>0.49299999999999999</v>
      </c>
      <c r="F9" s="258">
        <v>0.23400000000000001</v>
      </c>
      <c r="G9" s="258">
        <v>0.17599999999999999</v>
      </c>
      <c r="H9" s="258">
        <v>9.7000000000000003E-2</v>
      </c>
      <c r="I9" s="258">
        <v>0.55900000000000005</v>
      </c>
    </row>
    <row r="10" spans="3:13">
      <c r="C10" s="253" t="s">
        <v>125</v>
      </c>
      <c r="D10" s="253">
        <f>22.6*1000</f>
        <v>22600</v>
      </c>
      <c r="E10" s="258">
        <v>0.497</v>
      </c>
      <c r="F10" s="258">
        <v>0.20599999999999999</v>
      </c>
      <c r="G10" s="258">
        <v>0.193</v>
      </c>
      <c r="H10" s="258">
        <v>0.105</v>
      </c>
      <c r="I10" s="258">
        <v>0.52500000000000002</v>
      </c>
    </row>
    <row r="11" spans="3:13" ht="18">
      <c r="C11" s="253" t="s">
        <v>126</v>
      </c>
      <c r="D11" s="253">
        <f>23.4*1000</f>
        <v>23400</v>
      </c>
      <c r="E11" s="258">
        <v>0.48299999999999998</v>
      </c>
      <c r="F11" s="258">
        <v>0.222</v>
      </c>
      <c r="G11" s="258">
        <v>0.185</v>
      </c>
      <c r="H11" s="258">
        <v>0.107</v>
      </c>
      <c r="I11" s="258">
        <v>0.51500000000000001</v>
      </c>
      <c r="L11" s="57"/>
    </row>
    <row r="12" spans="3:13" ht="18">
      <c r="C12" s="253" t="s">
        <v>127</v>
      </c>
      <c r="D12" s="253">
        <f>23.8*1000</f>
        <v>23800</v>
      </c>
      <c r="E12" s="258">
        <v>0.50700000000000001</v>
      </c>
      <c r="F12" s="258">
        <v>0.20599999999999999</v>
      </c>
      <c r="G12" s="258">
        <v>0.19900000000000001</v>
      </c>
      <c r="H12" s="258">
        <v>0.10199999999999999</v>
      </c>
      <c r="I12" s="258">
        <v>0.499</v>
      </c>
      <c r="L12" s="57"/>
    </row>
    <row r="13" spans="3:13" ht="18">
      <c r="C13" s="253" t="s">
        <v>128</v>
      </c>
      <c r="D13" s="253">
        <f>24.9*1000</f>
        <v>24900</v>
      </c>
      <c r="E13" s="258">
        <v>0.496</v>
      </c>
      <c r="F13" s="258">
        <v>0.19700000000000001</v>
      </c>
      <c r="G13" s="258">
        <v>0.19700000000000001</v>
      </c>
      <c r="H13" s="258">
        <v>0.108</v>
      </c>
      <c r="I13" s="258">
        <v>0.499</v>
      </c>
      <c r="L13" s="57"/>
    </row>
    <row r="14" spans="3:13" ht="18">
      <c r="C14" s="253" t="s">
        <v>129</v>
      </c>
      <c r="D14" s="253">
        <f>26.2*1000</f>
        <v>26200</v>
      </c>
      <c r="E14" s="258">
        <v>0.49</v>
      </c>
      <c r="F14" s="258">
        <v>0.218</v>
      </c>
      <c r="G14" s="258">
        <v>0.17299999999999999</v>
      </c>
      <c r="H14" s="258">
        <v>0.11899999999999999</v>
      </c>
      <c r="I14" s="258">
        <v>0.53500000000000003</v>
      </c>
      <c r="L14" s="57"/>
    </row>
    <row r="15" spans="3:13" ht="18">
      <c r="C15" s="253"/>
      <c r="D15" s="253"/>
      <c r="E15" s="253"/>
      <c r="F15" s="258"/>
      <c r="G15" s="258"/>
      <c r="H15" s="258"/>
      <c r="I15" s="258"/>
      <c r="J15" s="26"/>
      <c r="M15" s="57"/>
    </row>
    <row r="16" spans="3:13" ht="18">
      <c r="C16" s="260" t="s">
        <v>246</v>
      </c>
      <c r="D16" s="260" t="s">
        <v>231</v>
      </c>
      <c r="E16" s="260" t="s">
        <v>284</v>
      </c>
      <c r="F16" s="260" t="s">
        <v>298</v>
      </c>
      <c r="G16" s="261" t="s">
        <v>232</v>
      </c>
      <c r="H16" s="262" t="s">
        <v>233</v>
      </c>
      <c r="I16" s="253"/>
      <c r="M16" s="57"/>
    </row>
    <row r="17" spans="3:13" ht="18">
      <c r="C17" s="250"/>
      <c r="D17" s="250"/>
      <c r="E17" s="250"/>
      <c r="F17" s="250"/>
      <c r="G17" s="251"/>
      <c r="H17" s="252"/>
      <c r="I17" s="253"/>
      <c r="M17" s="57"/>
    </row>
    <row r="18" spans="3:13">
      <c r="C18" s="253">
        <v>2023</v>
      </c>
      <c r="D18" s="299">
        <f>'Revenue Build'!J14</f>
        <v>9287.9</v>
      </c>
      <c r="E18" s="300">
        <f>'Revenue Build'!J25</f>
        <v>17549.3</v>
      </c>
      <c r="F18" s="300">
        <f>'Revenue Build'!J30</f>
        <v>45772.2</v>
      </c>
      <c r="G18" s="301">
        <f>'Revenue Build'!J35</f>
        <v>20943</v>
      </c>
      <c r="H18" s="301">
        <f>SUM(D18:G18)</f>
        <v>93552.4</v>
      </c>
      <c r="I18" s="253"/>
    </row>
    <row r="19" spans="3:13">
      <c r="C19" s="253">
        <v>2024</v>
      </c>
      <c r="D19" s="299">
        <f>'Revenue Build'!O14</f>
        <v>11170.308419034089</v>
      </c>
      <c r="E19" s="300">
        <f>'Revenue Build'!O25</f>
        <v>19112.341570312499</v>
      </c>
      <c r="F19" s="300">
        <f>'Revenue Build'!O30</f>
        <v>49673.333333333336</v>
      </c>
      <c r="G19" s="300">
        <f>'Revenue Build'!O35</f>
        <v>20692.933333333334</v>
      </c>
      <c r="H19" s="301">
        <f t="shared" ref="H19:H24" si="0">SUM(D19:G19)</f>
        <v>100648.91665601326</v>
      </c>
      <c r="I19" s="253"/>
    </row>
    <row r="20" spans="3:13">
      <c r="C20" s="253">
        <v>2025</v>
      </c>
      <c r="D20" s="299">
        <f>'Revenue Build'!T14</f>
        <v>13588.638370738638</v>
      </c>
      <c r="E20" s="300">
        <f>'Revenue Build'!T25</f>
        <v>21281.469624441972</v>
      </c>
      <c r="F20" s="300">
        <f>'Revenue Build'!T30</f>
        <v>52157.000000000007</v>
      </c>
      <c r="G20" s="302">
        <f>'Revenue Build'!T35</f>
        <v>22555.297333333336</v>
      </c>
      <c r="H20" s="301">
        <f t="shared" si="0"/>
        <v>109582.40532851395</v>
      </c>
      <c r="I20" s="253"/>
    </row>
    <row r="21" spans="3:13">
      <c r="C21" s="253">
        <v>2026</v>
      </c>
      <c r="D21" s="299">
        <f>'Revenue Build'!Y14</f>
        <v>16893.507728693181</v>
      </c>
      <c r="E21" s="300">
        <f>'Revenue Build'!Y25</f>
        <v>23923.036940625007</v>
      </c>
      <c r="F21" s="300">
        <f>'Revenue Build'!Y30</f>
        <v>54764.850000000013</v>
      </c>
      <c r="G21" s="302">
        <f>'Revenue Build'!Y35</f>
        <v>24585.274093333337</v>
      </c>
      <c r="H21" s="301">
        <f t="shared" si="0"/>
        <v>120166.66876265153</v>
      </c>
      <c r="I21" s="253"/>
    </row>
    <row r="22" spans="3:13">
      <c r="C22" s="253">
        <v>2027</v>
      </c>
      <c r="D22" s="299">
        <f>'Revenue Build'!AD14</f>
        <v>20848.803502840907</v>
      </c>
      <c r="E22" s="300">
        <f>'Revenue Build'!AD25</f>
        <v>26799.758617299114</v>
      </c>
      <c r="F22" s="300">
        <f>'Revenue Build'!AD30</f>
        <v>57503.092500000013</v>
      </c>
      <c r="G22" s="302">
        <f>'Revenue Build'!AD35</f>
        <v>26797.94876173334</v>
      </c>
      <c r="H22" s="301">
        <f t="shared" si="0"/>
        <v>131949.60338187337</v>
      </c>
      <c r="I22" s="253"/>
    </row>
    <row r="23" spans="3:13">
      <c r="C23" s="253">
        <v>2028</v>
      </c>
      <c r="D23" s="299">
        <f>'Revenue Build'!AI14</f>
        <v>25595.158431818181</v>
      </c>
      <c r="E23" s="300">
        <f>'Revenue Build'!AI25</f>
        <v>29942.988569196437</v>
      </c>
      <c r="F23" s="300">
        <f>'Revenue Build'!AI30</f>
        <v>60378.247125000016</v>
      </c>
      <c r="G23" s="302">
        <f>'Revenue Build'!AI35</f>
        <v>29209.764150289342</v>
      </c>
      <c r="H23" s="301">
        <f t="shared" si="0"/>
        <v>145126.15827630399</v>
      </c>
      <c r="I23" s="253"/>
    </row>
    <row r="24" spans="3:13">
      <c r="C24" s="253">
        <v>2029</v>
      </c>
      <c r="D24" s="299">
        <f>'Revenue Build'!AN14</f>
        <v>31273.20525426136</v>
      </c>
      <c r="E24" s="300">
        <f>'Revenue Build'!AN25</f>
        <v>33399.757668415186</v>
      </c>
      <c r="F24" s="300">
        <f>'Revenue Build'!AN30</f>
        <v>63397.159481250019</v>
      </c>
      <c r="G24" s="302">
        <f>'Revenue Build'!AN35</f>
        <v>31838.642923815387</v>
      </c>
      <c r="H24" s="301">
        <f t="shared" si="0"/>
        <v>159908.76532774194</v>
      </c>
      <c r="I24" s="253"/>
    </row>
    <row r="25" spans="3:13">
      <c r="C25" s="253"/>
      <c r="D25" s="255"/>
      <c r="E25" s="255"/>
      <c r="F25" s="255"/>
      <c r="G25" s="256"/>
      <c r="H25" s="254"/>
      <c r="I25" s="253"/>
    </row>
    <row r="26" spans="3:13" ht="18">
      <c r="C26" s="260" t="s">
        <v>246</v>
      </c>
      <c r="D26" s="262" t="s">
        <v>236</v>
      </c>
      <c r="E26" s="263" t="s">
        <v>242</v>
      </c>
      <c r="F26" s="263" t="s">
        <v>243</v>
      </c>
      <c r="G26" s="263" t="s">
        <v>244</v>
      </c>
      <c r="H26" s="259"/>
      <c r="I26" s="259"/>
      <c r="J26" s="249"/>
      <c r="K26" s="56"/>
      <c r="L26" s="56"/>
      <c r="M26" s="57"/>
    </row>
    <row r="27" spans="3:13" ht="18">
      <c r="C27" s="253"/>
      <c r="D27" s="252"/>
      <c r="E27" s="259"/>
      <c r="F27" s="259"/>
      <c r="G27" s="259"/>
      <c r="H27" s="259"/>
      <c r="I27" s="259"/>
      <c r="J27" s="249"/>
      <c r="K27" s="56"/>
      <c r="L27" s="56"/>
      <c r="M27" s="57"/>
    </row>
    <row r="28" spans="3:13" ht="18">
      <c r="C28" s="253" t="s">
        <v>247</v>
      </c>
      <c r="D28" s="257">
        <f t="shared" ref="D28:D34" si="1">D18/H18</f>
        <v>9.9280189498078084E-2</v>
      </c>
      <c r="E28" s="264">
        <f t="shared" ref="E28:E34" si="2">E18/H18</f>
        <v>0.18758791864238653</v>
      </c>
      <c r="F28" s="264">
        <f t="shared" ref="F28:F34" si="3">F18/H18</f>
        <v>0.48926804657069195</v>
      </c>
      <c r="G28" s="264">
        <f t="shared" ref="G28:G34" si="4">G18/H18</f>
        <v>0.22386384528884348</v>
      </c>
      <c r="H28" s="259"/>
      <c r="I28" s="259"/>
      <c r="J28" s="249"/>
      <c r="K28" s="56"/>
      <c r="L28" s="56"/>
      <c r="M28" s="57"/>
    </row>
    <row r="29" spans="3:13" ht="18">
      <c r="C29" s="253" t="s">
        <v>248</v>
      </c>
      <c r="D29" s="257">
        <f t="shared" si="1"/>
        <v>0.11098289768195652</v>
      </c>
      <c r="E29" s="264">
        <f t="shared" si="2"/>
        <v>0.18989118020646509</v>
      </c>
      <c r="F29" s="264">
        <f t="shared" si="3"/>
        <v>0.49353073022237648</v>
      </c>
      <c r="G29" s="264">
        <f t="shared" si="4"/>
        <v>0.20559519188920189</v>
      </c>
      <c r="H29" s="259"/>
      <c r="I29" s="259"/>
      <c r="J29" s="249"/>
      <c r="K29" s="56"/>
      <c r="L29" s="56"/>
      <c r="M29" s="57"/>
    </row>
    <row r="30" spans="3:13" ht="18">
      <c r="C30" s="253" t="s">
        <v>249</v>
      </c>
      <c r="D30" s="257">
        <f t="shared" si="1"/>
        <v>0.12400383373591452</v>
      </c>
      <c r="E30" s="264">
        <f t="shared" si="2"/>
        <v>0.1942051697135399</v>
      </c>
      <c r="F30" s="264">
        <f t="shared" si="3"/>
        <v>0.47596144512104871</v>
      </c>
      <c r="G30" s="264">
        <f t="shared" si="4"/>
        <v>0.20582955142949688</v>
      </c>
      <c r="H30" s="259"/>
      <c r="I30" s="259"/>
      <c r="J30" s="249"/>
      <c r="K30" s="56"/>
      <c r="L30" s="56"/>
      <c r="M30" s="57"/>
    </row>
    <row r="31" spans="3:13" ht="18">
      <c r="C31" s="253" t="s">
        <v>250</v>
      </c>
      <c r="D31" s="257">
        <f t="shared" si="1"/>
        <v>0.14058397309873483</v>
      </c>
      <c r="E31" s="264">
        <f t="shared" si="2"/>
        <v>0.19908213472969652</v>
      </c>
      <c r="F31" s="264">
        <f t="shared" si="3"/>
        <v>0.45574076874985514</v>
      </c>
      <c r="G31" s="264">
        <f t="shared" si="4"/>
        <v>0.20459312342171357</v>
      </c>
      <c r="H31" s="259"/>
      <c r="I31" s="259"/>
      <c r="J31" s="249"/>
      <c r="K31" s="56"/>
      <c r="L31" s="56"/>
      <c r="M31" s="57"/>
    </row>
    <row r="32" spans="3:13" ht="18">
      <c r="C32" s="253" t="s">
        <v>251</v>
      </c>
      <c r="D32" s="257">
        <f t="shared" si="1"/>
        <v>0.15800580652374299</v>
      </c>
      <c r="E32" s="264">
        <f t="shared" si="2"/>
        <v>0.20310601874064246</v>
      </c>
      <c r="F32" s="264">
        <f t="shared" si="3"/>
        <v>0.43579587225875305</v>
      </c>
      <c r="G32" s="264">
        <f t="shared" si="4"/>
        <v>0.20309230247686155</v>
      </c>
      <c r="H32" s="259"/>
      <c r="I32" s="259"/>
      <c r="J32" s="249"/>
      <c r="K32" s="56"/>
      <c r="L32" s="56"/>
      <c r="M32" s="57"/>
    </row>
    <row r="33" spans="3:13" ht="18">
      <c r="C33" s="253" t="s">
        <v>252</v>
      </c>
      <c r="D33" s="257">
        <f t="shared" si="1"/>
        <v>0.17636488649474108</v>
      </c>
      <c r="E33" s="264">
        <f t="shared" si="2"/>
        <v>0.20632385591154651</v>
      </c>
      <c r="F33" s="264">
        <f t="shared" si="3"/>
        <v>0.41603972600202493</v>
      </c>
      <c r="G33" s="264">
        <f t="shared" si="4"/>
        <v>0.20127153159168737</v>
      </c>
      <c r="H33" s="259"/>
      <c r="I33" s="259"/>
      <c r="J33" s="249"/>
      <c r="K33" s="56"/>
      <c r="L33" s="56"/>
      <c r="M33" s="57"/>
    </row>
    <row r="34" spans="3:13" ht="18">
      <c r="C34" s="253" t="s">
        <v>253</v>
      </c>
      <c r="D34" s="257">
        <f t="shared" si="1"/>
        <v>0.19556904957752116</v>
      </c>
      <c r="E34" s="264">
        <f t="shared" si="2"/>
        <v>0.20886758521310897</v>
      </c>
      <c r="F34" s="264">
        <f t="shared" si="3"/>
        <v>0.39645831390989733</v>
      </c>
      <c r="G34" s="264">
        <f t="shared" si="4"/>
        <v>0.19910505129947262</v>
      </c>
      <c r="H34" s="259"/>
      <c r="I34" s="259"/>
      <c r="J34" s="249"/>
      <c r="K34" s="56"/>
      <c r="L34" s="56"/>
      <c r="M34" s="57"/>
    </row>
    <row r="35" spans="3:13" ht="18">
      <c r="G35" s="55"/>
      <c r="H35" s="56"/>
      <c r="I35" s="56"/>
      <c r="J35" s="56"/>
      <c r="K35" s="56"/>
      <c r="L35" s="56"/>
      <c r="M35" s="57"/>
    </row>
    <row r="36" spans="3:13" ht="18">
      <c r="G36" s="55"/>
      <c r="H36" s="56"/>
      <c r="I36" s="56"/>
      <c r="J36" s="56"/>
      <c r="K36" s="56"/>
      <c r="L36" s="56"/>
      <c r="M36" s="57"/>
    </row>
    <row r="37" spans="3:13" ht="18">
      <c r="G37" s="55"/>
      <c r="H37" s="56"/>
      <c r="I37" s="56"/>
      <c r="J37" s="56"/>
      <c r="K37" s="56"/>
      <c r="L37" s="56"/>
      <c r="M37" s="57"/>
    </row>
    <row r="38" spans="3:13" ht="18">
      <c r="G38" s="55"/>
      <c r="H38" s="56"/>
      <c r="I38" s="56"/>
      <c r="J38" s="56"/>
      <c r="K38" s="56"/>
      <c r="L38" s="56"/>
      <c r="M38" s="57"/>
    </row>
    <row r="39" spans="3:13" ht="18">
      <c r="G39" s="55"/>
      <c r="H39" s="56"/>
      <c r="I39" s="56"/>
      <c r="J39" s="56"/>
      <c r="K39" s="56"/>
      <c r="L39" s="56"/>
      <c r="M39" s="57"/>
    </row>
    <row r="40" spans="3:13" ht="18">
      <c r="G40" s="55"/>
      <c r="H40" s="56"/>
      <c r="I40" s="56"/>
      <c r="J40" s="56"/>
      <c r="K40" s="56"/>
      <c r="L40" s="56"/>
      <c r="M40" s="57"/>
    </row>
    <row r="41" spans="3:13" ht="18">
      <c r="G41" s="55"/>
      <c r="H41" s="56"/>
      <c r="I41" s="56"/>
      <c r="J41" s="56"/>
      <c r="K41" s="56"/>
      <c r="L41" s="56"/>
      <c r="M41" s="57"/>
    </row>
    <row r="42" spans="3:13" ht="18">
      <c r="G42" s="55"/>
      <c r="H42" s="56"/>
      <c r="I42" s="56"/>
      <c r="J42" s="56"/>
      <c r="K42" s="56"/>
      <c r="L42" s="56"/>
      <c r="M42" s="57"/>
    </row>
    <row r="43" spans="3:13" ht="18">
      <c r="G43" s="55"/>
      <c r="H43" s="56"/>
      <c r="I43" s="56"/>
      <c r="J43" s="56"/>
      <c r="K43" s="56"/>
      <c r="L43" s="56"/>
      <c r="M43" s="57"/>
    </row>
    <row r="44" spans="3:13" ht="18">
      <c r="G44" s="55"/>
      <c r="H44" s="56"/>
      <c r="I44" s="56"/>
      <c r="J44" s="56"/>
      <c r="K44" s="56"/>
      <c r="L44" s="56"/>
      <c r="M44" s="57"/>
    </row>
    <row r="45" spans="3:13" ht="18">
      <c r="G45" s="55"/>
      <c r="H45" s="56"/>
      <c r="I45" s="56"/>
      <c r="J45" s="56"/>
      <c r="K45" s="56"/>
      <c r="L45" s="56"/>
      <c r="M45" s="57"/>
    </row>
    <row r="46" spans="3:13" ht="18">
      <c r="G46" s="55"/>
      <c r="H46" s="56"/>
      <c r="I46" s="56"/>
      <c r="J46" s="56"/>
      <c r="K46" s="56"/>
      <c r="L46" s="56"/>
      <c r="M46" s="57"/>
    </row>
    <row r="47" spans="3:13" ht="18">
      <c r="G47" s="55"/>
      <c r="H47" s="56"/>
      <c r="I47" s="56"/>
      <c r="J47" s="56"/>
      <c r="K47" s="56"/>
      <c r="L47" s="56"/>
      <c r="M47" s="57"/>
    </row>
    <row r="48" spans="3:13" ht="18">
      <c r="G48" s="55"/>
      <c r="H48" s="56"/>
      <c r="I48" s="56"/>
      <c r="J48" s="56"/>
      <c r="K48" s="56"/>
      <c r="L48" s="56"/>
      <c r="M48" s="57"/>
    </row>
    <row r="49" spans="7:13" ht="18">
      <c r="G49" s="55"/>
      <c r="H49" s="56"/>
      <c r="I49" s="56"/>
      <c r="J49" s="56"/>
      <c r="K49" s="56"/>
      <c r="L49" s="56"/>
      <c r="M49" s="57"/>
    </row>
    <row r="50" spans="7:13" ht="18">
      <c r="G50" s="55"/>
      <c r="H50" s="56"/>
      <c r="I50" s="56"/>
      <c r="J50" s="56"/>
      <c r="K50" s="56"/>
      <c r="L50" s="56"/>
      <c r="M50" s="57"/>
    </row>
    <row r="51" spans="7:13" ht="18">
      <c r="G51" s="55"/>
      <c r="H51" s="56"/>
      <c r="I51" s="56"/>
      <c r="J51" s="56"/>
      <c r="K51" s="56"/>
      <c r="L51" s="56"/>
      <c r="M51" s="57"/>
    </row>
    <row r="52" spans="7:13" ht="18">
      <c r="G52" s="55"/>
      <c r="H52" s="56"/>
      <c r="I52" s="56"/>
      <c r="J52" s="56"/>
      <c r="K52" s="56"/>
      <c r="L52" s="56"/>
      <c r="M52" s="57"/>
    </row>
    <row r="53" spans="7:13" ht="18">
      <c r="G53" s="55"/>
      <c r="H53" s="56"/>
      <c r="I53" s="56"/>
      <c r="J53" s="56"/>
      <c r="K53" s="56"/>
      <c r="L53" s="56"/>
      <c r="M53" s="57"/>
    </row>
    <row r="54" spans="7:13" ht="18">
      <c r="G54" s="55"/>
      <c r="H54" s="56"/>
      <c r="I54" s="56"/>
      <c r="J54" s="56"/>
      <c r="K54" s="56"/>
      <c r="L54" s="56"/>
      <c r="M54" s="57"/>
    </row>
    <row r="55" spans="7:13" ht="18">
      <c r="G55" s="55"/>
      <c r="H55" s="56"/>
      <c r="I55" s="56"/>
      <c r="J55" s="56"/>
      <c r="K55" s="56"/>
      <c r="L55" s="56"/>
      <c r="M55" s="57"/>
    </row>
    <row r="56" spans="7:13" ht="18">
      <c r="G56" s="55"/>
      <c r="H56" s="56"/>
      <c r="I56" s="56"/>
      <c r="J56" s="56"/>
      <c r="K56" s="56"/>
      <c r="L56" s="56"/>
      <c r="M56" s="57"/>
    </row>
    <row r="57" spans="7:13" ht="18">
      <c r="G57" s="55"/>
      <c r="H57" s="56"/>
      <c r="I57" s="56"/>
      <c r="J57" s="56"/>
      <c r="K57" s="56"/>
      <c r="L57" s="56"/>
      <c r="M57" s="57"/>
    </row>
    <row r="58" spans="7:13" ht="18">
      <c r="G58" s="55"/>
      <c r="H58" s="56"/>
      <c r="I58" s="56"/>
      <c r="J58" s="56"/>
      <c r="K58" s="56"/>
      <c r="L58" s="56"/>
      <c r="M58" s="57"/>
    </row>
    <row r="59" spans="7:13" ht="18">
      <c r="G59" s="55"/>
      <c r="H59" s="56"/>
      <c r="I59" s="56"/>
      <c r="J59" s="56"/>
      <c r="K59" s="56"/>
      <c r="L59" s="56"/>
      <c r="M59" s="57"/>
    </row>
    <row r="60" spans="7:13" ht="18">
      <c r="G60" s="55"/>
      <c r="H60" s="56"/>
      <c r="I60" s="56"/>
      <c r="J60" s="56"/>
      <c r="K60" s="56"/>
      <c r="L60" s="56"/>
      <c r="M60" s="57"/>
    </row>
    <row r="61" spans="7:13" ht="18">
      <c r="G61" s="55"/>
      <c r="H61" s="56"/>
      <c r="I61" s="56"/>
      <c r="J61" s="56"/>
      <c r="K61" s="56"/>
      <c r="L61" s="56"/>
      <c r="M61" s="57"/>
    </row>
    <row r="62" spans="7:13" ht="18">
      <c r="G62" s="55"/>
      <c r="H62" s="56"/>
      <c r="I62" s="56"/>
      <c r="J62" s="56"/>
      <c r="K62" s="56"/>
      <c r="L62" s="56"/>
      <c r="M62" s="57"/>
    </row>
    <row r="63" spans="7:13" ht="18">
      <c r="G63" s="55"/>
      <c r="H63" s="56"/>
      <c r="I63" s="56"/>
      <c r="J63" s="56"/>
      <c r="K63" s="56"/>
      <c r="L63" s="56"/>
      <c r="M63" s="57"/>
    </row>
    <row r="64" spans="7:13" ht="18">
      <c r="G64" s="55"/>
      <c r="H64" s="56"/>
      <c r="I64" s="56"/>
      <c r="J64" s="56"/>
      <c r="K64" s="56"/>
      <c r="L64" s="56"/>
      <c r="M64" s="57"/>
    </row>
    <row r="65" spans="7:13" ht="18">
      <c r="G65" s="55"/>
      <c r="H65" s="56"/>
      <c r="I65" s="56"/>
      <c r="J65" s="56"/>
      <c r="K65" s="56"/>
      <c r="L65" s="56"/>
      <c r="M65" s="57"/>
    </row>
    <row r="66" spans="7:13" ht="18">
      <c r="G66" s="55"/>
      <c r="H66" s="56"/>
      <c r="I66" s="56"/>
      <c r="J66" s="56"/>
      <c r="K66" s="56"/>
      <c r="L66" s="56"/>
      <c r="M66" s="57"/>
    </row>
    <row r="67" spans="7:13" ht="18">
      <c r="G67" s="55"/>
      <c r="H67" s="56"/>
      <c r="I67" s="56"/>
      <c r="J67" s="56"/>
      <c r="K67" s="56"/>
      <c r="L67" s="56"/>
      <c r="M67" s="57"/>
    </row>
    <row r="68" spans="7:13" ht="18">
      <c r="G68" s="55"/>
      <c r="H68" s="56"/>
      <c r="I68" s="56"/>
      <c r="J68" s="56"/>
      <c r="K68" s="56"/>
      <c r="L68" s="56"/>
      <c r="M68" s="57"/>
    </row>
    <row r="69" spans="7:13" ht="18">
      <c r="G69" s="55"/>
      <c r="H69" s="56"/>
      <c r="I69" s="56"/>
      <c r="J69" s="56"/>
      <c r="K69" s="56"/>
      <c r="L69" s="56"/>
      <c r="M69" s="57"/>
    </row>
    <row r="70" spans="7:13" ht="18">
      <c r="G70" s="55"/>
      <c r="H70" s="56"/>
      <c r="I70" s="56"/>
      <c r="J70" s="56"/>
      <c r="K70" s="56"/>
      <c r="L70" s="56"/>
      <c r="M70" s="57"/>
    </row>
    <row r="71" spans="7:13" ht="18">
      <c r="G71" s="55"/>
      <c r="H71" s="56"/>
      <c r="I71" s="56"/>
      <c r="J71" s="56"/>
      <c r="K71" s="56"/>
      <c r="L71" s="56"/>
      <c r="M71" s="57"/>
    </row>
    <row r="72" spans="7:13" ht="18">
      <c r="G72" s="55"/>
      <c r="H72" s="56"/>
      <c r="I72" s="56"/>
      <c r="J72" s="56"/>
      <c r="K72" s="56"/>
      <c r="L72" s="56"/>
      <c r="M72" s="57"/>
    </row>
    <row r="73" spans="7:13" ht="18">
      <c r="G73" s="55"/>
      <c r="H73" s="56"/>
      <c r="I73" s="56"/>
      <c r="J73" s="56"/>
      <c r="K73" s="56"/>
      <c r="L73" s="56"/>
      <c r="M73" s="57"/>
    </row>
    <row r="74" spans="7:13" ht="18">
      <c r="G74" s="55"/>
      <c r="H74" s="56"/>
      <c r="I74" s="56"/>
      <c r="J74" s="56"/>
      <c r="K74" s="56"/>
      <c r="L74" s="56"/>
      <c r="M74" s="57"/>
    </row>
    <row r="75" spans="7:13" ht="18">
      <c r="G75" s="55"/>
      <c r="H75" s="56"/>
      <c r="I75" s="56"/>
      <c r="J75" s="56"/>
      <c r="K75" s="56"/>
      <c r="L75" s="56"/>
      <c r="M75" s="57"/>
    </row>
    <row r="76" spans="7:13" ht="18">
      <c r="G76" s="55"/>
      <c r="H76" s="56"/>
      <c r="I76" s="56"/>
      <c r="J76" s="56"/>
      <c r="K76" s="56"/>
      <c r="L76" s="56"/>
      <c r="M76" s="57"/>
    </row>
    <row r="77" spans="7:13" ht="18">
      <c r="G77" s="55"/>
      <c r="H77" s="56"/>
      <c r="I77" s="56"/>
      <c r="J77" s="56"/>
      <c r="K77" s="56"/>
      <c r="L77" s="56"/>
      <c r="M77" s="57"/>
    </row>
    <row r="78" spans="7:13" ht="18">
      <c r="G78" s="55"/>
      <c r="H78" s="56"/>
      <c r="I78" s="56"/>
      <c r="J78" s="56"/>
      <c r="K78" s="56"/>
      <c r="L78" s="56"/>
      <c r="M78" s="57"/>
    </row>
    <row r="79" spans="7:13" ht="18">
      <c r="G79" s="55"/>
      <c r="H79" s="56"/>
      <c r="I79" s="56"/>
      <c r="J79" s="56"/>
      <c r="K79" s="56"/>
      <c r="L79" s="56"/>
      <c r="M79" s="57"/>
    </row>
    <row r="80" spans="7:13" ht="18">
      <c r="G80" s="55"/>
      <c r="H80" s="56"/>
      <c r="I80" s="56"/>
      <c r="J80" s="56"/>
      <c r="K80" s="56"/>
      <c r="L80" s="56"/>
      <c r="M80" s="57"/>
    </row>
    <row r="81" spans="7:13" ht="18">
      <c r="G81" s="55"/>
      <c r="H81" s="56"/>
      <c r="I81" s="56"/>
      <c r="J81" s="56"/>
      <c r="K81" s="56"/>
      <c r="L81" s="56"/>
      <c r="M81" s="57"/>
    </row>
    <row r="82" spans="7:13" ht="18">
      <c r="G82" s="55"/>
      <c r="H82" s="56"/>
      <c r="I82" s="56"/>
      <c r="J82" s="56"/>
      <c r="K82" s="56"/>
      <c r="L82" s="56"/>
      <c r="M82" s="57"/>
    </row>
    <row r="83" spans="7:13" ht="18">
      <c r="G83" s="55"/>
      <c r="H83" s="56"/>
      <c r="I83" s="56"/>
      <c r="J83" s="56"/>
      <c r="K83" s="56"/>
      <c r="L83" s="56"/>
      <c r="M83" s="57"/>
    </row>
    <row r="84" spans="7:13" ht="18">
      <c r="G84" s="55"/>
      <c r="H84" s="56"/>
      <c r="I84" s="56"/>
      <c r="J84" s="56"/>
      <c r="K84" s="56"/>
      <c r="L84" s="56"/>
      <c r="M84" s="57"/>
    </row>
    <row r="85" spans="7:13" ht="18">
      <c r="G85" s="55"/>
      <c r="H85" s="56"/>
      <c r="I85" s="56"/>
      <c r="J85" s="56"/>
      <c r="K85" s="56"/>
      <c r="L85" s="56"/>
      <c r="M85" s="57"/>
    </row>
    <row r="86" spans="7:13" ht="18">
      <c r="G86" s="55"/>
      <c r="H86" s="56"/>
      <c r="I86" s="56"/>
      <c r="J86" s="56"/>
      <c r="K86" s="56"/>
      <c r="L86" s="56"/>
      <c r="M86" s="57"/>
    </row>
    <row r="87" spans="7:13" ht="18">
      <c r="G87" s="55"/>
      <c r="H87" s="56"/>
      <c r="I87" s="56"/>
      <c r="J87" s="56"/>
      <c r="K87" s="56"/>
      <c r="L87" s="56"/>
      <c r="M87" s="57"/>
    </row>
    <row r="88" spans="7:13" ht="18">
      <c r="G88" s="55"/>
      <c r="H88" s="56"/>
      <c r="I88" s="56"/>
      <c r="J88" s="56"/>
      <c r="K88" s="56"/>
      <c r="L88" s="56"/>
      <c r="M88" s="57"/>
    </row>
    <row r="89" spans="7:13" ht="18">
      <c r="G89" s="55"/>
      <c r="H89" s="56"/>
      <c r="I89" s="56"/>
      <c r="J89" s="56"/>
      <c r="K89" s="56"/>
      <c r="L89" s="56"/>
      <c r="M89" s="57"/>
    </row>
    <row r="90" spans="7:13" ht="18">
      <c r="G90" s="55"/>
      <c r="H90" s="56"/>
      <c r="I90" s="56"/>
      <c r="J90" s="56"/>
      <c r="K90" s="56"/>
      <c r="L90" s="56"/>
      <c r="M90" s="57"/>
    </row>
    <row r="91" spans="7:13" ht="18">
      <c r="G91" s="55"/>
      <c r="H91" s="56"/>
      <c r="I91" s="56"/>
      <c r="J91" s="56"/>
      <c r="K91" s="56"/>
      <c r="L91" s="56"/>
      <c r="M91" s="57"/>
    </row>
    <row r="92" spans="7:13" ht="18">
      <c r="G92" s="55"/>
      <c r="H92" s="56"/>
      <c r="I92" s="56"/>
      <c r="J92" s="56"/>
      <c r="K92" s="56"/>
      <c r="L92" s="56"/>
      <c r="M92" s="57"/>
    </row>
    <row r="93" spans="7:13" ht="18">
      <c r="G93" s="55"/>
      <c r="H93" s="56"/>
      <c r="I93" s="56"/>
      <c r="J93" s="56"/>
      <c r="K93" s="56"/>
      <c r="L93" s="56"/>
      <c r="M93" s="57"/>
    </row>
    <row r="94" spans="7:13" ht="18">
      <c r="G94" s="55"/>
      <c r="H94" s="56"/>
      <c r="I94" s="56"/>
      <c r="J94" s="56"/>
      <c r="K94" s="56"/>
      <c r="L94" s="56"/>
      <c r="M94" s="57"/>
    </row>
    <row r="95" spans="7:13" ht="18">
      <c r="G95" s="55"/>
      <c r="H95" s="56"/>
      <c r="I95" s="56"/>
      <c r="J95" s="56"/>
      <c r="K95" s="56"/>
      <c r="L95" s="56"/>
      <c r="M95" s="57"/>
    </row>
    <row r="96" spans="7:13" ht="18">
      <c r="G96" s="55"/>
      <c r="H96" s="56"/>
      <c r="I96" s="56"/>
      <c r="J96" s="56"/>
      <c r="K96" s="56"/>
      <c r="L96" s="56"/>
      <c r="M96" s="57"/>
    </row>
    <row r="97" spans="7:13" ht="18">
      <c r="G97" s="55"/>
      <c r="H97" s="56"/>
      <c r="I97" s="56"/>
      <c r="J97" s="56"/>
      <c r="K97" s="56"/>
      <c r="L97" s="56"/>
      <c r="M97" s="57"/>
    </row>
    <row r="98" spans="7:13" ht="18">
      <c r="G98" s="55"/>
      <c r="H98" s="56"/>
      <c r="I98" s="56"/>
      <c r="J98" s="56"/>
      <c r="K98" s="56"/>
      <c r="L98" s="56"/>
      <c r="M98" s="57"/>
    </row>
    <row r="99" spans="7:13" ht="18">
      <c r="G99" s="55"/>
      <c r="H99" s="56"/>
      <c r="I99" s="56"/>
      <c r="J99" s="56"/>
      <c r="K99" s="56"/>
      <c r="L99" s="56"/>
      <c r="M99" s="57"/>
    </row>
    <row r="100" spans="7:13" ht="18">
      <c r="G100" s="55"/>
      <c r="H100" s="56"/>
      <c r="I100" s="56"/>
      <c r="J100" s="56"/>
      <c r="K100" s="56"/>
      <c r="L100" s="56"/>
      <c r="M100" s="57"/>
    </row>
    <row r="101" spans="7:13" ht="18">
      <c r="G101" s="55"/>
      <c r="H101" s="56"/>
      <c r="I101" s="56"/>
      <c r="J101" s="56"/>
      <c r="K101" s="56"/>
      <c r="L101" s="56"/>
      <c r="M101" s="57"/>
    </row>
    <row r="102" spans="7:13" ht="18">
      <c r="G102" s="55"/>
      <c r="H102" s="56"/>
      <c r="I102" s="56"/>
      <c r="J102" s="56"/>
      <c r="K102" s="56"/>
      <c r="L102" s="56"/>
      <c r="M102" s="57"/>
    </row>
    <row r="103" spans="7:13" ht="18">
      <c r="G103" s="55"/>
      <c r="H103" s="56"/>
      <c r="I103" s="56"/>
      <c r="J103" s="56"/>
      <c r="K103" s="56"/>
      <c r="L103" s="56"/>
      <c r="M103" s="57"/>
    </row>
    <row r="104" spans="7:13" ht="18">
      <c r="G104" s="55"/>
      <c r="H104" s="56"/>
      <c r="I104" s="56"/>
      <c r="J104" s="56"/>
      <c r="K104" s="56"/>
      <c r="L104" s="56"/>
      <c r="M104" s="57"/>
    </row>
    <row r="105" spans="7:13" ht="18">
      <c r="G105" s="55"/>
      <c r="H105" s="56"/>
      <c r="I105" s="56"/>
      <c r="J105" s="56"/>
      <c r="K105" s="56"/>
      <c r="L105" s="56"/>
      <c r="M105" s="57"/>
    </row>
    <row r="106" spans="7:13" ht="18">
      <c r="G106" s="55"/>
      <c r="H106" s="56"/>
      <c r="I106" s="56"/>
      <c r="J106" s="56"/>
      <c r="K106" s="56"/>
      <c r="L106" s="56"/>
      <c r="M106" s="57"/>
    </row>
    <row r="107" spans="7:13" ht="18">
      <c r="G107" s="55"/>
      <c r="H107" s="56"/>
      <c r="I107" s="56"/>
      <c r="J107" s="56"/>
      <c r="K107" s="56"/>
      <c r="L107" s="56"/>
      <c r="M107" s="57"/>
    </row>
    <row r="108" spans="7:13" ht="18">
      <c r="G108" s="55"/>
      <c r="H108" s="56"/>
      <c r="I108" s="56"/>
      <c r="J108" s="56"/>
      <c r="K108" s="56"/>
      <c r="L108" s="56"/>
      <c r="M108" s="57"/>
    </row>
    <row r="109" spans="7:13" ht="18">
      <c r="G109" s="55"/>
      <c r="H109" s="56"/>
      <c r="I109" s="56"/>
      <c r="J109" s="56"/>
      <c r="K109" s="56"/>
      <c r="L109" s="56"/>
      <c r="M109" s="57"/>
    </row>
    <row r="110" spans="7:13" ht="18">
      <c r="G110" s="55"/>
      <c r="H110" s="56"/>
      <c r="I110" s="56"/>
      <c r="J110" s="56"/>
      <c r="K110" s="56"/>
      <c r="L110" s="56"/>
      <c r="M110" s="57"/>
    </row>
    <row r="111" spans="7:13" ht="18">
      <c r="G111" s="55"/>
      <c r="H111" s="56"/>
      <c r="I111" s="56"/>
      <c r="J111" s="56"/>
      <c r="K111" s="56"/>
      <c r="L111" s="56"/>
      <c r="M111" s="57"/>
    </row>
    <row r="112" spans="7:13" ht="18">
      <c r="G112" s="55"/>
      <c r="H112" s="56"/>
      <c r="I112" s="56"/>
      <c r="J112" s="56"/>
      <c r="K112" s="56"/>
      <c r="L112" s="56"/>
      <c r="M112" s="57"/>
    </row>
    <row r="113" spans="7:13" ht="18">
      <c r="G113" s="55"/>
      <c r="H113" s="56"/>
      <c r="I113" s="56"/>
      <c r="J113" s="56"/>
      <c r="K113" s="56"/>
      <c r="L113" s="56"/>
      <c r="M113" s="57"/>
    </row>
    <row r="114" spans="7:13" ht="18">
      <c r="G114" s="55"/>
      <c r="H114" s="56"/>
      <c r="I114" s="56"/>
      <c r="J114" s="56"/>
      <c r="K114" s="56"/>
      <c r="L114" s="56"/>
      <c r="M114" s="57"/>
    </row>
    <row r="115" spans="7:13" ht="18">
      <c r="G115" s="55"/>
      <c r="H115" s="56"/>
      <c r="I115" s="56"/>
      <c r="J115" s="56"/>
      <c r="K115" s="56"/>
      <c r="L115" s="56"/>
      <c r="M115" s="57"/>
    </row>
    <row r="116" spans="7:13" ht="18">
      <c r="G116" s="55"/>
      <c r="H116" s="56"/>
      <c r="I116" s="56"/>
      <c r="J116" s="56"/>
      <c r="K116" s="56"/>
      <c r="L116" s="56"/>
      <c r="M116" s="57"/>
    </row>
    <row r="117" spans="7:13" ht="18">
      <c r="G117" s="55"/>
      <c r="H117" s="56"/>
      <c r="I117" s="56"/>
      <c r="J117" s="56"/>
      <c r="K117" s="56"/>
      <c r="L117" s="56"/>
      <c r="M117" s="57"/>
    </row>
    <row r="118" spans="7:13" ht="18">
      <c r="G118" s="55"/>
      <c r="H118" s="56"/>
      <c r="I118" s="56"/>
      <c r="J118" s="56"/>
      <c r="K118" s="56"/>
      <c r="L118" s="56"/>
      <c r="M118" s="57"/>
    </row>
    <row r="119" spans="7:13" ht="18">
      <c r="G119" s="55"/>
      <c r="H119" s="56"/>
      <c r="I119" s="56"/>
      <c r="J119" s="56"/>
      <c r="K119" s="56"/>
      <c r="L119" s="56"/>
      <c r="M119" s="57"/>
    </row>
    <row r="120" spans="7:13" ht="18">
      <c r="G120" s="55"/>
      <c r="H120" s="56"/>
      <c r="I120" s="56"/>
      <c r="J120" s="56"/>
      <c r="K120" s="56"/>
      <c r="L120" s="56"/>
      <c r="M120" s="57"/>
    </row>
    <row r="121" spans="7:13" ht="18">
      <c r="G121" s="55"/>
      <c r="H121" s="56"/>
      <c r="I121" s="56"/>
      <c r="J121" s="56"/>
      <c r="K121" s="56"/>
      <c r="L121" s="56"/>
      <c r="M121" s="57"/>
    </row>
    <row r="122" spans="7:13" ht="18">
      <c r="G122" s="55"/>
      <c r="H122" s="56"/>
      <c r="I122" s="56"/>
      <c r="J122" s="56"/>
      <c r="K122" s="56"/>
      <c r="L122" s="56"/>
      <c r="M122" s="57"/>
    </row>
    <row r="123" spans="7:13" ht="18">
      <c r="G123" s="55"/>
      <c r="H123" s="56"/>
      <c r="I123" s="56"/>
      <c r="J123" s="56"/>
      <c r="K123" s="56"/>
      <c r="L123" s="56"/>
      <c r="M123" s="57"/>
    </row>
    <row r="124" spans="7:13" ht="18">
      <c r="G124" s="55"/>
      <c r="H124" s="56"/>
      <c r="I124" s="56"/>
      <c r="J124" s="56"/>
      <c r="K124" s="56"/>
      <c r="L124" s="56"/>
      <c r="M124" s="57"/>
    </row>
    <row r="125" spans="7:13" ht="18">
      <c r="G125" s="55"/>
      <c r="H125" s="56"/>
      <c r="I125" s="56"/>
      <c r="J125" s="56"/>
      <c r="K125" s="56"/>
      <c r="L125" s="56"/>
      <c r="M125" s="57"/>
    </row>
    <row r="126" spans="7:13" ht="18">
      <c r="G126" s="55"/>
      <c r="H126" s="56"/>
      <c r="I126" s="56"/>
      <c r="J126" s="56"/>
      <c r="K126" s="56"/>
      <c r="L126" s="56"/>
      <c r="M126" s="57"/>
    </row>
    <row r="127" spans="7:13" ht="18">
      <c r="G127" s="55"/>
      <c r="H127" s="56"/>
      <c r="I127" s="56"/>
      <c r="J127" s="56"/>
      <c r="K127" s="56"/>
      <c r="L127" s="56"/>
      <c r="M127" s="57"/>
    </row>
    <row r="128" spans="7:13" ht="18">
      <c r="G128" s="55"/>
      <c r="H128" s="56"/>
      <c r="I128" s="56"/>
      <c r="J128" s="56"/>
      <c r="K128" s="56"/>
      <c r="L128" s="56"/>
      <c r="M128" s="57"/>
    </row>
    <row r="129" spans="7:13" ht="18">
      <c r="G129" s="55"/>
      <c r="H129" s="56"/>
      <c r="I129" s="56"/>
      <c r="J129" s="56"/>
      <c r="K129" s="56"/>
      <c r="L129" s="56"/>
      <c r="M129" s="57"/>
    </row>
    <row r="130" spans="7:13" ht="18">
      <c r="G130" s="55"/>
      <c r="H130" s="56"/>
      <c r="I130" s="56"/>
      <c r="J130" s="56"/>
      <c r="K130" s="56"/>
      <c r="L130" s="56"/>
      <c r="M130" s="57"/>
    </row>
    <row r="131" spans="7:13" ht="18">
      <c r="G131" s="55"/>
      <c r="H131" s="56"/>
      <c r="I131" s="56"/>
      <c r="J131" s="56"/>
      <c r="K131" s="56"/>
      <c r="L131" s="56"/>
      <c r="M131" s="57"/>
    </row>
    <row r="132" spans="7:13" ht="18">
      <c r="G132" s="55"/>
      <c r="H132" s="56"/>
      <c r="I132" s="56"/>
      <c r="J132" s="56"/>
      <c r="K132" s="56"/>
      <c r="L132" s="56"/>
      <c r="M132" s="57"/>
    </row>
    <row r="133" spans="7:13" ht="18">
      <c r="G133" s="55"/>
      <c r="H133" s="56"/>
      <c r="I133" s="56"/>
      <c r="J133" s="56"/>
      <c r="K133" s="56"/>
      <c r="L133" s="56"/>
      <c r="M133" s="57"/>
    </row>
    <row r="134" spans="7:13" ht="18">
      <c r="G134" s="55"/>
      <c r="H134" s="56"/>
      <c r="I134" s="56"/>
      <c r="J134" s="56"/>
      <c r="K134" s="56"/>
      <c r="L134" s="56"/>
      <c r="M134" s="57"/>
    </row>
    <row r="135" spans="7:13" ht="18">
      <c r="G135" s="55"/>
      <c r="H135" s="56"/>
      <c r="I135" s="56"/>
      <c r="J135" s="56"/>
      <c r="K135" s="56"/>
      <c r="L135" s="56"/>
      <c r="M135" s="57"/>
    </row>
    <row r="136" spans="7:13" ht="18">
      <c r="G136" s="55"/>
      <c r="H136" s="56"/>
      <c r="I136" s="56"/>
      <c r="J136" s="56"/>
      <c r="K136" s="56"/>
      <c r="L136" s="56"/>
      <c r="M136" s="57"/>
    </row>
    <row r="137" spans="7:13" ht="18">
      <c r="G137" s="55"/>
      <c r="H137" s="56"/>
      <c r="I137" s="56"/>
      <c r="J137" s="56"/>
      <c r="K137" s="56"/>
      <c r="L137" s="56"/>
      <c r="M137" s="57"/>
    </row>
    <row r="138" spans="7:13" ht="18">
      <c r="G138" s="55"/>
      <c r="H138" s="56"/>
      <c r="I138" s="56"/>
      <c r="J138" s="56"/>
      <c r="K138" s="56"/>
      <c r="L138" s="56"/>
      <c r="M138" s="57"/>
    </row>
    <row r="139" spans="7:13" ht="18">
      <c r="G139" s="55"/>
      <c r="H139" s="56"/>
      <c r="I139" s="56"/>
      <c r="J139" s="56"/>
      <c r="K139" s="56"/>
      <c r="L139" s="56"/>
      <c r="M139" s="57"/>
    </row>
    <row r="140" spans="7:13" ht="18">
      <c r="G140" s="55"/>
      <c r="H140" s="56"/>
      <c r="I140" s="56"/>
      <c r="J140" s="56"/>
      <c r="K140" s="56"/>
      <c r="L140" s="56"/>
      <c r="M140" s="57"/>
    </row>
    <row r="141" spans="7:13" ht="18">
      <c r="G141" s="55"/>
      <c r="H141" s="56"/>
      <c r="I141" s="56"/>
      <c r="J141" s="56"/>
      <c r="K141" s="56"/>
      <c r="L141" s="56"/>
      <c r="M141" s="57"/>
    </row>
    <row r="142" spans="7:13" ht="18">
      <c r="G142" s="55"/>
      <c r="H142" s="56"/>
      <c r="I142" s="56"/>
      <c r="J142" s="56"/>
      <c r="K142" s="56"/>
      <c r="L142" s="56"/>
      <c r="M142" s="57"/>
    </row>
    <row r="143" spans="7:13" ht="18">
      <c r="G143" s="55"/>
      <c r="H143" s="56"/>
      <c r="I143" s="56"/>
      <c r="J143" s="56"/>
      <c r="K143" s="56"/>
      <c r="L143" s="56"/>
      <c r="M143" s="57"/>
    </row>
    <row r="144" spans="7:13" ht="18">
      <c r="G144" s="55"/>
      <c r="H144" s="56"/>
      <c r="I144" s="56"/>
      <c r="J144" s="56"/>
      <c r="K144" s="56"/>
      <c r="L144" s="56"/>
      <c r="M144" s="57"/>
    </row>
    <row r="145" spans="7:13" ht="18">
      <c r="G145" s="55"/>
      <c r="H145" s="56"/>
      <c r="I145" s="56"/>
      <c r="J145" s="56"/>
      <c r="K145" s="56"/>
      <c r="L145" s="56"/>
      <c r="M145" s="57"/>
    </row>
    <row r="146" spans="7:13" ht="18">
      <c r="G146" s="55"/>
      <c r="H146" s="56"/>
      <c r="I146" s="56"/>
      <c r="J146" s="56"/>
      <c r="K146" s="56"/>
      <c r="L146" s="56"/>
      <c r="M146" s="57"/>
    </row>
    <row r="147" spans="7:13" ht="18">
      <c r="G147" s="55"/>
      <c r="H147" s="56"/>
      <c r="I147" s="56"/>
      <c r="J147" s="56"/>
      <c r="K147" s="56"/>
      <c r="L147" s="56"/>
      <c r="M147" s="57"/>
    </row>
    <row r="148" spans="7:13" ht="18">
      <c r="G148" s="55"/>
      <c r="H148" s="56"/>
      <c r="I148" s="56"/>
      <c r="J148" s="56"/>
      <c r="K148" s="56"/>
      <c r="L148" s="56"/>
      <c r="M148" s="57"/>
    </row>
    <row r="149" spans="7:13" ht="18">
      <c r="G149" s="55"/>
      <c r="H149" s="56"/>
      <c r="I149" s="56"/>
      <c r="J149" s="56"/>
      <c r="K149" s="56"/>
      <c r="L149" s="56"/>
      <c r="M149" s="57"/>
    </row>
    <row r="150" spans="7:13" ht="18">
      <c r="G150" s="55"/>
      <c r="H150" s="56"/>
      <c r="I150" s="56"/>
      <c r="J150" s="56"/>
      <c r="K150" s="56"/>
      <c r="L150" s="56"/>
      <c r="M150" s="57"/>
    </row>
    <row r="151" spans="7:13" ht="18">
      <c r="G151" s="55"/>
      <c r="H151" s="56"/>
      <c r="I151" s="56"/>
      <c r="J151" s="56"/>
      <c r="K151" s="56"/>
      <c r="L151" s="56"/>
      <c r="M151" s="57"/>
    </row>
    <row r="152" spans="7:13" ht="18">
      <c r="G152" s="55"/>
      <c r="H152" s="56"/>
      <c r="I152" s="56"/>
      <c r="J152" s="56"/>
      <c r="K152" s="56"/>
      <c r="L152" s="56"/>
      <c r="M152" s="57"/>
    </row>
    <row r="153" spans="7:13" ht="18">
      <c r="G153" s="55"/>
      <c r="H153" s="56"/>
      <c r="I153" s="56"/>
      <c r="J153" s="56"/>
      <c r="K153" s="56"/>
      <c r="L153" s="56"/>
      <c r="M153" s="57"/>
    </row>
    <row r="154" spans="7:13" ht="18">
      <c r="G154" s="55"/>
      <c r="H154" s="56"/>
      <c r="I154" s="56"/>
      <c r="J154" s="56"/>
      <c r="K154" s="56"/>
      <c r="L154" s="56"/>
      <c r="M154" s="57"/>
    </row>
    <row r="155" spans="7:13" ht="18">
      <c r="G155" s="55"/>
      <c r="H155" s="56"/>
      <c r="I155" s="56"/>
      <c r="J155" s="56"/>
      <c r="K155" s="56"/>
      <c r="L155" s="56"/>
      <c r="M155" s="57"/>
    </row>
    <row r="156" spans="7:13" ht="18">
      <c r="G156" s="55"/>
      <c r="H156" s="56"/>
      <c r="I156" s="56"/>
      <c r="J156" s="56"/>
      <c r="K156" s="56"/>
      <c r="L156" s="56"/>
      <c r="M156" s="57"/>
    </row>
    <row r="157" spans="7:13" ht="18">
      <c r="G157" s="55"/>
      <c r="H157" s="56"/>
      <c r="I157" s="56"/>
      <c r="J157" s="56"/>
      <c r="K157" s="56"/>
      <c r="L157" s="56"/>
      <c r="M157" s="57"/>
    </row>
    <row r="158" spans="7:13" ht="18">
      <c r="G158" s="55"/>
      <c r="H158" s="56"/>
      <c r="I158" s="56"/>
      <c r="J158" s="56"/>
      <c r="K158" s="56"/>
      <c r="L158" s="56"/>
      <c r="M158" s="57"/>
    </row>
    <row r="159" spans="7:13" ht="18">
      <c r="G159" s="55"/>
      <c r="H159" s="56"/>
      <c r="I159" s="56"/>
      <c r="J159" s="56"/>
      <c r="K159" s="56"/>
      <c r="L159" s="56"/>
      <c r="M159" s="57"/>
    </row>
    <row r="160" spans="7:13" ht="18">
      <c r="G160" s="55"/>
      <c r="H160" s="56"/>
      <c r="I160" s="56"/>
      <c r="J160" s="56"/>
      <c r="K160" s="56"/>
      <c r="L160" s="56"/>
      <c r="M160" s="57"/>
    </row>
    <row r="161" spans="7:13" ht="18">
      <c r="G161" s="55"/>
      <c r="H161" s="56"/>
      <c r="I161" s="56"/>
      <c r="J161" s="56"/>
      <c r="K161" s="56"/>
      <c r="L161" s="56"/>
      <c r="M161" s="57"/>
    </row>
    <row r="162" spans="7:13" ht="18">
      <c r="G162" s="55"/>
      <c r="H162" s="56"/>
      <c r="I162" s="56"/>
      <c r="J162" s="56"/>
      <c r="K162" s="56"/>
      <c r="L162" s="56"/>
      <c r="M162" s="57"/>
    </row>
    <row r="163" spans="7:13" ht="18">
      <c r="G163" s="55"/>
      <c r="H163" s="56"/>
      <c r="I163" s="56"/>
      <c r="J163" s="56"/>
      <c r="K163" s="56"/>
      <c r="L163" s="56"/>
      <c r="M163" s="57"/>
    </row>
    <row r="164" spans="7:13" ht="18">
      <c r="G164" s="55"/>
      <c r="H164" s="56"/>
      <c r="I164" s="56"/>
      <c r="J164" s="56"/>
      <c r="K164" s="56"/>
      <c r="L164" s="56"/>
      <c r="M164" s="57"/>
    </row>
    <row r="165" spans="7:13" ht="18">
      <c r="G165" s="55"/>
      <c r="H165" s="56"/>
      <c r="I165" s="56"/>
      <c r="J165" s="56"/>
      <c r="K165" s="56"/>
      <c r="L165" s="56"/>
      <c r="M165" s="57"/>
    </row>
    <row r="166" spans="7:13" ht="18">
      <c r="G166" s="55"/>
      <c r="H166" s="56"/>
      <c r="I166" s="56"/>
      <c r="J166" s="56"/>
      <c r="K166" s="56"/>
      <c r="L166" s="56"/>
      <c r="M166" s="57"/>
    </row>
    <row r="167" spans="7:13" ht="18">
      <c r="G167" s="55"/>
      <c r="H167" s="56"/>
      <c r="I167" s="56"/>
      <c r="J167" s="56"/>
      <c r="K167" s="56"/>
      <c r="L167" s="56"/>
      <c r="M167" s="57"/>
    </row>
    <row r="168" spans="7:13" ht="18">
      <c r="G168" s="55"/>
      <c r="H168" s="56"/>
      <c r="I168" s="56"/>
      <c r="J168" s="56"/>
      <c r="K168" s="56"/>
      <c r="L168" s="56"/>
      <c r="M168" s="57"/>
    </row>
    <row r="169" spans="7:13" ht="18">
      <c r="G169" s="55"/>
      <c r="H169" s="56"/>
      <c r="I169" s="56"/>
      <c r="J169" s="56"/>
      <c r="K169" s="56"/>
      <c r="L169" s="56"/>
      <c r="M169" s="57"/>
    </row>
    <row r="170" spans="7:13" ht="18">
      <c r="G170" s="55"/>
      <c r="H170" s="56"/>
      <c r="I170" s="56"/>
      <c r="J170" s="56"/>
      <c r="K170" s="56"/>
      <c r="L170" s="56"/>
      <c r="M170" s="57"/>
    </row>
    <row r="171" spans="7:13" ht="18">
      <c r="G171" s="55"/>
      <c r="H171" s="56"/>
      <c r="I171" s="56"/>
      <c r="J171" s="56"/>
      <c r="K171" s="56"/>
      <c r="L171" s="56"/>
      <c r="M171" s="57"/>
    </row>
    <row r="172" spans="7:13" ht="18">
      <c r="G172" s="55"/>
      <c r="H172" s="56"/>
      <c r="I172" s="56"/>
      <c r="J172" s="56"/>
      <c r="K172" s="56"/>
      <c r="L172" s="56"/>
      <c r="M172" s="57"/>
    </row>
    <row r="173" spans="7:13" ht="18">
      <c r="G173" s="55"/>
      <c r="H173" s="56"/>
      <c r="I173" s="56"/>
      <c r="J173" s="56"/>
      <c r="K173" s="56"/>
      <c r="L173" s="56"/>
      <c r="M173" s="57"/>
    </row>
    <row r="174" spans="7:13" ht="18">
      <c r="G174" s="55"/>
      <c r="H174" s="56"/>
      <c r="I174" s="56"/>
      <c r="J174" s="56"/>
      <c r="K174" s="56"/>
      <c r="L174" s="56"/>
      <c r="M174" s="57"/>
    </row>
    <row r="175" spans="7:13" ht="18">
      <c r="G175" s="55"/>
      <c r="H175" s="56"/>
      <c r="I175" s="56"/>
      <c r="J175" s="56"/>
      <c r="K175" s="56"/>
      <c r="L175" s="56"/>
      <c r="M175" s="57"/>
    </row>
    <row r="176" spans="7:13" ht="18">
      <c r="G176" s="55"/>
      <c r="H176" s="56"/>
      <c r="I176" s="56"/>
      <c r="J176" s="56"/>
      <c r="K176" s="56"/>
      <c r="L176" s="56"/>
      <c r="M176" s="57"/>
    </row>
    <row r="177" spans="7:13" ht="18">
      <c r="G177" s="55"/>
      <c r="H177" s="56"/>
      <c r="I177" s="56"/>
      <c r="J177" s="56"/>
      <c r="K177" s="56"/>
      <c r="L177" s="56"/>
      <c r="M177" s="57"/>
    </row>
    <row r="178" spans="7:13" ht="18">
      <c r="G178" s="55"/>
      <c r="H178" s="56"/>
      <c r="I178" s="56"/>
      <c r="J178" s="56"/>
      <c r="K178" s="56"/>
      <c r="L178" s="56"/>
      <c r="M178" s="57"/>
    </row>
    <row r="179" spans="7:13" ht="18">
      <c r="G179" s="55"/>
      <c r="H179" s="56"/>
      <c r="I179" s="56"/>
      <c r="J179" s="56"/>
      <c r="K179" s="56"/>
      <c r="L179" s="56"/>
      <c r="M179" s="57"/>
    </row>
    <row r="180" spans="7:13" ht="18">
      <c r="G180" s="55"/>
      <c r="H180" s="56"/>
      <c r="I180" s="56"/>
      <c r="J180" s="56"/>
      <c r="K180" s="56"/>
      <c r="L180" s="56"/>
      <c r="M180" s="57"/>
    </row>
    <row r="181" spans="7:13" ht="18">
      <c r="G181" s="55"/>
      <c r="H181" s="56"/>
      <c r="I181" s="56"/>
      <c r="J181" s="56"/>
      <c r="K181" s="56"/>
      <c r="L181" s="56"/>
      <c r="M181" s="57"/>
    </row>
    <row r="182" spans="7:13" ht="18">
      <c r="G182" s="55"/>
      <c r="H182" s="56"/>
      <c r="I182" s="56"/>
      <c r="J182" s="56"/>
      <c r="K182" s="56"/>
      <c r="L182" s="56"/>
      <c r="M182" s="57"/>
    </row>
    <row r="183" spans="7:13" ht="18">
      <c r="G183" s="55"/>
      <c r="H183" s="56"/>
      <c r="I183" s="56"/>
      <c r="J183" s="56"/>
      <c r="K183" s="56"/>
      <c r="L183" s="56"/>
      <c r="M183" s="57"/>
    </row>
    <row r="184" spans="7:13" ht="18">
      <c r="G184" s="55"/>
      <c r="H184" s="56"/>
      <c r="I184" s="56"/>
      <c r="J184" s="56"/>
      <c r="K184" s="56"/>
      <c r="L184" s="56"/>
      <c r="M184" s="57"/>
    </row>
    <row r="185" spans="7:13" ht="18">
      <c r="G185" s="55"/>
      <c r="H185" s="56"/>
      <c r="I185" s="56"/>
      <c r="J185" s="56"/>
      <c r="K185" s="56"/>
      <c r="L185" s="56"/>
      <c r="M185" s="57"/>
    </row>
    <row r="186" spans="7:13" ht="18">
      <c r="G186" s="55"/>
      <c r="H186" s="56"/>
      <c r="I186" s="56"/>
      <c r="J186" s="56"/>
      <c r="K186" s="56"/>
      <c r="L186" s="56"/>
      <c r="M186" s="57"/>
    </row>
    <row r="187" spans="7:13" ht="18">
      <c r="G187" s="55"/>
      <c r="H187" s="56"/>
      <c r="I187" s="56"/>
      <c r="J187" s="56"/>
      <c r="K187" s="56"/>
      <c r="L187" s="56"/>
      <c r="M187" s="57"/>
    </row>
    <row r="188" spans="7:13" ht="18">
      <c r="G188" s="55"/>
      <c r="H188" s="56"/>
      <c r="I188" s="56"/>
      <c r="J188" s="56"/>
      <c r="K188" s="56"/>
      <c r="L188" s="56"/>
      <c r="M188" s="57"/>
    </row>
    <row r="189" spans="7:13" ht="18">
      <c r="G189" s="55"/>
      <c r="H189" s="56"/>
      <c r="I189" s="56"/>
      <c r="J189" s="56"/>
      <c r="K189" s="56"/>
      <c r="L189" s="56"/>
      <c r="M189" s="57"/>
    </row>
    <row r="190" spans="7:13" ht="18">
      <c r="G190" s="55"/>
      <c r="H190" s="56"/>
      <c r="I190" s="56"/>
      <c r="J190" s="56"/>
      <c r="K190" s="56"/>
      <c r="L190" s="56"/>
      <c r="M190" s="57"/>
    </row>
    <row r="191" spans="7:13" ht="18">
      <c r="G191" s="55"/>
      <c r="H191" s="56"/>
      <c r="I191" s="56"/>
      <c r="J191" s="56"/>
      <c r="K191" s="56"/>
      <c r="L191" s="56"/>
      <c r="M191" s="57"/>
    </row>
    <row r="192" spans="7:13" ht="18">
      <c r="G192" s="55"/>
      <c r="H192" s="56"/>
      <c r="I192" s="56"/>
      <c r="J192" s="56"/>
      <c r="K192" s="56"/>
      <c r="L192" s="56"/>
      <c r="M192" s="57"/>
    </row>
    <row r="193" spans="7:26" ht="18">
      <c r="G193" s="55"/>
      <c r="H193" s="56"/>
      <c r="I193" s="56"/>
      <c r="J193" s="56"/>
      <c r="K193" s="56"/>
      <c r="L193" s="56"/>
      <c r="M193" s="57"/>
    </row>
    <row r="194" spans="7:26" ht="18">
      <c r="G194" s="55"/>
      <c r="H194" s="56"/>
      <c r="I194" s="56"/>
      <c r="J194" s="56"/>
      <c r="K194" s="56"/>
      <c r="L194" s="56"/>
      <c r="M194" s="57"/>
    </row>
    <row r="195" spans="7:26" ht="18">
      <c r="G195" s="55"/>
      <c r="H195" s="56"/>
      <c r="I195" s="56"/>
      <c r="J195" s="56"/>
      <c r="K195" s="56"/>
      <c r="L195" s="56"/>
      <c r="M195" s="57"/>
    </row>
    <row r="196" spans="7:26" ht="18">
      <c r="G196" s="55"/>
      <c r="H196" s="56"/>
      <c r="I196" s="56"/>
      <c r="J196" s="56"/>
      <c r="K196" s="56"/>
      <c r="L196" s="56"/>
      <c r="M196" s="57"/>
    </row>
    <row r="197" spans="7:26" ht="18">
      <c r="G197" s="55"/>
      <c r="H197" s="56"/>
      <c r="I197" s="56"/>
      <c r="J197" s="56"/>
      <c r="K197" s="56"/>
      <c r="L197" s="56"/>
      <c r="M197" s="57"/>
    </row>
    <row r="198" spans="7:26" ht="18">
      <c r="G198" s="55"/>
      <c r="H198" s="56"/>
      <c r="I198" s="56"/>
      <c r="J198" s="56"/>
      <c r="K198" s="56"/>
      <c r="L198" s="56"/>
      <c r="M198" s="57"/>
    </row>
    <row r="199" spans="7:26" ht="18">
      <c r="G199" s="55"/>
      <c r="H199" s="56"/>
      <c r="I199" s="56"/>
      <c r="J199" s="56"/>
      <c r="K199" s="56"/>
      <c r="L199" s="56"/>
      <c r="M199" s="57"/>
    </row>
    <row r="200" spans="7:26" ht="18">
      <c r="G200" s="55"/>
      <c r="H200" s="56"/>
      <c r="I200" s="56"/>
      <c r="J200" s="56"/>
      <c r="K200" s="56"/>
      <c r="L200" s="56"/>
      <c r="M200" s="57"/>
    </row>
    <row r="201" spans="7:26" ht="18">
      <c r="G201" s="55"/>
      <c r="H201" s="56"/>
      <c r="I201" s="56"/>
      <c r="J201" s="56"/>
      <c r="K201" s="56"/>
      <c r="L201" s="56"/>
      <c r="M201" s="57"/>
      <c r="Z201" s="53"/>
    </row>
    <row r="202" spans="7:26" ht="18">
      <c r="G202" s="55"/>
      <c r="H202" s="56"/>
      <c r="I202" s="56"/>
      <c r="J202" s="56"/>
      <c r="K202" s="56"/>
      <c r="L202" s="56"/>
      <c r="M202" s="57"/>
      <c r="Z202" s="26"/>
    </row>
    <row r="203" spans="7:26" ht="18">
      <c r="G203" s="55"/>
      <c r="H203" s="56"/>
      <c r="I203" s="56"/>
      <c r="J203" s="56"/>
      <c r="K203" s="56"/>
      <c r="L203" s="56"/>
      <c r="M203" s="57"/>
      <c r="Z203" s="26"/>
    </row>
    <row r="204" spans="7:26" ht="18">
      <c r="G204" s="55"/>
      <c r="H204" s="56"/>
      <c r="I204" s="56"/>
      <c r="J204" s="56"/>
      <c r="K204" s="56"/>
      <c r="L204" s="56"/>
      <c r="M204" s="57"/>
      <c r="Z204" s="26"/>
    </row>
    <row r="205" spans="7:26" ht="18">
      <c r="G205" s="55"/>
      <c r="H205" s="56"/>
      <c r="I205" s="56"/>
      <c r="J205" s="56"/>
      <c r="K205" s="56"/>
      <c r="L205" s="56"/>
      <c r="M205" s="57"/>
      <c r="Z205" s="26"/>
    </row>
    <row r="206" spans="7:26" ht="18">
      <c r="G206" s="55"/>
      <c r="H206" s="56"/>
      <c r="I206" s="56"/>
      <c r="J206" s="56"/>
      <c r="K206" s="56"/>
      <c r="L206" s="56"/>
      <c r="M206" s="57"/>
      <c r="Z206" s="26"/>
    </row>
    <row r="207" spans="7:26" ht="18">
      <c r="G207" s="55"/>
      <c r="H207" s="56"/>
      <c r="I207" s="56"/>
      <c r="J207" s="56"/>
      <c r="K207" s="56"/>
      <c r="L207" s="56"/>
      <c r="M207" s="57"/>
      <c r="Z207" s="26"/>
    </row>
    <row r="208" spans="7:26" ht="18">
      <c r="G208" s="55"/>
      <c r="H208" s="56"/>
      <c r="I208" s="56"/>
      <c r="J208" s="56"/>
      <c r="K208" s="56"/>
      <c r="L208" s="56"/>
      <c r="M208" s="57"/>
      <c r="Z208" s="26"/>
    </row>
    <row r="209" spans="7:26" ht="18">
      <c r="G209" s="55"/>
      <c r="H209" s="56"/>
      <c r="I209" s="56"/>
      <c r="J209" s="56"/>
      <c r="K209" s="56"/>
      <c r="L209" s="56"/>
      <c r="M209" s="57"/>
      <c r="Z209" s="26"/>
    </row>
    <row r="210" spans="7:26" ht="18">
      <c r="G210" s="55"/>
      <c r="H210" s="56"/>
      <c r="I210" s="56"/>
      <c r="J210" s="56"/>
      <c r="K210" s="56"/>
      <c r="L210" s="56"/>
      <c r="M210" s="57"/>
    </row>
    <row r="211" spans="7:26" ht="18">
      <c r="G211" s="55"/>
      <c r="H211" s="56"/>
      <c r="I211" s="56"/>
      <c r="J211" s="56"/>
      <c r="K211" s="56"/>
      <c r="L211" s="56"/>
      <c r="M211" s="57"/>
    </row>
    <row r="212" spans="7:26" ht="18">
      <c r="G212" s="55"/>
      <c r="H212" s="56"/>
      <c r="I212" s="56"/>
      <c r="J212" s="56"/>
      <c r="K212" s="56"/>
      <c r="L212" s="56"/>
      <c r="M212" s="57"/>
    </row>
    <row r="213" spans="7:26" ht="18">
      <c r="G213" s="55"/>
      <c r="H213" s="56"/>
      <c r="I213" s="56"/>
      <c r="J213" s="56"/>
      <c r="K213" s="56"/>
      <c r="L213" s="56"/>
      <c r="M213" s="57"/>
    </row>
    <row r="214" spans="7:26" ht="18">
      <c r="G214" s="55"/>
      <c r="H214" s="56"/>
      <c r="I214" s="56"/>
      <c r="J214" s="56"/>
      <c r="K214" s="56"/>
      <c r="L214" s="56"/>
      <c r="M214" s="57"/>
    </row>
    <row r="215" spans="7:26" ht="18">
      <c r="G215" s="55"/>
      <c r="H215" s="56"/>
      <c r="I215" s="56"/>
      <c r="J215" s="56"/>
      <c r="K215" s="56"/>
      <c r="L215" s="56"/>
      <c r="M215" s="57"/>
    </row>
    <row r="216" spans="7:26" ht="18">
      <c r="G216" s="55"/>
      <c r="H216" s="56"/>
      <c r="I216" s="56"/>
      <c r="J216" s="56"/>
      <c r="K216" s="56"/>
      <c r="L216" s="56"/>
      <c r="M216" s="57"/>
    </row>
    <row r="217" spans="7:26" ht="18">
      <c r="G217" s="55"/>
      <c r="H217" s="56"/>
      <c r="I217" s="56"/>
      <c r="J217" s="56"/>
      <c r="K217" s="56"/>
      <c r="L217" s="56"/>
      <c r="M217" s="57"/>
    </row>
    <row r="218" spans="7:26" ht="18">
      <c r="G218" s="55"/>
      <c r="H218" s="56"/>
      <c r="I218" s="56"/>
      <c r="J218" s="56"/>
      <c r="K218" s="56"/>
      <c r="L218" s="56"/>
      <c r="M218" s="57"/>
    </row>
    <row r="219" spans="7:26" ht="18">
      <c r="G219" s="55"/>
      <c r="H219" s="56"/>
      <c r="I219" s="56"/>
      <c r="J219" s="56"/>
      <c r="K219" s="56"/>
      <c r="L219" s="56"/>
      <c r="M219" s="57"/>
    </row>
    <row r="220" spans="7:26" ht="18">
      <c r="G220" s="55"/>
      <c r="H220" s="56"/>
      <c r="I220" s="56"/>
      <c r="J220" s="56"/>
      <c r="K220" s="56"/>
      <c r="L220" s="56"/>
      <c r="M220" s="57"/>
    </row>
    <row r="221" spans="7:26" ht="18">
      <c r="G221" s="55"/>
      <c r="H221" s="56"/>
      <c r="I221" s="56"/>
      <c r="J221" s="56"/>
      <c r="K221" s="56"/>
      <c r="L221" s="56"/>
      <c r="M221" s="57"/>
    </row>
    <row r="222" spans="7:26" ht="18">
      <c r="G222" s="55"/>
      <c r="H222" s="56"/>
      <c r="I222" s="56"/>
      <c r="J222" s="56"/>
      <c r="K222" s="56"/>
      <c r="L222" s="56"/>
      <c r="M222" s="57"/>
    </row>
    <row r="223" spans="7:26" ht="18">
      <c r="G223" s="55"/>
      <c r="H223" s="56"/>
      <c r="I223" s="56"/>
      <c r="J223" s="56"/>
      <c r="K223" s="56"/>
      <c r="L223" s="56"/>
      <c r="M223" s="57"/>
    </row>
    <row r="224" spans="7:26" ht="18">
      <c r="G224" s="55"/>
      <c r="H224" s="56"/>
      <c r="I224" s="56"/>
      <c r="J224" s="56"/>
      <c r="K224" s="56"/>
      <c r="L224" s="56"/>
      <c r="M224" s="57"/>
    </row>
    <row r="225" spans="7:13" ht="18">
      <c r="G225" s="55"/>
      <c r="H225" s="56"/>
      <c r="I225" s="56"/>
      <c r="J225" s="56"/>
      <c r="K225" s="56"/>
      <c r="L225" s="56"/>
      <c r="M225" s="57"/>
    </row>
    <row r="226" spans="7:13" ht="18">
      <c r="G226" s="55"/>
      <c r="H226" s="56"/>
      <c r="I226" s="56"/>
      <c r="J226" s="56"/>
      <c r="K226" s="56"/>
      <c r="L226" s="56"/>
      <c r="M226" s="57"/>
    </row>
    <row r="227" spans="7:13" ht="18">
      <c r="G227" s="55"/>
      <c r="H227" s="56"/>
      <c r="I227" s="56"/>
      <c r="J227" s="56"/>
      <c r="K227" s="56"/>
      <c r="L227" s="56"/>
      <c r="M227" s="57"/>
    </row>
    <row r="228" spans="7:13" ht="18">
      <c r="G228" s="55"/>
      <c r="H228" s="56"/>
      <c r="I228" s="56"/>
      <c r="J228" s="56"/>
      <c r="K228" s="56"/>
      <c r="L228" s="56"/>
      <c r="M228" s="57"/>
    </row>
    <row r="229" spans="7:13" ht="18">
      <c r="G229" s="55"/>
      <c r="H229" s="56"/>
      <c r="I229" s="56"/>
      <c r="J229" s="56"/>
      <c r="K229" s="56"/>
      <c r="L229" s="56"/>
      <c r="M229" s="57"/>
    </row>
    <row r="230" spans="7:13" ht="18">
      <c r="G230" s="55"/>
      <c r="H230" s="56"/>
      <c r="I230" s="56"/>
      <c r="J230" s="56"/>
      <c r="K230" s="56"/>
      <c r="L230" s="56"/>
      <c r="M230" s="57"/>
    </row>
    <row r="231" spans="7:13" ht="18">
      <c r="G231" s="55"/>
      <c r="H231" s="56"/>
      <c r="I231" s="56"/>
      <c r="J231" s="56"/>
      <c r="K231" s="56"/>
      <c r="L231" s="56"/>
      <c r="M231" s="57"/>
    </row>
    <row r="232" spans="7:13" ht="18">
      <c r="G232" s="55"/>
      <c r="H232" s="56"/>
      <c r="I232" s="56"/>
      <c r="J232" s="56"/>
      <c r="K232" s="56"/>
      <c r="L232" s="56"/>
      <c r="M232" s="57"/>
    </row>
    <row r="233" spans="7:13" ht="18">
      <c r="G233" s="55"/>
      <c r="H233" s="56"/>
      <c r="I233" s="56"/>
      <c r="J233" s="56"/>
      <c r="K233" s="56"/>
      <c r="L233" s="56"/>
      <c r="M233" s="57"/>
    </row>
    <row r="234" spans="7:13" ht="18">
      <c r="G234" s="55"/>
      <c r="H234" s="56"/>
      <c r="I234" s="56"/>
      <c r="J234" s="56"/>
      <c r="K234" s="56"/>
      <c r="L234" s="56"/>
      <c r="M234" s="57"/>
    </row>
    <row r="235" spans="7:13" ht="18">
      <c r="G235" s="55"/>
      <c r="H235" s="56"/>
      <c r="I235" s="56"/>
      <c r="J235" s="56"/>
      <c r="K235" s="56"/>
      <c r="L235" s="56"/>
      <c r="M235" s="57"/>
    </row>
    <row r="236" spans="7:13" ht="18">
      <c r="G236" s="55"/>
      <c r="H236" s="56"/>
      <c r="I236" s="56"/>
      <c r="J236" s="56"/>
      <c r="K236" s="56"/>
      <c r="L236" s="56"/>
      <c r="M236" s="57"/>
    </row>
    <row r="237" spans="7:13" ht="18">
      <c r="G237" s="55"/>
      <c r="H237" s="56"/>
      <c r="I237" s="56"/>
      <c r="J237" s="56"/>
      <c r="K237" s="56"/>
      <c r="L237" s="56"/>
      <c r="M237" s="57"/>
    </row>
    <row r="238" spans="7:13" ht="18">
      <c r="G238" s="55"/>
      <c r="H238" s="56"/>
      <c r="I238" s="56"/>
      <c r="J238" s="56"/>
      <c r="K238" s="56"/>
      <c r="L238" s="56"/>
      <c r="M238" s="57"/>
    </row>
    <row r="239" spans="7:13" ht="18">
      <c r="G239" s="55"/>
      <c r="H239" s="56"/>
      <c r="I239" s="56"/>
      <c r="J239" s="56"/>
      <c r="K239" s="56"/>
      <c r="L239" s="56"/>
      <c r="M239" s="57"/>
    </row>
    <row r="240" spans="7:13" ht="18">
      <c r="G240" s="55"/>
      <c r="H240" s="56"/>
      <c r="I240" s="56"/>
      <c r="J240" s="56"/>
      <c r="K240" s="56"/>
      <c r="L240" s="56"/>
      <c r="M240" s="57"/>
    </row>
    <row r="241" spans="7:13" ht="18">
      <c r="G241" s="55"/>
      <c r="H241" s="56"/>
      <c r="I241" s="56"/>
      <c r="J241" s="56"/>
      <c r="K241" s="56"/>
      <c r="L241" s="56"/>
      <c r="M241" s="57"/>
    </row>
    <row r="242" spans="7:13" ht="18">
      <c r="G242" s="55"/>
      <c r="H242" s="56"/>
      <c r="I242" s="56"/>
      <c r="J242" s="56"/>
      <c r="K242" s="56"/>
      <c r="L242" s="56"/>
      <c r="M242" s="57"/>
    </row>
    <row r="243" spans="7:13" ht="18">
      <c r="G243" s="55"/>
      <c r="H243" s="56"/>
      <c r="I243" s="56"/>
      <c r="J243" s="56"/>
      <c r="K243" s="56"/>
      <c r="L243" s="56"/>
      <c r="M243" s="57"/>
    </row>
    <row r="244" spans="7:13" ht="18">
      <c r="G244" s="55"/>
      <c r="H244" s="56"/>
      <c r="I244" s="56"/>
      <c r="J244" s="56"/>
      <c r="K244" s="56"/>
      <c r="L244" s="56"/>
      <c r="M244" s="57"/>
    </row>
    <row r="245" spans="7:13" ht="18">
      <c r="G245" s="55"/>
      <c r="H245" s="56"/>
      <c r="I245" s="56"/>
      <c r="J245" s="56"/>
      <c r="K245" s="56"/>
      <c r="L245" s="56"/>
      <c r="M245" s="57"/>
    </row>
    <row r="246" spans="7:13" ht="18">
      <c r="G246" s="55"/>
      <c r="H246" s="56"/>
      <c r="I246" s="56"/>
      <c r="J246" s="56"/>
      <c r="K246" s="56"/>
      <c r="L246" s="56"/>
      <c r="M246" s="57"/>
    </row>
    <row r="247" spans="7:13" ht="18">
      <c r="G247" s="55"/>
      <c r="H247" s="56"/>
      <c r="I247" s="56"/>
      <c r="J247" s="56"/>
      <c r="K247" s="56"/>
      <c r="L247" s="56"/>
      <c r="M247" s="57"/>
    </row>
    <row r="248" spans="7:13" ht="18">
      <c r="G248" s="55"/>
      <c r="H248" s="56"/>
      <c r="I248" s="56"/>
      <c r="J248" s="56"/>
      <c r="K248" s="56"/>
      <c r="L248" s="56"/>
      <c r="M248" s="57"/>
    </row>
    <row r="249" spans="7:13" ht="18">
      <c r="G249" s="55"/>
      <c r="H249" s="56"/>
      <c r="I249" s="56"/>
      <c r="J249" s="56"/>
      <c r="K249" s="56"/>
      <c r="L249" s="56"/>
      <c r="M249" s="57"/>
    </row>
    <row r="250" spans="7:13" ht="18">
      <c r="G250" s="55"/>
      <c r="H250" s="56"/>
      <c r="I250" s="56"/>
      <c r="J250" s="56"/>
      <c r="K250" s="56"/>
      <c r="L250" s="56"/>
      <c r="M250" s="57"/>
    </row>
    <row r="251" spans="7:13" ht="18">
      <c r="G251" s="55"/>
      <c r="H251" s="56"/>
      <c r="I251" s="56"/>
      <c r="J251" s="56"/>
      <c r="K251" s="56"/>
      <c r="L251" s="56"/>
      <c r="M251" s="57"/>
    </row>
    <row r="252" spans="7:13" ht="18">
      <c r="G252" s="55"/>
      <c r="H252" s="56"/>
      <c r="I252" s="56"/>
      <c r="J252" s="56"/>
      <c r="K252" s="56"/>
      <c r="L252" s="56"/>
      <c r="M252" s="57"/>
    </row>
    <row r="253" spans="7:13" ht="18">
      <c r="G253" s="55"/>
      <c r="H253" s="56"/>
      <c r="I253" s="56"/>
      <c r="J253" s="56"/>
      <c r="K253" s="56"/>
      <c r="L253" s="56"/>
      <c r="M253" s="57"/>
    </row>
    <row r="254" spans="7:13" ht="18">
      <c r="G254" s="55"/>
      <c r="H254" s="56"/>
      <c r="I254" s="56"/>
      <c r="J254" s="56"/>
      <c r="K254" s="56"/>
      <c r="L254" s="56"/>
      <c r="M254" s="57"/>
    </row>
    <row r="255" spans="7:13" ht="18">
      <c r="G255" s="55"/>
      <c r="H255" s="56"/>
      <c r="I255" s="56"/>
      <c r="J255" s="56"/>
      <c r="K255" s="56"/>
      <c r="L255" s="56"/>
      <c r="M255" s="57"/>
    </row>
    <row r="256" spans="7:13" ht="18">
      <c r="G256" s="55"/>
      <c r="H256" s="56"/>
      <c r="I256" s="56"/>
      <c r="J256" s="56"/>
      <c r="K256" s="56"/>
      <c r="L256" s="56"/>
      <c r="M256" s="57"/>
    </row>
    <row r="257" spans="7:13" ht="18">
      <c r="G257" s="55"/>
      <c r="H257" s="56"/>
      <c r="I257" s="56"/>
      <c r="J257" s="56"/>
      <c r="K257" s="56"/>
      <c r="L257" s="56"/>
      <c r="M257" s="57"/>
    </row>
    <row r="258" spans="7:13" ht="18">
      <c r="G258" s="55"/>
      <c r="H258" s="56"/>
      <c r="I258" s="56"/>
      <c r="J258" s="56"/>
      <c r="K258" s="56"/>
      <c r="L258" s="56"/>
      <c r="M258" s="57"/>
    </row>
    <row r="259" spans="7:13" ht="18">
      <c r="G259" s="55"/>
      <c r="H259" s="56"/>
      <c r="I259" s="56"/>
      <c r="J259" s="56"/>
      <c r="K259" s="56"/>
      <c r="L259" s="56"/>
      <c r="M259" s="57"/>
    </row>
    <row r="260" spans="7:13" ht="18">
      <c r="G260" s="55"/>
      <c r="H260" s="56"/>
      <c r="I260" s="56"/>
      <c r="J260" s="56"/>
      <c r="K260" s="56"/>
      <c r="L260" s="56"/>
      <c r="M260" s="57"/>
    </row>
    <row r="261" spans="7:13" ht="18">
      <c r="G261" s="55"/>
      <c r="H261" s="56"/>
      <c r="I261" s="56"/>
      <c r="J261" s="56"/>
      <c r="K261" s="56"/>
      <c r="L261" s="56"/>
      <c r="M261" s="57"/>
    </row>
    <row r="262" spans="7:13" ht="18">
      <c r="G262" s="55"/>
      <c r="H262" s="56"/>
      <c r="I262" s="56"/>
      <c r="J262" s="56"/>
      <c r="K262" s="56"/>
      <c r="L262" s="56"/>
      <c r="M262" s="57"/>
    </row>
    <row r="263" spans="7:13" ht="18">
      <c r="G263" s="55"/>
      <c r="H263" s="56"/>
      <c r="I263" s="56"/>
      <c r="J263" s="56"/>
      <c r="K263" s="56"/>
      <c r="L263" s="56"/>
      <c r="M263" s="57"/>
    </row>
    <row r="264" spans="7:13" ht="18">
      <c r="G264" s="55"/>
      <c r="H264" s="56"/>
      <c r="I264" s="56"/>
      <c r="J264" s="56"/>
      <c r="K264" s="56"/>
      <c r="L264" s="56"/>
      <c r="M264" s="57"/>
    </row>
    <row r="265" spans="7:13" ht="18">
      <c r="G265" s="55"/>
      <c r="H265" s="56"/>
      <c r="I265" s="56"/>
      <c r="J265" s="56"/>
      <c r="K265" s="56"/>
      <c r="L265" s="56"/>
      <c r="M265" s="57"/>
    </row>
    <row r="266" spans="7:13" ht="18">
      <c r="G266" s="55"/>
      <c r="H266" s="56"/>
      <c r="I266" s="56"/>
      <c r="J266" s="56"/>
      <c r="K266" s="56"/>
      <c r="L266" s="56"/>
      <c r="M266" s="57"/>
    </row>
    <row r="267" spans="7:13" ht="18">
      <c r="G267" s="55"/>
      <c r="H267" s="56"/>
      <c r="I267" s="56"/>
      <c r="J267" s="56"/>
      <c r="K267" s="56"/>
      <c r="L267" s="56"/>
      <c r="M267" s="57"/>
    </row>
    <row r="268" spans="7:13" ht="18">
      <c r="G268" s="55"/>
      <c r="H268" s="56"/>
      <c r="I268" s="56"/>
      <c r="J268" s="56"/>
      <c r="K268" s="56"/>
      <c r="L268" s="56"/>
      <c r="M268" s="57"/>
    </row>
    <row r="269" spans="7:13" ht="18">
      <c r="G269" s="55"/>
      <c r="H269" s="56"/>
      <c r="I269" s="56"/>
      <c r="J269" s="56"/>
      <c r="K269" s="56"/>
      <c r="L269" s="56"/>
      <c r="M269" s="57"/>
    </row>
    <row r="270" spans="7:13" ht="18">
      <c r="G270" s="55"/>
      <c r="H270" s="56"/>
      <c r="I270" s="56"/>
      <c r="J270" s="56"/>
      <c r="K270" s="56"/>
      <c r="L270" s="56"/>
      <c r="M270" s="57"/>
    </row>
    <row r="271" spans="7:13" ht="18">
      <c r="G271" s="55"/>
      <c r="H271" s="56"/>
      <c r="I271" s="56"/>
      <c r="J271" s="56"/>
      <c r="K271" s="56"/>
      <c r="L271" s="56"/>
      <c r="M271" s="57"/>
    </row>
    <row r="272" spans="7:13" ht="18">
      <c r="G272" s="55"/>
      <c r="H272" s="56"/>
      <c r="I272" s="56"/>
      <c r="J272" s="56"/>
      <c r="K272" s="56"/>
      <c r="L272" s="56"/>
      <c r="M272" s="57"/>
    </row>
    <row r="273" spans="7:13" ht="18">
      <c r="G273" s="55"/>
      <c r="H273" s="56"/>
      <c r="I273" s="56"/>
      <c r="J273" s="56"/>
      <c r="K273" s="56"/>
      <c r="L273" s="56"/>
      <c r="M273" s="57"/>
    </row>
    <row r="274" spans="7:13" ht="18">
      <c r="G274" s="55"/>
      <c r="H274" s="56"/>
      <c r="I274" s="56"/>
      <c r="J274" s="56"/>
      <c r="K274" s="56"/>
      <c r="L274" s="56"/>
      <c r="M274" s="57"/>
    </row>
    <row r="275" spans="7:13" ht="18">
      <c r="G275" s="55"/>
      <c r="H275" s="56"/>
      <c r="I275" s="56"/>
      <c r="J275" s="56"/>
      <c r="K275" s="56"/>
      <c r="L275" s="56"/>
      <c r="M275" s="57"/>
    </row>
    <row r="276" spans="7:13" ht="18">
      <c r="G276" s="55"/>
      <c r="H276" s="56"/>
      <c r="I276" s="56"/>
      <c r="J276" s="56"/>
      <c r="K276" s="56"/>
      <c r="L276" s="56"/>
      <c r="M276" s="57"/>
    </row>
    <row r="277" spans="7:13" ht="18">
      <c r="G277" s="55"/>
      <c r="H277" s="56"/>
      <c r="I277" s="56"/>
      <c r="J277" s="56"/>
      <c r="K277" s="56"/>
      <c r="L277" s="56"/>
      <c r="M277" s="57"/>
    </row>
    <row r="278" spans="7:13" ht="18">
      <c r="G278" s="55"/>
      <c r="H278" s="56"/>
      <c r="I278" s="56"/>
      <c r="J278" s="56"/>
      <c r="K278" s="56"/>
      <c r="L278" s="56"/>
      <c r="M278" s="57"/>
    </row>
    <row r="279" spans="7:13" ht="18">
      <c r="G279" s="55"/>
      <c r="H279" s="56"/>
      <c r="I279" s="56"/>
      <c r="J279" s="56"/>
      <c r="K279" s="56"/>
      <c r="L279" s="56"/>
      <c r="M279" s="57"/>
    </row>
    <row r="280" spans="7:13" ht="18">
      <c r="G280" s="55"/>
      <c r="H280" s="56"/>
      <c r="I280" s="56"/>
      <c r="J280" s="56"/>
      <c r="K280" s="56"/>
      <c r="L280" s="56"/>
      <c r="M280" s="57"/>
    </row>
    <row r="281" spans="7:13" ht="18">
      <c r="G281" s="55"/>
      <c r="H281" s="56"/>
      <c r="I281" s="56"/>
      <c r="J281" s="56"/>
      <c r="K281" s="56"/>
      <c r="L281" s="56"/>
      <c r="M281" s="57"/>
    </row>
    <row r="282" spans="7:13" ht="18">
      <c r="G282" s="55"/>
      <c r="H282" s="56"/>
      <c r="I282" s="56"/>
      <c r="J282" s="56"/>
      <c r="K282" s="56"/>
      <c r="L282" s="56"/>
      <c r="M282" s="57"/>
    </row>
    <row r="283" spans="7:13" ht="18">
      <c r="G283" s="55"/>
      <c r="H283" s="56"/>
      <c r="I283" s="56"/>
      <c r="J283" s="56"/>
      <c r="K283" s="56"/>
      <c r="L283" s="56"/>
      <c r="M283" s="57"/>
    </row>
    <row r="284" spans="7:13" ht="18">
      <c r="G284" s="55"/>
      <c r="H284" s="56"/>
      <c r="I284" s="56"/>
      <c r="J284" s="56"/>
      <c r="K284" s="56"/>
      <c r="L284" s="56"/>
      <c r="M284" s="57"/>
    </row>
    <row r="285" spans="7:13" ht="18">
      <c r="G285" s="55"/>
      <c r="H285" s="56"/>
      <c r="I285" s="56"/>
      <c r="J285" s="56"/>
      <c r="K285" s="56"/>
      <c r="L285" s="56"/>
      <c r="M285" s="57"/>
    </row>
    <row r="286" spans="7:13" ht="18">
      <c r="G286" s="55"/>
      <c r="H286" s="56"/>
      <c r="I286" s="56"/>
      <c r="J286" s="56"/>
      <c r="K286" s="56"/>
      <c r="L286" s="56"/>
      <c r="M286" s="57"/>
    </row>
    <row r="287" spans="7:13" ht="18">
      <c r="G287" s="55"/>
      <c r="H287" s="56"/>
      <c r="I287" s="56"/>
      <c r="J287" s="56"/>
      <c r="K287" s="56"/>
      <c r="L287" s="56"/>
      <c r="M287" s="57"/>
    </row>
    <row r="288" spans="7:13" ht="18">
      <c r="G288" s="55"/>
      <c r="H288" s="56"/>
      <c r="I288" s="56"/>
      <c r="J288" s="56"/>
      <c r="K288" s="56"/>
      <c r="L288" s="56"/>
      <c r="M288" s="57"/>
    </row>
    <row r="289" spans="7:13" ht="18">
      <c r="G289" s="55"/>
      <c r="H289" s="56"/>
      <c r="I289" s="56"/>
      <c r="J289" s="56"/>
      <c r="K289" s="56"/>
      <c r="L289" s="56"/>
      <c r="M289" s="57"/>
    </row>
    <row r="290" spans="7:13" ht="18">
      <c r="G290" s="55"/>
      <c r="H290" s="56"/>
      <c r="I290" s="56"/>
      <c r="J290" s="56"/>
      <c r="K290" s="56"/>
      <c r="L290" s="56"/>
      <c r="M290" s="57"/>
    </row>
    <row r="291" spans="7:13" ht="18">
      <c r="G291" s="55"/>
      <c r="H291" s="56"/>
      <c r="I291" s="56"/>
      <c r="J291" s="56"/>
      <c r="K291" s="56"/>
      <c r="L291" s="56"/>
      <c r="M291" s="57"/>
    </row>
    <row r="292" spans="7:13" ht="18">
      <c r="G292" s="55"/>
      <c r="H292" s="56"/>
      <c r="I292" s="56"/>
      <c r="J292" s="56"/>
      <c r="K292" s="56"/>
      <c r="L292" s="56"/>
      <c r="M292" s="57"/>
    </row>
    <row r="293" spans="7:13" ht="18">
      <c r="G293" s="55"/>
      <c r="H293" s="56"/>
      <c r="I293" s="56"/>
      <c r="J293" s="56"/>
      <c r="K293" s="56"/>
      <c r="L293" s="56"/>
      <c r="M293" s="57"/>
    </row>
    <row r="294" spans="7:13" ht="18">
      <c r="G294" s="55"/>
      <c r="H294" s="56"/>
      <c r="I294" s="56"/>
      <c r="J294" s="56"/>
      <c r="K294" s="56"/>
      <c r="L294" s="56"/>
      <c r="M294" s="57"/>
    </row>
    <row r="295" spans="7:13" ht="18">
      <c r="G295" s="55"/>
      <c r="H295" s="56"/>
      <c r="I295" s="56"/>
      <c r="J295" s="56"/>
      <c r="K295" s="56"/>
      <c r="L295" s="56"/>
      <c r="M295" s="57"/>
    </row>
    <row r="296" spans="7:13" ht="18">
      <c r="G296" s="55"/>
      <c r="H296" s="56"/>
      <c r="I296" s="56"/>
      <c r="J296" s="56"/>
      <c r="K296" s="56"/>
      <c r="L296" s="56"/>
      <c r="M296" s="57"/>
    </row>
    <row r="297" spans="7:13" ht="18">
      <c r="G297" s="55"/>
      <c r="H297" s="56"/>
      <c r="I297" s="56"/>
      <c r="J297" s="56"/>
      <c r="K297" s="56"/>
      <c r="L297" s="56"/>
      <c r="M297" s="57"/>
    </row>
    <row r="298" spans="7:13" ht="18">
      <c r="G298" s="55"/>
      <c r="H298" s="56"/>
      <c r="I298" s="56"/>
      <c r="J298" s="56"/>
      <c r="K298" s="56"/>
      <c r="L298" s="56"/>
      <c r="M298" s="57"/>
    </row>
    <row r="299" spans="7:13" ht="18">
      <c r="G299" s="55"/>
      <c r="H299" s="56"/>
      <c r="I299" s="56"/>
      <c r="J299" s="56"/>
      <c r="K299" s="56"/>
      <c r="L299" s="56"/>
      <c r="M299" s="57"/>
    </row>
    <row r="300" spans="7:13" ht="18">
      <c r="G300" s="55"/>
      <c r="H300" s="56"/>
      <c r="I300" s="56"/>
      <c r="J300" s="56"/>
      <c r="K300" s="56"/>
      <c r="L300" s="56"/>
      <c r="M300" s="57"/>
    </row>
    <row r="301" spans="7:13" ht="18">
      <c r="G301" s="55"/>
      <c r="H301" s="56"/>
      <c r="I301" s="56"/>
      <c r="J301" s="56"/>
      <c r="K301" s="56"/>
      <c r="L301" s="56"/>
      <c r="M301" s="57"/>
    </row>
    <row r="302" spans="7:13" ht="18">
      <c r="G302" s="55"/>
      <c r="H302" s="56"/>
      <c r="I302" s="56"/>
      <c r="J302" s="56"/>
      <c r="K302" s="56"/>
      <c r="L302" s="56"/>
      <c r="M302" s="57"/>
    </row>
    <row r="303" spans="7:13" ht="18">
      <c r="G303" s="55"/>
      <c r="H303" s="56"/>
      <c r="I303" s="56"/>
      <c r="J303" s="56"/>
      <c r="K303" s="56"/>
      <c r="L303" s="56"/>
      <c r="M303" s="57"/>
    </row>
    <row r="304" spans="7:13" ht="18">
      <c r="G304" s="55"/>
      <c r="H304" s="56"/>
      <c r="I304" s="56"/>
      <c r="J304" s="56"/>
      <c r="K304" s="56"/>
      <c r="L304" s="56"/>
      <c r="M304" s="57"/>
    </row>
    <row r="305" spans="7:13" ht="18">
      <c r="G305" s="55"/>
      <c r="H305" s="56"/>
      <c r="I305" s="56"/>
      <c r="J305" s="56"/>
      <c r="K305" s="56"/>
      <c r="L305" s="56"/>
      <c r="M305" s="57"/>
    </row>
    <row r="306" spans="7:13" ht="18">
      <c r="G306" s="55"/>
      <c r="H306" s="56"/>
      <c r="I306" s="56"/>
      <c r="J306" s="56"/>
      <c r="K306" s="56"/>
      <c r="L306" s="56"/>
      <c r="M306" s="57"/>
    </row>
    <row r="307" spans="7:13" ht="18">
      <c r="G307" s="55"/>
      <c r="H307" s="56"/>
      <c r="I307" s="56"/>
      <c r="J307" s="56"/>
      <c r="K307" s="56"/>
      <c r="L307" s="56"/>
      <c r="M307" s="57"/>
    </row>
    <row r="308" spans="7:13" ht="18">
      <c r="G308" s="55"/>
      <c r="H308" s="56"/>
      <c r="I308" s="56"/>
      <c r="J308" s="56"/>
      <c r="K308" s="56"/>
      <c r="L308" s="56"/>
      <c r="M308" s="57"/>
    </row>
    <row r="309" spans="7:13" ht="18">
      <c r="G309" s="55"/>
      <c r="H309" s="56"/>
      <c r="I309" s="56"/>
      <c r="J309" s="56"/>
      <c r="K309" s="56"/>
      <c r="L309" s="56"/>
      <c r="M309" s="57"/>
    </row>
    <row r="310" spans="7:13" ht="18">
      <c r="G310" s="55"/>
      <c r="H310" s="56"/>
      <c r="I310" s="56"/>
      <c r="J310" s="56"/>
      <c r="K310" s="56"/>
      <c r="L310" s="56"/>
      <c r="M310" s="57"/>
    </row>
    <row r="311" spans="7:13" ht="18">
      <c r="G311" s="55"/>
      <c r="H311" s="56"/>
      <c r="I311" s="56"/>
      <c r="J311" s="56"/>
      <c r="K311" s="56"/>
      <c r="L311" s="56"/>
      <c r="M311" s="57"/>
    </row>
    <row r="312" spans="7:13" ht="18">
      <c r="G312" s="55"/>
      <c r="H312" s="56"/>
      <c r="I312" s="56"/>
      <c r="J312" s="56"/>
      <c r="K312" s="56"/>
      <c r="L312" s="56"/>
      <c r="M312" s="57"/>
    </row>
    <row r="313" spans="7:13" ht="18">
      <c r="G313" s="55"/>
      <c r="H313" s="56"/>
      <c r="I313" s="56"/>
      <c r="J313" s="56"/>
      <c r="K313" s="56"/>
      <c r="L313" s="56"/>
      <c r="M313" s="57"/>
    </row>
    <row r="314" spans="7:13" ht="18">
      <c r="G314" s="55"/>
      <c r="H314" s="56"/>
      <c r="I314" s="56"/>
      <c r="J314" s="56"/>
      <c r="K314" s="56"/>
      <c r="L314" s="56"/>
      <c r="M314" s="57"/>
    </row>
    <row r="315" spans="7:13" ht="18">
      <c r="G315" s="55"/>
      <c r="H315" s="56"/>
      <c r="I315" s="56"/>
      <c r="J315" s="56"/>
      <c r="K315" s="56"/>
      <c r="L315" s="56"/>
      <c r="M315" s="57"/>
    </row>
    <row r="316" spans="7:13" ht="18">
      <c r="G316" s="55"/>
      <c r="H316" s="56"/>
      <c r="I316" s="56"/>
      <c r="J316" s="56"/>
      <c r="K316" s="56"/>
      <c r="L316" s="56"/>
      <c r="M316" s="57"/>
    </row>
    <row r="317" spans="7:13" ht="18">
      <c r="G317" s="55"/>
      <c r="H317" s="56"/>
      <c r="I317" s="56"/>
      <c r="J317" s="56"/>
      <c r="K317" s="56"/>
      <c r="L317" s="56"/>
      <c r="M317" s="57"/>
    </row>
    <row r="318" spans="7:13" ht="18">
      <c r="G318" s="55"/>
      <c r="H318" s="56"/>
      <c r="I318" s="56"/>
      <c r="J318" s="56"/>
      <c r="K318" s="56"/>
      <c r="L318" s="56"/>
      <c r="M318" s="57"/>
    </row>
    <row r="319" spans="7:13" ht="18">
      <c r="G319" s="55"/>
      <c r="H319" s="56"/>
      <c r="I319" s="56"/>
      <c r="J319" s="56"/>
      <c r="K319" s="56"/>
      <c r="L319" s="56"/>
      <c r="M319" s="57"/>
    </row>
    <row r="320" spans="7:13" ht="18">
      <c r="G320" s="55"/>
      <c r="H320" s="56"/>
      <c r="I320" s="56"/>
      <c r="J320" s="56"/>
      <c r="K320" s="56"/>
      <c r="L320" s="56"/>
      <c r="M320" s="57"/>
    </row>
    <row r="321" spans="7:13" ht="18">
      <c r="G321" s="55"/>
      <c r="H321" s="56"/>
      <c r="I321" s="56"/>
      <c r="J321" s="56"/>
      <c r="K321" s="56"/>
      <c r="L321" s="56"/>
      <c r="M321" s="57"/>
    </row>
    <row r="322" spans="7:13" ht="18">
      <c r="G322" s="55"/>
      <c r="H322" s="56"/>
      <c r="I322" s="56"/>
      <c r="J322" s="56"/>
      <c r="K322" s="56"/>
      <c r="L322" s="56"/>
      <c r="M322" s="57"/>
    </row>
    <row r="323" spans="7:13" ht="18">
      <c r="G323" s="55"/>
      <c r="H323" s="56"/>
      <c r="I323" s="56"/>
      <c r="J323" s="56"/>
      <c r="K323" s="56"/>
      <c r="L323" s="56"/>
      <c r="M323" s="57"/>
    </row>
    <row r="324" spans="7:13" ht="18">
      <c r="G324" s="55"/>
      <c r="H324" s="56"/>
      <c r="I324" s="56"/>
      <c r="J324" s="56"/>
      <c r="K324" s="56"/>
      <c r="L324" s="56"/>
      <c r="M324" s="57"/>
    </row>
    <row r="325" spans="7:13" ht="18">
      <c r="G325" s="55"/>
      <c r="H325" s="56"/>
      <c r="I325" s="56"/>
      <c r="J325" s="56"/>
      <c r="K325" s="56"/>
      <c r="L325" s="56"/>
      <c r="M325" s="57"/>
    </row>
    <row r="326" spans="7:13" ht="18">
      <c r="G326" s="55"/>
      <c r="H326" s="56"/>
      <c r="I326" s="56"/>
      <c r="J326" s="56"/>
      <c r="K326" s="56"/>
      <c r="L326" s="56"/>
      <c r="M326" s="57"/>
    </row>
    <row r="327" spans="7:13" ht="18">
      <c r="G327" s="55"/>
      <c r="H327" s="56"/>
      <c r="I327" s="56"/>
      <c r="J327" s="56"/>
      <c r="K327" s="56"/>
      <c r="L327" s="56"/>
      <c r="M327" s="57"/>
    </row>
    <row r="328" spans="7:13" ht="18">
      <c r="G328" s="55"/>
      <c r="H328" s="56"/>
      <c r="I328" s="56"/>
      <c r="J328" s="56"/>
      <c r="K328" s="56"/>
      <c r="L328" s="56"/>
      <c r="M328" s="57"/>
    </row>
    <row r="329" spans="7:13" ht="18">
      <c r="G329" s="55"/>
      <c r="H329" s="56"/>
      <c r="I329" s="56"/>
      <c r="J329" s="56"/>
      <c r="K329" s="56"/>
      <c r="L329" s="56"/>
      <c r="M329" s="57"/>
    </row>
    <row r="330" spans="7:13" ht="18">
      <c r="G330" s="55"/>
      <c r="H330" s="56"/>
      <c r="I330" s="56"/>
      <c r="J330" s="56"/>
      <c r="K330" s="56"/>
      <c r="L330" s="56"/>
      <c r="M330" s="57"/>
    </row>
    <row r="331" spans="7:13" ht="18">
      <c r="G331" s="55"/>
      <c r="H331" s="56"/>
      <c r="I331" s="56"/>
      <c r="J331" s="56"/>
      <c r="K331" s="56"/>
      <c r="L331" s="56"/>
      <c r="M331" s="57"/>
    </row>
    <row r="332" spans="7:13" ht="18">
      <c r="G332" s="55"/>
      <c r="H332" s="56"/>
      <c r="I332" s="56"/>
      <c r="J332" s="56"/>
      <c r="K332" s="56"/>
      <c r="L332" s="56"/>
      <c r="M332" s="57"/>
    </row>
    <row r="333" spans="7:13" ht="18">
      <c r="G333" s="55"/>
      <c r="H333" s="56"/>
      <c r="I333" s="56"/>
      <c r="J333" s="56"/>
      <c r="K333" s="56"/>
      <c r="L333" s="56"/>
      <c r="M333" s="57"/>
    </row>
    <row r="334" spans="7:13" ht="18">
      <c r="G334" s="55"/>
      <c r="H334" s="56"/>
      <c r="I334" s="56"/>
      <c r="J334" s="56"/>
      <c r="K334" s="56"/>
      <c r="L334" s="56"/>
      <c r="M334" s="57"/>
    </row>
    <row r="335" spans="7:13" ht="18">
      <c r="G335" s="55"/>
      <c r="H335" s="56"/>
      <c r="I335" s="56"/>
      <c r="J335" s="56"/>
      <c r="K335" s="56"/>
      <c r="L335" s="56"/>
      <c r="M335" s="57"/>
    </row>
    <row r="336" spans="7:13" ht="18">
      <c r="G336" s="55"/>
      <c r="H336" s="56"/>
      <c r="I336" s="56"/>
      <c r="J336" s="56"/>
      <c r="K336" s="56"/>
      <c r="L336" s="56"/>
      <c r="M336" s="57"/>
    </row>
    <row r="337" spans="7:13" ht="18">
      <c r="G337" s="55"/>
      <c r="H337" s="56"/>
      <c r="I337" s="56"/>
      <c r="J337" s="56"/>
      <c r="K337" s="56"/>
      <c r="L337" s="56"/>
      <c r="M337" s="57"/>
    </row>
    <row r="338" spans="7:13" ht="18">
      <c r="G338" s="55"/>
      <c r="H338" s="56"/>
      <c r="I338" s="56"/>
      <c r="J338" s="56"/>
      <c r="K338" s="56"/>
      <c r="L338" s="56"/>
      <c r="M338" s="57"/>
    </row>
    <row r="339" spans="7:13" ht="18">
      <c r="G339" s="55"/>
      <c r="H339" s="56"/>
      <c r="I339" s="56"/>
      <c r="J339" s="56"/>
      <c r="K339" s="56"/>
      <c r="L339" s="56"/>
      <c r="M339" s="57"/>
    </row>
    <row r="340" spans="7:13" ht="18">
      <c r="G340" s="55"/>
      <c r="H340" s="56"/>
      <c r="I340" s="56"/>
      <c r="J340" s="56"/>
      <c r="K340" s="56"/>
      <c r="L340" s="56"/>
      <c r="M340" s="57"/>
    </row>
    <row r="341" spans="7:13" ht="18">
      <c r="G341" s="55"/>
      <c r="H341" s="56"/>
      <c r="I341" s="56"/>
      <c r="J341" s="56"/>
      <c r="K341" s="56"/>
      <c r="L341" s="56"/>
      <c r="M341" s="57"/>
    </row>
    <row r="342" spans="7:13" ht="18">
      <c r="G342" s="55"/>
      <c r="H342" s="56"/>
      <c r="I342" s="56"/>
      <c r="J342" s="56"/>
      <c r="K342" s="56"/>
      <c r="L342" s="56"/>
      <c r="M342" s="57"/>
    </row>
    <row r="343" spans="7:13" ht="18">
      <c r="G343" s="55"/>
      <c r="H343" s="56"/>
      <c r="I343" s="56"/>
      <c r="J343" s="56"/>
      <c r="K343" s="56"/>
      <c r="L343" s="56"/>
      <c r="M343" s="57"/>
    </row>
    <row r="344" spans="7:13" ht="18">
      <c r="G344" s="55"/>
      <c r="H344" s="56"/>
      <c r="I344" s="56"/>
      <c r="J344" s="56"/>
      <c r="K344" s="56"/>
      <c r="L344" s="56"/>
      <c r="M344" s="57"/>
    </row>
    <row r="345" spans="7:13" ht="18">
      <c r="G345" s="55"/>
      <c r="H345" s="56"/>
      <c r="I345" s="56"/>
      <c r="J345" s="56"/>
      <c r="K345" s="56"/>
      <c r="L345" s="56"/>
      <c r="M345" s="57"/>
    </row>
    <row r="346" spans="7:13" ht="18">
      <c r="G346" s="55"/>
      <c r="H346" s="56"/>
      <c r="I346" s="56"/>
      <c r="J346" s="56"/>
      <c r="K346" s="56"/>
      <c r="L346" s="56"/>
      <c r="M346" s="57"/>
    </row>
    <row r="347" spans="7:13" ht="18">
      <c r="G347" s="55"/>
      <c r="H347" s="56"/>
      <c r="I347" s="56"/>
      <c r="J347" s="56"/>
      <c r="K347" s="56"/>
      <c r="L347" s="56"/>
      <c r="M347" s="57"/>
    </row>
    <row r="348" spans="7:13" ht="18">
      <c r="G348" s="55"/>
      <c r="H348" s="56"/>
      <c r="I348" s="56"/>
      <c r="J348" s="56"/>
      <c r="K348" s="56"/>
      <c r="L348" s="56"/>
      <c r="M348" s="57"/>
    </row>
    <row r="349" spans="7:13" ht="18">
      <c r="G349" s="55"/>
      <c r="H349" s="56"/>
      <c r="I349" s="56"/>
      <c r="J349" s="56"/>
      <c r="K349" s="56"/>
      <c r="L349" s="56"/>
      <c r="M349" s="57"/>
    </row>
    <row r="350" spans="7:13" ht="18">
      <c r="G350" s="55"/>
      <c r="H350" s="56"/>
      <c r="I350" s="56"/>
      <c r="J350" s="56"/>
      <c r="K350" s="56"/>
      <c r="L350" s="56"/>
      <c r="M350" s="57"/>
    </row>
    <row r="351" spans="7:13" ht="18">
      <c r="G351" s="55"/>
      <c r="H351" s="56"/>
      <c r="I351" s="56"/>
      <c r="J351" s="56"/>
      <c r="K351" s="56"/>
      <c r="L351" s="56"/>
      <c r="M351" s="57"/>
    </row>
    <row r="352" spans="7:13" ht="18">
      <c r="G352" s="55"/>
      <c r="H352" s="56"/>
      <c r="I352" s="56"/>
      <c r="J352" s="56"/>
      <c r="K352" s="56"/>
      <c r="L352" s="56"/>
      <c r="M352" s="57"/>
    </row>
    <row r="353" spans="7:13" ht="18">
      <c r="G353" s="55"/>
      <c r="H353" s="56"/>
      <c r="I353" s="56"/>
      <c r="J353" s="56"/>
      <c r="K353" s="56"/>
      <c r="L353" s="56"/>
      <c r="M353" s="57"/>
    </row>
    <row r="354" spans="7:13" ht="18">
      <c r="G354" s="55"/>
      <c r="H354" s="56"/>
      <c r="I354" s="56"/>
      <c r="J354" s="56"/>
      <c r="K354" s="56"/>
      <c r="L354" s="56"/>
      <c r="M354" s="57"/>
    </row>
    <row r="355" spans="7:13" ht="18">
      <c r="G355" s="55"/>
      <c r="H355" s="56"/>
      <c r="I355" s="56"/>
      <c r="J355" s="56"/>
      <c r="K355" s="56"/>
      <c r="L355" s="56"/>
      <c r="M355" s="57"/>
    </row>
    <row r="356" spans="7:13" ht="18">
      <c r="G356" s="55"/>
      <c r="H356" s="56"/>
      <c r="I356" s="56"/>
      <c r="J356" s="56"/>
      <c r="K356" s="56"/>
      <c r="L356" s="56"/>
      <c r="M356" s="57"/>
    </row>
    <row r="357" spans="7:13" ht="18">
      <c r="G357" s="55"/>
      <c r="H357" s="56"/>
      <c r="I357" s="56"/>
      <c r="J357" s="56"/>
      <c r="K357" s="56"/>
      <c r="L357" s="56"/>
      <c r="M357" s="57"/>
    </row>
    <row r="358" spans="7:13" ht="18">
      <c r="G358" s="55"/>
      <c r="H358" s="56"/>
      <c r="I358" s="56"/>
      <c r="J358" s="56"/>
      <c r="K358" s="56"/>
      <c r="L358" s="56"/>
      <c r="M358" s="57"/>
    </row>
    <row r="359" spans="7:13" ht="18">
      <c r="G359" s="55"/>
      <c r="H359" s="56"/>
      <c r="I359" s="56"/>
      <c r="J359" s="56"/>
      <c r="K359" s="56"/>
      <c r="L359" s="56"/>
      <c r="M359" s="57"/>
    </row>
    <row r="360" spans="7:13" ht="18">
      <c r="G360" s="55"/>
      <c r="H360" s="56"/>
      <c r="I360" s="56"/>
      <c r="J360" s="56"/>
      <c r="K360" s="56"/>
      <c r="L360" s="56"/>
      <c r="M360" s="57"/>
    </row>
    <row r="361" spans="7:13" ht="18">
      <c r="G361" s="55"/>
      <c r="H361" s="56"/>
      <c r="I361" s="56"/>
      <c r="J361" s="56"/>
      <c r="K361" s="56"/>
      <c r="L361" s="56"/>
      <c r="M361" s="57"/>
    </row>
    <row r="362" spans="7:13" ht="18">
      <c r="G362" s="55"/>
      <c r="H362" s="56"/>
      <c r="I362" s="56"/>
      <c r="J362" s="56"/>
      <c r="K362" s="56"/>
      <c r="L362" s="56"/>
      <c r="M362" s="57"/>
    </row>
    <row r="363" spans="7:13" ht="18">
      <c r="G363" s="55"/>
      <c r="H363" s="56"/>
      <c r="I363" s="56"/>
      <c r="J363" s="56"/>
      <c r="K363" s="56"/>
      <c r="L363" s="56"/>
      <c r="M363" s="57"/>
    </row>
    <row r="364" spans="7:13" ht="18">
      <c r="G364" s="55"/>
      <c r="H364" s="56"/>
      <c r="I364" s="56"/>
      <c r="J364" s="56"/>
      <c r="K364" s="56"/>
      <c r="L364" s="56"/>
      <c r="M364" s="57"/>
    </row>
    <row r="365" spans="7:13" ht="18">
      <c r="G365" s="55"/>
      <c r="H365" s="56"/>
      <c r="I365" s="56"/>
      <c r="J365" s="56"/>
      <c r="K365" s="56"/>
      <c r="L365" s="56"/>
      <c r="M365" s="57"/>
    </row>
    <row r="366" spans="7:13" ht="18">
      <c r="G366" s="55"/>
      <c r="H366" s="56"/>
      <c r="I366" s="56"/>
      <c r="J366" s="56"/>
      <c r="K366" s="56"/>
      <c r="L366" s="56"/>
      <c r="M366" s="57"/>
    </row>
    <row r="367" spans="7:13" ht="18">
      <c r="G367" s="55"/>
      <c r="H367" s="56"/>
      <c r="I367" s="56"/>
      <c r="J367" s="56"/>
      <c r="K367" s="56"/>
      <c r="L367" s="56"/>
      <c r="M367" s="57"/>
    </row>
    <row r="368" spans="7:13" ht="18">
      <c r="G368" s="55"/>
      <c r="H368" s="56"/>
      <c r="I368" s="56"/>
      <c r="J368" s="56"/>
      <c r="K368" s="56"/>
      <c r="L368" s="56"/>
      <c r="M368" s="57"/>
    </row>
    <row r="369" spans="7:13" ht="18">
      <c r="G369" s="55"/>
      <c r="H369" s="56"/>
      <c r="I369" s="56"/>
      <c r="J369" s="56"/>
      <c r="K369" s="56"/>
      <c r="L369" s="56"/>
      <c r="M369" s="57"/>
    </row>
    <row r="370" spans="7:13" ht="18">
      <c r="G370" s="55"/>
      <c r="H370" s="56"/>
      <c r="I370" s="56"/>
      <c r="J370" s="56"/>
      <c r="K370" s="56"/>
      <c r="L370" s="56"/>
      <c r="M370" s="57"/>
    </row>
    <row r="371" spans="7:13" ht="18">
      <c r="G371" s="55"/>
      <c r="H371" s="56"/>
      <c r="I371" s="56"/>
      <c r="J371" s="56"/>
      <c r="K371" s="56"/>
      <c r="L371" s="56"/>
      <c r="M371" s="57"/>
    </row>
    <row r="372" spans="7:13" ht="18">
      <c r="G372" s="55"/>
      <c r="H372" s="56"/>
      <c r="I372" s="56"/>
      <c r="J372" s="56"/>
      <c r="K372" s="56"/>
      <c r="L372" s="56"/>
      <c r="M372" s="57"/>
    </row>
    <row r="373" spans="7:13" ht="18">
      <c r="G373" s="55"/>
      <c r="H373" s="56"/>
      <c r="I373" s="56"/>
      <c r="J373" s="56"/>
      <c r="K373" s="56"/>
      <c r="L373" s="56"/>
      <c r="M373" s="57"/>
    </row>
    <row r="374" spans="7:13" ht="18">
      <c r="G374" s="55"/>
      <c r="H374" s="56"/>
      <c r="I374" s="56"/>
      <c r="J374" s="56"/>
      <c r="K374" s="56"/>
      <c r="L374" s="56"/>
      <c r="M374" s="57"/>
    </row>
    <row r="375" spans="7:13" ht="18">
      <c r="G375" s="55"/>
      <c r="H375" s="56"/>
      <c r="I375" s="56"/>
      <c r="J375" s="56"/>
      <c r="K375" s="56"/>
      <c r="L375" s="56"/>
      <c r="M375" s="57"/>
    </row>
    <row r="376" spans="7:13" ht="18">
      <c r="G376" s="55"/>
      <c r="H376" s="56"/>
      <c r="I376" s="56"/>
      <c r="J376" s="56"/>
      <c r="K376" s="56"/>
      <c r="L376" s="56"/>
      <c r="M376" s="57"/>
    </row>
    <row r="377" spans="7:13" ht="18">
      <c r="G377" s="55"/>
      <c r="H377" s="56"/>
      <c r="I377" s="56"/>
      <c r="J377" s="56"/>
      <c r="K377" s="56"/>
      <c r="L377" s="56"/>
      <c r="M377" s="57"/>
    </row>
    <row r="378" spans="7:13" ht="18">
      <c r="G378" s="55"/>
      <c r="H378" s="56"/>
      <c r="I378" s="56"/>
      <c r="J378" s="56"/>
      <c r="K378" s="56"/>
      <c r="L378" s="56"/>
      <c r="M378" s="57"/>
    </row>
    <row r="379" spans="7:13" ht="18">
      <c r="G379" s="55"/>
      <c r="H379" s="56"/>
      <c r="I379" s="56"/>
      <c r="J379" s="56"/>
      <c r="K379" s="56"/>
      <c r="L379" s="56"/>
      <c r="M379" s="57"/>
    </row>
    <row r="380" spans="7:13" ht="18">
      <c r="G380" s="55"/>
      <c r="H380" s="56"/>
      <c r="I380" s="56"/>
      <c r="J380" s="56"/>
      <c r="K380" s="56"/>
      <c r="L380" s="56"/>
      <c r="M380" s="57"/>
    </row>
    <row r="381" spans="7:13" ht="18">
      <c r="G381" s="55"/>
      <c r="H381" s="56"/>
      <c r="I381" s="56"/>
      <c r="J381" s="56"/>
      <c r="K381" s="56"/>
      <c r="L381" s="56"/>
      <c r="M381" s="57"/>
    </row>
    <row r="382" spans="7:13" ht="18">
      <c r="G382" s="55"/>
      <c r="H382" s="56"/>
      <c r="I382" s="56"/>
      <c r="J382" s="56"/>
      <c r="K382" s="56"/>
      <c r="L382" s="56"/>
      <c r="M382" s="57"/>
    </row>
    <row r="383" spans="7:13" ht="18">
      <c r="G383" s="55"/>
      <c r="H383" s="56"/>
      <c r="I383" s="56"/>
      <c r="J383" s="56"/>
      <c r="K383" s="56"/>
      <c r="L383" s="56"/>
      <c r="M383" s="57"/>
    </row>
    <row r="384" spans="7:13" ht="18">
      <c r="G384" s="55"/>
      <c r="H384" s="56"/>
      <c r="I384" s="56"/>
      <c r="J384" s="56"/>
      <c r="K384" s="56"/>
      <c r="L384" s="56"/>
      <c r="M384" s="57"/>
    </row>
    <row r="385" spans="7:13" ht="18">
      <c r="G385" s="55"/>
      <c r="H385" s="56"/>
      <c r="I385" s="56"/>
      <c r="J385" s="56"/>
      <c r="K385" s="56"/>
      <c r="L385" s="56"/>
      <c r="M385" s="57"/>
    </row>
    <row r="386" spans="7:13" ht="18">
      <c r="G386" s="55"/>
      <c r="H386" s="56"/>
      <c r="I386" s="56"/>
      <c r="J386" s="56"/>
      <c r="K386" s="56"/>
      <c r="L386" s="56"/>
      <c r="M386" s="57"/>
    </row>
    <row r="387" spans="7:13" ht="18">
      <c r="G387" s="55"/>
      <c r="H387" s="56"/>
      <c r="I387" s="56"/>
      <c r="J387" s="56"/>
      <c r="K387" s="56"/>
      <c r="L387" s="56"/>
      <c r="M387" s="57"/>
    </row>
    <row r="388" spans="7:13" ht="18">
      <c r="G388" s="55"/>
      <c r="H388" s="56"/>
      <c r="I388" s="56"/>
      <c r="J388" s="56"/>
      <c r="K388" s="56"/>
      <c r="L388" s="56"/>
      <c r="M388" s="57"/>
    </row>
    <row r="389" spans="7:13" ht="18">
      <c r="G389" s="55"/>
      <c r="H389" s="56"/>
      <c r="I389" s="56"/>
      <c r="J389" s="56"/>
      <c r="K389" s="56"/>
      <c r="L389" s="56"/>
      <c r="M389" s="57"/>
    </row>
    <row r="390" spans="7:13" ht="18">
      <c r="G390" s="55"/>
      <c r="H390" s="56"/>
      <c r="I390" s="56"/>
      <c r="J390" s="56"/>
      <c r="K390" s="56"/>
      <c r="L390" s="56"/>
      <c r="M390" s="57"/>
    </row>
    <row r="391" spans="7:13" ht="18">
      <c r="G391" s="55"/>
      <c r="H391" s="56"/>
      <c r="I391" s="56"/>
      <c r="J391" s="56"/>
      <c r="K391" s="56"/>
      <c r="L391" s="56"/>
      <c r="M391" s="57"/>
    </row>
    <row r="392" spans="7:13" ht="18">
      <c r="G392" s="55"/>
      <c r="H392" s="56"/>
      <c r="I392" s="56"/>
      <c r="J392" s="56"/>
      <c r="K392" s="56"/>
      <c r="L392" s="56"/>
      <c r="M392" s="57"/>
    </row>
    <row r="393" spans="7:13" ht="18">
      <c r="G393" s="55"/>
      <c r="H393" s="56"/>
      <c r="I393" s="56"/>
      <c r="J393" s="56"/>
      <c r="K393" s="56"/>
      <c r="L393" s="56"/>
      <c r="M393" s="57"/>
    </row>
    <row r="394" spans="7:13" ht="18">
      <c r="G394" s="55"/>
      <c r="H394" s="56"/>
      <c r="I394" s="56"/>
      <c r="J394" s="56"/>
      <c r="K394" s="56"/>
      <c r="L394" s="56"/>
      <c r="M394" s="57"/>
    </row>
    <row r="395" spans="7:13" ht="18">
      <c r="G395" s="55"/>
      <c r="H395" s="56"/>
      <c r="I395" s="56"/>
      <c r="J395" s="56"/>
      <c r="K395" s="56"/>
      <c r="L395" s="56"/>
      <c r="M395" s="57"/>
    </row>
    <row r="396" spans="7:13" ht="18">
      <c r="G396" s="55"/>
      <c r="H396" s="56"/>
      <c r="I396" s="56"/>
      <c r="J396" s="56"/>
      <c r="K396" s="56"/>
      <c r="L396" s="56"/>
      <c r="M396" s="57"/>
    </row>
    <row r="397" spans="7:13" ht="18">
      <c r="G397" s="55"/>
      <c r="H397" s="56"/>
      <c r="I397" s="56"/>
      <c r="J397" s="56"/>
      <c r="K397" s="56"/>
      <c r="L397" s="56"/>
      <c r="M397" s="57"/>
    </row>
    <row r="398" spans="7:13" ht="18">
      <c r="G398" s="55"/>
      <c r="H398" s="56"/>
      <c r="I398" s="56"/>
      <c r="J398" s="56"/>
      <c r="K398" s="56"/>
      <c r="L398" s="56"/>
      <c r="M398" s="57"/>
    </row>
    <row r="399" spans="7:13" ht="18">
      <c r="G399" s="55"/>
      <c r="H399" s="56"/>
      <c r="I399" s="56"/>
      <c r="J399" s="56"/>
      <c r="K399" s="56"/>
      <c r="L399" s="56"/>
      <c r="M399" s="57"/>
    </row>
    <row r="400" spans="7:13" ht="18">
      <c r="G400" s="55"/>
      <c r="H400" s="56"/>
      <c r="I400" s="56"/>
      <c r="J400" s="56"/>
      <c r="K400" s="56"/>
      <c r="L400" s="56"/>
      <c r="M400" s="57"/>
    </row>
    <row r="401" spans="7:13" ht="18">
      <c r="G401" s="55"/>
      <c r="H401" s="56"/>
      <c r="I401" s="56"/>
      <c r="J401" s="56"/>
      <c r="K401" s="56"/>
      <c r="L401" s="56"/>
      <c r="M401" s="57"/>
    </row>
    <row r="402" spans="7:13" ht="18">
      <c r="G402" s="55"/>
      <c r="H402" s="56"/>
      <c r="I402" s="56"/>
      <c r="J402" s="56"/>
      <c r="K402" s="56"/>
      <c r="L402" s="56"/>
      <c r="M402" s="57"/>
    </row>
    <row r="403" spans="7:13" ht="18">
      <c r="G403" s="55"/>
      <c r="H403" s="56"/>
      <c r="I403" s="56"/>
      <c r="J403" s="56"/>
      <c r="K403" s="56"/>
      <c r="L403" s="56"/>
      <c r="M403" s="57"/>
    </row>
    <row r="404" spans="7:13" ht="18">
      <c r="G404" s="55"/>
      <c r="H404" s="56"/>
      <c r="I404" s="56"/>
      <c r="J404" s="56"/>
      <c r="K404" s="56"/>
      <c r="L404" s="56"/>
      <c r="M404" s="57"/>
    </row>
    <row r="405" spans="7:13" ht="18">
      <c r="G405" s="55"/>
      <c r="H405" s="56"/>
      <c r="I405" s="56"/>
      <c r="J405" s="56"/>
      <c r="K405" s="56"/>
      <c r="L405" s="56"/>
      <c r="M405" s="57"/>
    </row>
    <row r="406" spans="7:13" ht="18">
      <c r="G406" s="55"/>
      <c r="H406" s="56"/>
      <c r="I406" s="56"/>
      <c r="J406" s="56"/>
      <c r="K406" s="56"/>
      <c r="L406" s="56"/>
      <c r="M406" s="57"/>
    </row>
    <row r="407" spans="7:13" ht="18">
      <c r="G407" s="55"/>
      <c r="H407" s="56"/>
      <c r="I407" s="56"/>
      <c r="J407" s="56"/>
      <c r="K407" s="56"/>
      <c r="L407" s="56"/>
      <c r="M407" s="57"/>
    </row>
    <row r="408" spans="7:13" ht="18">
      <c r="G408" s="55"/>
      <c r="H408" s="56"/>
      <c r="I408" s="56"/>
      <c r="J408" s="56"/>
      <c r="K408" s="56"/>
      <c r="L408" s="56"/>
      <c r="M408" s="57"/>
    </row>
    <row r="409" spans="7:13" ht="18">
      <c r="G409" s="55"/>
      <c r="H409" s="56"/>
      <c r="I409" s="56"/>
      <c r="J409" s="56"/>
      <c r="K409" s="56"/>
      <c r="L409" s="56"/>
      <c r="M409" s="57"/>
    </row>
    <row r="410" spans="7:13" ht="18">
      <c r="G410" s="55"/>
      <c r="H410" s="56"/>
      <c r="I410" s="56"/>
      <c r="J410" s="56"/>
      <c r="K410" s="56"/>
      <c r="L410" s="56"/>
      <c r="M410" s="57"/>
    </row>
    <row r="411" spans="7:13" ht="18">
      <c r="G411" s="55"/>
      <c r="H411" s="56"/>
      <c r="I411" s="56"/>
      <c r="J411" s="56"/>
      <c r="K411" s="56"/>
      <c r="L411" s="56"/>
      <c r="M411" s="57"/>
    </row>
    <row r="412" spans="7:13" ht="18">
      <c r="G412" s="55"/>
      <c r="H412" s="56"/>
      <c r="I412" s="56"/>
      <c r="J412" s="56"/>
      <c r="K412" s="56"/>
      <c r="L412" s="56"/>
      <c r="M412" s="57"/>
    </row>
    <row r="413" spans="7:13" ht="18">
      <c r="G413" s="55"/>
      <c r="H413" s="56"/>
      <c r="I413" s="56"/>
      <c r="J413" s="56"/>
      <c r="K413" s="56"/>
      <c r="L413" s="56"/>
      <c r="M413" s="57"/>
    </row>
    <row r="414" spans="7:13" ht="18">
      <c r="G414" s="55"/>
      <c r="H414" s="56"/>
      <c r="I414" s="56"/>
      <c r="J414" s="56"/>
      <c r="K414" s="56"/>
      <c r="L414" s="56"/>
      <c r="M414" s="57"/>
    </row>
    <row r="415" spans="7:13" ht="18">
      <c r="G415" s="55"/>
      <c r="H415" s="56"/>
      <c r="I415" s="56"/>
      <c r="J415" s="56"/>
      <c r="K415" s="56"/>
      <c r="L415" s="56"/>
      <c r="M415" s="57"/>
    </row>
    <row r="416" spans="7:13" ht="18">
      <c r="G416" s="55"/>
      <c r="H416" s="56"/>
      <c r="I416" s="56"/>
      <c r="J416" s="56"/>
      <c r="K416" s="56"/>
      <c r="L416" s="56"/>
      <c r="M416" s="57"/>
    </row>
    <row r="417" spans="7:13" ht="18">
      <c r="G417" s="55"/>
      <c r="H417" s="56"/>
      <c r="I417" s="56"/>
      <c r="J417" s="56"/>
      <c r="K417" s="56"/>
      <c r="L417" s="56"/>
      <c r="M417" s="57"/>
    </row>
    <row r="418" spans="7:13" ht="18">
      <c r="G418" s="55"/>
      <c r="H418" s="56"/>
      <c r="I418" s="56"/>
      <c r="J418" s="56"/>
      <c r="K418" s="56"/>
      <c r="L418" s="56"/>
      <c r="M418" s="57"/>
    </row>
    <row r="419" spans="7:13" ht="18">
      <c r="G419" s="55"/>
      <c r="H419" s="56"/>
      <c r="I419" s="56"/>
      <c r="J419" s="56"/>
      <c r="K419" s="56"/>
      <c r="L419" s="56"/>
      <c r="M419" s="57"/>
    </row>
    <row r="420" spans="7:13" ht="18">
      <c r="G420" s="55"/>
      <c r="H420" s="56"/>
      <c r="I420" s="56"/>
      <c r="J420" s="56"/>
      <c r="K420" s="56"/>
      <c r="L420" s="56"/>
      <c r="M420" s="57"/>
    </row>
    <row r="421" spans="7:13" ht="18">
      <c r="G421" s="55"/>
      <c r="H421" s="56"/>
      <c r="I421" s="56"/>
      <c r="J421" s="56"/>
      <c r="K421" s="56"/>
      <c r="L421" s="56"/>
      <c r="M421" s="57"/>
    </row>
    <row r="422" spans="7:13" ht="18">
      <c r="G422" s="55"/>
      <c r="H422" s="56"/>
      <c r="I422" s="56"/>
      <c r="J422" s="56"/>
      <c r="K422" s="56"/>
      <c r="L422" s="56"/>
      <c r="M422" s="57"/>
    </row>
    <row r="423" spans="7:13" ht="18">
      <c r="G423" s="55"/>
      <c r="H423" s="56"/>
      <c r="I423" s="56"/>
      <c r="J423" s="56"/>
      <c r="K423" s="56"/>
      <c r="L423" s="56"/>
      <c r="M423" s="57"/>
    </row>
    <row r="424" spans="7:13" ht="18">
      <c r="G424" s="55"/>
      <c r="H424" s="56"/>
      <c r="I424" s="56"/>
      <c r="J424" s="56"/>
      <c r="K424" s="56"/>
      <c r="L424" s="56"/>
      <c r="M424" s="57"/>
    </row>
    <row r="425" spans="7:13" ht="18">
      <c r="G425" s="55"/>
      <c r="H425" s="56"/>
      <c r="I425" s="56"/>
      <c r="J425" s="56"/>
      <c r="K425" s="56"/>
      <c r="L425" s="56"/>
      <c r="M425" s="57"/>
    </row>
    <row r="426" spans="7:13" ht="18">
      <c r="G426" s="55"/>
      <c r="H426" s="56"/>
      <c r="I426" s="56"/>
      <c r="J426" s="56"/>
      <c r="K426" s="56"/>
      <c r="L426" s="56"/>
      <c r="M426" s="57"/>
    </row>
    <row r="427" spans="7:13" ht="18">
      <c r="G427" s="55"/>
      <c r="H427" s="56"/>
      <c r="I427" s="56"/>
      <c r="J427" s="56"/>
      <c r="K427" s="56"/>
      <c r="L427" s="56"/>
      <c r="M427" s="57"/>
    </row>
    <row r="428" spans="7:13" ht="18">
      <c r="G428" s="55"/>
      <c r="H428" s="56"/>
      <c r="I428" s="56"/>
      <c r="J428" s="56"/>
      <c r="K428" s="56"/>
      <c r="L428" s="56"/>
      <c r="M428" s="57"/>
    </row>
    <row r="429" spans="7:13" ht="18">
      <c r="G429" s="55"/>
      <c r="H429" s="56"/>
      <c r="I429" s="56"/>
      <c r="J429" s="56"/>
      <c r="K429" s="56"/>
      <c r="L429" s="56"/>
      <c r="M429" s="57"/>
    </row>
    <row r="430" spans="7:13" ht="18">
      <c r="G430" s="55"/>
      <c r="H430" s="56"/>
      <c r="I430" s="56"/>
      <c r="J430" s="56"/>
      <c r="K430" s="56"/>
      <c r="L430" s="56"/>
      <c r="M430" s="57"/>
    </row>
    <row r="431" spans="7:13" ht="18">
      <c r="G431" s="55"/>
      <c r="H431" s="56"/>
      <c r="I431" s="56"/>
      <c r="J431" s="56"/>
      <c r="K431" s="56"/>
      <c r="L431" s="56"/>
      <c r="M431" s="57"/>
    </row>
    <row r="432" spans="7:13" ht="18">
      <c r="G432" s="55"/>
      <c r="H432" s="56"/>
      <c r="I432" s="56"/>
      <c r="J432" s="56"/>
      <c r="K432" s="56"/>
      <c r="L432" s="56"/>
      <c r="M432" s="57"/>
    </row>
    <row r="433" spans="7:13" ht="18">
      <c r="G433" s="55"/>
      <c r="H433" s="56"/>
      <c r="I433" s="56"/>
      <c r="J433" s="56"/>
      <c r="K433" s="56"/>
      <c r="L433" s="56"/>
      <c r="M433" s="57"/>
    </row>
    <row r="434" spans="7:13" ht="18">
      <c r="G434" s="55"/>
      <c r="H434" s="56"/>
      <c r="I434" s="56"/>
      <c r="J434" s="56"/>
      <c r="K434" s="56"/>
      <c r="L434" s="56"/>
      <c r="M434" s="57"/>
    </row>
    <row r="435" spans="7:13" ht="18">
      <c r="G435" s="55"/>
      <c r="H435" s="56"/>
      <c r="I435" s="56"/>
      <c r="J435" s="56"/>
      <c r="K435" s="56"/>
      <c r="L435" s="56"/>
      <c r="M435" s="57"/>
    </row>
    <row r="436" spans="7:13" ht="18">
      <c r="G436" s="55"/>
      <c r="H436" s="56"/>
      <c r="I436" s="56"/>
      <c r="J436" s="56"/>
      <c r="K436" s="56"/>
      <c r="L436" s="56"/>
      <c r="M436" s="57"/>
    </row>
    <row r="437" spans="7:13" ht="18">
      <c r="G437" s="55"/>
      <c r="H437" s="56"/>
      <c r="I437" s="56"/>
      <c r="J437" s="56"/>
      <c r="K437" s="56"/>
      <c r="L437" s="56"/>
      <c r="M437" s="57"/>
    </row>
    <row r="438" spans="7:13" ht="18">
      <c r="G438" s="55"/>
      <c r="H438" s="56"/>
      <c r="I438" s="56"/>
      <c r="J438" s="56"/>
      <c r="K438" s="56"/>
      <c r="L438" s="56"/>
      <c r="M438" s="57"/>
    </row>
    <row r="439" spans="7:13" ht="18">
      <c r="G439" s="55"/>
      <c r="H439" s="56"/>
      <c r="I439" s="56"/>
      <c r="J439" s="56"/>
      <c r="K439" s="56"/>
      <c r="L439" s="56"/>
      <c r="M439" s="57"/>
    </row>
    <row r="440" spans="7:13" ht="18">
      <c r="G440" s="55"/>
      <c r="H440" s="56"/>
      <c r="I440" s="56"/>
      <c r="J440" s="56"/>
      <c r="K440" s="56"/>
      <c r="L440" s="56"/>
      <c r="M440" s="57"/>
    </row>
    <row r="441" spans="7:13" ht="18">
      <c r="G441" s="55"/>
      <c r="H441" s="56"/>
      <c r="I441" s="56"/>
      <c r="J441" s="56"/>
      <c r="K441" s="56"/>
      <c r="L441" s="56"/>
      <c r="M441" s="57"/>
    </row>
    <row r="442" spans="7:13" ht="18">
      <c r="G442" s="55"/>
      <c r="H442" s="56"/>
      <c r="I442" s="56"/>
      <c r="J442" s="56"/>
      <c r="K442" s="56"/>
      <c r="L442" s="56"/>
      <c r="M442" s="57"/>
    </row>
    <row r="443" spans="7:13" ht="18">
      <c r="G443" s="55"/>
      <c r="H443" s="56"/>
      <c r="I443" s="56"/>
      <c r="J443" s="56"/>
      <c r="K443" s="56"/>
      <c r="L443" s="56"/>
      <c r="M443" s="57"/>
    </row>
    <row r="444" spans="7:13" ht="18">
      <c r="G444" s="55"/>
      <c r="H444" s="56"/>
      <c r="I444" s="56"/>
      <c r="J444" s="56"/>
      <c r="K444" s="56"/>
      <c r="L444" s="56"/>
      <c r="M444" s="57"/>
    </row>
    <row r="445" spans="7:13" ht="18">
      <c r="G445" s="55"/>
      <c r="H445" s="56"/>
      <c r="I445" s="56"/>
      <c r="J445" s="56"/>
      <c r="K445" s="56"/>
      <c r="L445" s="56"/>
      <c r="M445" s="57"/>
    </row>
    <row r="446" spans="7:13" ht="18">
      <c r="G446" s="55"/>
      <c r="H446" s="56"/>
      <c r="I446" s="56"/>
      <c r="J446" s="56"/>
      <c r="K446" s="56"/>
      <c r="L446" s="56"/>
      <c r="M446" s="57"/>
    </row>
    <row r="447" spans="7:13" ht="18">
      <c r="G447" s="55"/>
      <c r="H447" s="56"/>
      <c r="I447" s="56"/>
      <c r="J447" s="56"/>
      <c r="K447" s="56"/>
      <c r="L447" s="56"/>
      <c r="M447" s="57"/>
    </row>
    <row r="448" spans="7:13" ht="18">
      <c r="G448" s="55"/>
      <c r="H448" s="56"/>
      <c r="I448" s="56"/>
      <c r="J448" s="56"/>
      <c r="K448" s="56"/>
      <c r="L448" s="56"/>
      <c r="M448" s="57"/>
    </row>
    <row r="449" spans="7:13" ht="18">
      <c r="G449" s="55"/>
      <c r="H449" s="56"/>
      <c r="I449" s="56"/>
      <c r="J449" s="56"/>
      <c r="K449" s="56"/>
      <c r="L449" s="56"/>
      <c r="M449" s="57"/>
    </row>
    <row r="450" spans="7:13" ht="18">
      <c r="G450" s="55"/>
      <c r="H450" s="56"/>
      <c r="I450" s="56"/>
      <c r="J450" s="56"/>
      <c r="K450" s="56"/>
      <c r="L450" s="56"/>
      <c r="M450" s="57"/>
    </row>
    <row r="451" spans="7:13" ht="18">
      <c r="G451" s="55"/>
      <c r="H451" s="56"/>
      <c r="I451" s="56"/>
      <c r="J451" s="56"/>
      <c r="K451" s="56"/>
      <c r="L451" s="56"/>
      <c r="M451" s="57"/>
    </row>
    <row r="452" spans="7:13" ht="18">
      <c r="G452" s="55"/>
      <c r="H452" s="56"/>
      <c r="I452" s="56"/>
      <c r="J452" s="56"/>
      <c r="K452" s="56"/>
      <c r="L452" s="56"/>
      <c r="M452" s="57"/>
    </row>
    <row r="453" spans="7:13" ht="18">
      <c r="G453" s="55"/>
      <c r="H453" s="56"/>
      <c r="I453" s="56"/>
      <c r="J453" s="56"/>
      <c r="K453" s="56"/>
      <c r="L453" s="56"/>
      <c r="M453" s="57"/>
    </row>
    <row r="454" spans="7:13" ht="18">
      <c r="G454" s="55"/>
      <c r="H454" s="56"/>
      <c r="I454" s="56"/>
      <c r="J454" s="56"/>
      <c r="K454" s="56"/>
      <c r="L454" s="56"/>
      <c r="M454" s="57"/>
    </row>
    <row r="455" spans="7:13" ht="18">
      <c r="G455" s="55"/>
      <c r="H455" s="56"/>
      <c r="I455" s="56"/>
      <c r="J455" s="56"/>
      <c r="K455" s="56"/>
      <c r="L455" s="56"/>
      <c r="M455" s="57"/>
    </row>
    <row r="456" spans="7:13" ht="18">
      <c r="G456" s="55"/>
      <c r="H456" s="56"/>
      <c r="I456" s="56"/>
      <c r="J456" s="56"/>
      <c r="K456" s="56"/>
      <c r="L456" s="56"/>
      <c r="M456" s="57"/>
    </row>
    <row r="457" spans="7:13" ht="18">
      <c r="G457" s="55"/>
      <c r="H457" s="56"/>
      <c r="I457" s="56"/>
      <c r="J457" s="56"/>
      <c r="K457" s="56"/>
      <c r="L457" s="56"/>
      <c r="M457" s="57"/>
    </row>
    <row r="458" spans="7:13" ht="18">
      <c r="G458" s="55"/>
      <c r="H458" s="56"/>
      <c r="I458" s="56"/>
      <c r="J458" s="56"/>
      <c r="K458" s="56"/>
      <c r="L458" s="56"/>
      <c r="M458" s="57"/>
    </row>
    <row r="459" spans="7:13" ht="18">
      <c r="G459" s="55"/>
      <c r="H459" s="56"/>
      <c r="I459" s="56"/>
      <c r="J459" s="56"/>
      <c r="K459" s="56"/>
      <c r="L459" s="56"/>
      <c r="M459" s="57"/>
    </row>
    <row r="460" spans="7:13" ht="18">
      <c r="G460" s="55"/>
      <c r="H460" s="56"/>
      <c r="I460" s="56"/>
      <c r="J460" s="56"/>
      <c r="K460" s="56"/>
      <c r="L460" s="56"/>
      <c r="M460" s="57"/>
    </row>
    <row r="461" spans="7:13" ht="18">
      <c r="G461" s="55"/>
      <c r="H461" s="56"/>
      <c r="I461" s="56"/>
      <c r="J461" s="56"/>
      <c r="K461" s="56"/>
      <c r="L461" s="56"/>
      <c r="M461" s="57"/>
    </row>
    <row r="462" spans="7:13" ht="18">
      <c r="G462" s="55"/>
      <c r="H462" s="56"/>
      <c r="I462" s="56"/>
      <c r="J462" s="56"/>
      <c r="K462" s="56"/>
      <c r="L462" s="56"/>
      <c r="M462" s="57"/>
    </row>
    <row r="463" spans="7:13" ht="18">
      <c r="G463" s="55"/>
      <c r="H463" s="56"/>
      <c r="I463" s="56"/>
      <c r="J463" s="56"/>
      <c r="K463" s="56"/>
      <c r="L463" s="56"/>
      <c r="M463" s="57"/>
    </row>
    <row r="464" spans="7:13" ht="18">
      <c r="G464" s="55"/>
      <c r="H464" s="56"/>
      <c r="I464" s="56"/>
      <c r="J464" s="56"/>
      <c r="K464" s="56"/>
      <c r="L464" s="56"/>
      <c r="M464" s="57"/>
    </row>
    <row r="465" spans="7:13" ht="18">
      <c r="G465" s="55"/>
      <c r="H465" s="56"/>
      <c r="I465" s="56"/>
      <c r="J465" s="56"/>
      <c r="K465" s="56"/>
      <c r="L465" s="56"/>
      <c r="M465" s="57"/>
    </row>
    <row r="466" spans="7:13" ht="18">
      <c r="G466" s="55"/>
      <c r="H466" s="56"/>
      <c r="I466" s="56"/>
      <c r="J466" s="56"/>
      <c r="K466" s="56"/>
      <c r="L466" s="56"/>
      <c r="M466" s="57"/>
    </row>
    <row r="467" spans="7:13" ht="18">
      <c r="G467" s="55"/>
      <c r="H467" s="56"/>
      <c r="I467" s="56"/>
      <c r="J467" s="56"/>
      <c r="K467" s="56"/>
      <c r="L467" s="56"/>
      <c r="M467" s="57"/>
    </row>
    <row r="468" spans="7:13" ht="18">
      <c r="G468" s="55"/>
      <c r="H468" s="56"/>
      <c r="I468" s="56"/>
      <c r="J468" s="56"/>
      <c r="K468" s="56"/>
      <c r="L468" s="56"/>
      <c r="M468" s="57"/>
    </row>
    <row r="469" spans="7:13" ht="18">
      <c r="G469" s="55"/>
      <c r="H469" s="56"/>
      <c r="I469" s="56"/>
      <c r="J469" s="56"/>
      <c r="K469" s="56"/>
      <c r="L469" s="56"/>
      <c r="M469" s="57"/>
    </row>
  </sheetData>
  <pageMargins left="0.7" right="0.7" top="0.75" bottom="0.75" header="0.3" footer="0.3"/>
  <pageSetup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F095CDE6FCB43B3A203165A7B7A4A" ma:contentTypeVersion="13" ma:contentTypeDescription="Create a new document." ma:contentTypeScope="" ma:versionID="be4a4889e29d0c794f308999f7678beb">
  <xsd:schema xmlns:xsd="http://www.w3.org/2001/XMLSchema" xmlns:xs="http://www.w3.org/2001/XMLSchema" xmlns:p="http://schemas.microsoft.com/office/2006/metadata/properties" xmlns:ns3="9e820952-2d1b-47b1-af34-944f9b69f8c8" xmlns:ns4="f9ff3a89-7aa1-4405-8072-a57c627826a8" targetNamespace="http://schemas.microsoft.com/office/2006/metadata/properties" ma:root="true" ma:fieldsID="16cb6b55eb57f8672e1c86f3e1588ffb" ns3:_="" ns4:_="">
    <xsd:import namespace="9e820952-2d1b-47b1-af34-944f9b69f8c8"/>
    <xsd:import namespace="f9ff3a89-7aa1-4405-8072-a57c627826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20952-2d1b-47b1-af34-944f9b69f8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f3a89-7aa1-4405-8072-a57c627826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820952-2d1b-47b1-af34-944f9b69f8c8" xsi:nil="true"/>
  </documentManagement>
</p:properties>
</file>

<file path=customXml/itemProps1.xml><?xml version="1.0" encoding="utf-8"?>
<ds:datastoreItem xmlns:ds="http://schemas.openxmlformats.org/officeDocument/2006/customXml" ds:itemID="{19259E6D-5FE9-4D3A-A58C-26E109494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20952-2d1b-47b1-af34-944f9b69f8c8"/>
    <ds:schemaRef ds:uri="f9ff3a89-7aa1-4405-8072-a57c62782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EAA5CC-67D9-4AB5-804A-F26C68A14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1A1687-58A7-4D7D-8C5D-95F37832670B}">
  <ds:schemaRefs>
    <ds:schemaRef ds:uri="http://www.w3.org/XML/1998/namespace"/>
    <ds:schemaRef ds:uri="http://purl.org/dc/terms/"/>
    <ds:schemaRef ds:uri="http://schemas.microsoft.com/office/2006/documentManagement/types"/>
    <ds:schemaRef ds:uri="f9ff3a89-7aa1-4405-8072-a57c627826a8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e820952-2d1b-47b1-af34-944f9b69f8c8"/>
    <ds:schemaRef ds:uri="http://purl.org/dc/dcmitype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OperatingModel </vt:lpstr>
      <vt:lpstr>DCF</vt:lpstr>
      <vt:lpstr>Revenue Build</vt:lpstr>
      <vt:lpstr>Wacc Build</vt:lpstr>
      <vt:lpstr>Capex Build</vt:lpstr>
      <vt:lpstr>COGS build</vt:lpstr>
      <vt:lpstr>Convertible Debt</vt:lpstr>
      <vt:lpstr>Ebitda Margin </vt:lpstr>
      <vt:lpstr>Product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Casale</dc:creator>
  <cp:lastModifiedBy>Anthony Casale</cp:lastModifiedBy>
  <cp:lastPrinted>2024-12-08T23:10:36Z</cp:lastPrinted>
  <dcterms:created xsi:type="dcterms:W3CDTF">2024-11-18T14:27:52Z</dcterms:created>
  <dcterms:modified xsi:type="dcterms:W3CDTF">2025-03-04T16:01:37Z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0x010100D62F095CDE6FCB43B3A203165A7B7A4A</vt:lpwstr>
  </property>
</Properties>
</file>