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D:\antho\Documents\"/>
    </mc:Choice>
  </mc:AlternateContent>
  <xr:revisionPtr revIDLastSave="0" documentId="13_ncr:1_{C31CAEDF-88E4-4D0D-B4BF-28C33717CEB8}" xr6:coauthVersionLast="47" xr6:coauthVersionMax="47" xr10:uidLastSave="{00000000-0000-0000-0000-000000000000}"/>
  <bookViews>
    <workbookView xWindow="4785" yWindow="2880" windowWidth="21600" windowHeight="11835" xr2:uid="{00000000-000D-0000-FFFF-FFFF00000000}"/>
  </bookViews>
  <sheets>
    <sheet name="Dashboard" sheetId="8" r:id="rId1"/>
    <sheet name="1854 Unit Volume" sheetId="42" r:id="rId2"/>
    <sheet name="Revenue MLR" sheetId="30" r:id="rId3"/>
    <sheet name="Assumptions" sheetId="24" r:id="rId4"/>
    <sheet name="Three Statement Model" sheetId="20" r:id="rId5"/>
    <sheet name="Valuation" sheetId="3" r:id="rId6"/>
    <sheet name="Return Attribution" sheetId="45" r:id="rId7"/>
    <sheet name="Ignore &gt;&gt;" sheetId="31" r:id="rId8"/>
    <sheet name="MLR Visualization" sheetId="32" r:id="rId9"/>
    <sheet name="Other visuals" sheetId="43" r:id="rId10"/>
    <sheet name="Capital Allocation" sheetId="47" r:id="rId11"/>
    <sheet name="Valuation Scenarios" sheetId="46" r:id="rId12"/>
    <sheet name="Sheet1" sheetId="48" r:id="rId13"/>
    <sheet name="Sheet2" sheetId="49" r:id="rId14"/>
  </sheets>
  <definedNames>
    <definedName name="_xlchart.v1.0" hidden="1">'Return Attribution'!$B$3:$B$9</definedName>
    <definedName name="_xlchart.v1.1" hidden="1">'Return Attribution'!$D$3:$D$9</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2" i="47" l="1"/>
  <c r="AH11" i="47"/>
  <c r="AG12" i="47"/>
  <c r="AG11" i="47"/>
  <c r="AK8" i="47"/>
  <c r="AJ8" i="47"/>
  <c r="AO8" i="47"/>
  <c r="AP8" i="47"/>
  <c r="AQ7" i="47"/>
  <c r="AL7" i="47"/>
  <c r="AJ7" i="47"/>
  <c r="AK7" i="47"/>
  <c r="AP7" i="47"/>
  <c r="AO7" i="47"/>
  <c r="AQ21" i="47"/>
  <c r="E11" i="49"/>
  <c r="E10" i="49"/>
  <c r="E9" i="49"/>
  <c r="E8" i="49"/>
  <c r="E7" i="49"/>
  <c r="E6" i="49"/>
  <c r="E5" i="49"/>
  <c r="E4" i="49"/>
  <c r="E3" i="49"/>
  <c r="E2" i="49"/>
  <c r="D10" i="49"/>
  <c r="D9" i="49"/>
  <c r="D8" i="49"/>
  <c r="D7" i="49"/>
  <c r="D6" i="49"/>
  <c r="D5" i="49"/>
  <c r="D4" i="49"/>
  <c r="D3" i="49"/>
  <c r="D2" i="49"/>
  <c r="D11" i="49"/>
  <c r="AE32" i="47"/>
  <c r="AE31" i="47"/>
  <c r="AE28" i="47"/>
  <c r="AE27" i="47"/>
  <c r="AL22" i="47"/>
  <c r="AK22" i="47" s="1"/>
  <c r="AL21" i="47"/>
  <c r="AK21" i="47"/>
  <c r="AL18" i="47"/>
  <c r="AK18" i="47" s="1"/>
  <c r="AQ23" i="47"/>
  <c r="AU13" i="47" s="1"/>
  <c r="AU17" i="47"/>
  <c r="AU16" i="47"/>
  <c r="V73" i="24"/>
  <c r="T115" i="24"/>
  <c r="T73" i="24"/>
  <c r="S73" i="24"/>
  <c r="R73" i="24"/>
  <c r="Q73" i="24"/>
  <c r="P73" i="24"/>
  <c r="O73" i="24"/>
  <c r="N73" i="24"/>
  <c r="M73" i="24"/>
  <c r="L73" i="24"/>
  <c r="K73" i="24"/>
  <c r="J74" i="24"/>
  <c r="I74" i="24"/>
  <c r="H74" i="24"/>
  <c r="J73" i="24"/>
  <c r="I73" i="24"/>
  <c r="H73" i="24"/>
  <c r="F73" i="24"/>
  <c r="E73" i="24"/>
  <c r="D73" i="24"/>
  <c r="H22" i="48"/>
  <c r="G22" i="48"/>
  <c r="G23" i="48"/>
  <c r="H23" i="48"/>
  <c r="Y17" i="48"/>
  <c r="Y16" i="48"/>
  <c r="Y15" i="48"/>
  <c r="X15" i="48"/>
  <c r="W15" i="48"/>
  <c r="V15" i="48"/>
  <c r="U15" i="48"/>
  <c r="U14" i="48"/>
  <c r="X14" i="48"/>
  <c r="W14" i="48"/>
  <c r="V14" i="48"/>
  <c r="Y14" i="48"/>
  <c r="W23" i="48"/>
  <c r="V23" i="48"/>
  <c r="V7" i="48"/>
  <c r="W7" i="48"/>
  <c r="X7" i="48"/>
  <c r="Y7" i="48"/>
  <c r="S11" i="48"/>
  <c r="S10" i="48"/>
  <c r="S9" i="48"/>
  <c r="S8" i="48"/>
  <c r="BF43" i="43"/>
  <c r="BG43" i="43" s="1"/>
  <c r="BH43" i="43" s="1"/>
  <c r="BI43" i="43" s="1"/>
  <c r="BG34" i="43"/>
  <c r="BH34" i="43"/>
  <c r="BI34" i="43"/>
  <c r="BF34" i="43"/>
  <c r="BG35" i="43"/>
  <c r="BH35" i="43"/>
  <c r="BI35" i="43"/>
  <c r="BF35" i="43"/>
  <c r="BF26" i="43"/>
  <c r="BG26" i="43" s="1"/>
  <c r="BH26" i="43" s="1"/>
  <c r="BI26" i="43" s="1"/>
  <c r="Y60" i="24"/>
  <c r="X60" i="24"/>
  <c r="W60" i="24"/>
  <c r="U60" i="24"/>
  <c r="T60" i="24"/>
  <c r="AB5" i="47"/>
  <c r="AB6" i="47"/>
  <c r="R7" i="47"/>
  <c r="Q7" i="47"/>
  <c r="V2" i="47" s="1"/>
  <c r="S2" i="47"/>
  <c r="S3" i="47"/>
  <c r="S4" i="47"/>
  <c r="S5" i="47"/>
  <c r="S6" i="47"/>
  <c r="B7" i="47"/>
  <c r="H2" i="47" s="1"/>
  <c r="E5" i="47"/>
  <c r="E4" i="47"/>
  <c r="E3" i="47"/>
  <c r="E2" i="47"/>
  <c r="E6" i="47"/>
  <c r="DB4" i="43"/>
  <c r="CY4" i="43" s="1"/>
  <c r="CZ4" i="43" s="1"/>
  <c r="DB5" i="43"/>
  <c r="CY5" i="43" s="1"/>
  <c r="CZ5" i="43" s="1"/>
  <c r="DB6" i="43"/>
  <c r="CY6" i="43" s="1"/>
  <c r="CZ6" i="43" s="1"/>
  <c r="DB7" i="43"/>
  <c r="CY7" i="43" s="1"/>
  <c r="DB8" i="43"/>
  <c r="CY8" i="43" s="1"/>
  <c r="DB9" i="43"/>
  <c r="CY9" i="43" s="1"/>
  <c r="DB10" i="43"/>
  <c r="CY10" i="43" s="1"/>
  <c r="DB11" i="43"/>
  <c r="CY11" i="43" s="1"/>
  <c r="DB12" i="43"/>
  <c r="CY12" i="43" s="1"/>
  <c r="CZ12" i="43" s="1"/>
  <c r="DB13" i="43"/>
  <c r="CY13" i="43" s="1"/>
  <c r="CZ13" i="43" s="1"/>
  <c r="DB14" i="43"/>
  <c r="CY14" i="43" s="1"/>
  <c r="DB15" i="43"/>
  <c r="CY15" i="43" s="1"/>
  <c r="DB16" i="43"/>
  <c r="CY16" i="43" s="1"/>
  <c r="DB3" i="43"/>
  <c r="CY3" i="43" s="1"/>
  <c r="CZ3" i="43" s="1"/>
  <c r="DB2" i="43"/>
  <c r="CY2" i="43" s="1"/>
  <c r="CW3" i="43"/>
  <c r="CX3" i="43"/>
  <c r="CW4" i="43"/>
  <c r="CX4" i="43"/>
  <c r="CW5" i="43"/>
  <c r="CX5" i="43"/>
  <c r="CW6" i="43"/>
  <c r="CX6" i="43"/>
  <c r="CW7" i="43"/>
  <c r="CX7" i="43"/>
  <c r="CZ7" i="43"/>
  <c r="CW8" i="43"/>
  <c r="CX8" i="43"/>
  <c r="CZ8" i="43"/>
  <c r="CW9" i="43"/>
  <c r="CX9" i="43"/>
  <c r="CW10" i="43"/>
  <c r="CX10" i="43"/>
  <c r="CW11" i="43"/>
  <c r="CX11" i="43"/>
  <c r="CW12" i="43"/>
  <c r="CX12" i="43"/>
  <c r="CW13" i="43"/>
  <c r="CX13" i="43"/>
  <c r="CW14" i="43"/>
  <c r="CX14" i="43"/>
  <c r="CW15" i="43"/>
  <c r="CX15" i="43"/>
  <c r="CW16" i="43"/>
  <c r="CX16" i="43"/>
  <c r="CX2" i="43"/>
  <c r="CW2" i="43"/>
  <c r="U2" i="43"/>
  <c r="V2" i="43" s="1"/>
  <c r="U3" i="43"/>
  <c r="V3" i="43" s="1"/>
  <c r="U4" i="43"/>
  <c r="V4" i="43" s="1"/>
  <c r="U5" i="43"/>
  <c r="V5" i="43" s="1"/>
  <c r="U6" i="43"/>
  <c r="V6" i="43" s="1"/>
  <c r="U7" i="43"/>
  <c r="V7" i="43" s="1"/>
  <c r="U8" i="43"/>
  <c r="V8" i="43" s="1"/>
  <c r="U9" i="43"/>
  <c r="V9" i="43" s="1"/>
  <c r="U10" i="43"/>
  <c r="V10" i="43" s="1"/>
  <c r="U11" i="43"/>
  <c r="V11" i="43" s="1"/>
  <c r="U12" i="43"/>
  <c r="V12" i="43" s="1"/>
  <c r="U13" i="43"/>
  <c r="V13" i="43" s="1"/>
  <c r="U14" i="43"/>
  <c r="V14" i="43" s="1"/>
  <c r="U15" i="43"/>
  <c r="V15" i="43" s="1"/>
  <c r="U16" i="43"/>
  <c r="V16" i="43" s="1"/>
  <c r="BV9" i="43"/>
  <c r="BW9" i="43" s="1"/>
  <c r="BX9" i="43" s="1"/>
  <c r="BY9" i="43" s="1"/>
  <c r="BZ9" i="43" s="1"/>
  <c r="BV8" i="43"/>
  <c r="BW8" i="43" s="1"/>
  <c r="BX8" i="43" s="1"/>
  <c r="BY8" i="43" s="1"/>
  <c r="BZ8" i="43" s="1"/>
  <c r="D23" i="42"/>
  <c r="BD5" i="43"/>
  <c r="BD7" i="43"/>
  <c r="BE7" i="43" s="1"/>
  <c r="X17" i="43"/>
  <c r="AB12" i="43"/>
  <c r="AB13" i="43"/>
  <c r="AB14" i="43"/>
  <c r="AB15" i="43"/>
  <c r="AB16" i="43"/>
  <c r="S7" i="47" l="1"/>
  <c r="W2" i="47"/>
  <c r="AU14" i="47"/>
  <c r="AF27" i="47"/>
  <c r="AK19" i="47"/>
  <c r="AF28" i="47" s="1"/>
  <c r="AF31" i="47"/>
  <c r="AK23" i="47"/>
  <c r="AF32" i="47" s="1"/>
  <c r="AU18" i="47"/>
  <c r="Y9" i="48"/>
  <c r="Y10" i="48"/>
  <c r="Y11" i="48"/>
  <c r="CZ10" i="43"/>
  <c r="CZ9" i="43"/>
  <c r="CZ16" i="43"/>
  <c r="CZ15" i="43"/>
  <c r="CZ14" i="43"/>
  <c r="CZ2" i="43"/>
  <c r="CZ11" i="43"/>
  <c r="E7" i="47"/>
  <c r="V17" i="43"/>
  <c r="AB17" i="43"/>
  <c r="AA17" i="43" s="1"/>
  <c r="BE6" i="43"/>
  <c r="L2" i="43"/>
  <c r="M2" i="43"/>
  <c r="L3" i="43"/>
  <c r="M3" i="43"/>
  <c r="L4" i="43"/>
  <c r="M4" i="43"/>
  <c r="L5" i="43"/>
  <c r="M5" i="43"/>
  <c r="L6" i="43"/>
  <c r="M6" i="43"/>
  <c r="L7" i="43"/>
  <c r="M7" i="43"/>
  <c r="L8" i="43"/>
  <c r="M8" i="43"/>
  <c r="L9" i="43"/>
  <c r="M9" i="43"/>
  <c r="L10" i="43"/>
  <c r="M10" i="43"/>
  <c r="C17" i="43"/>
  <c r="D17" i="43"/>
  <c r="E17" i="43" s="1"/>
  <c r="L11" i="43"/>
  <c r="M11" i="43"/>
  <c r="L12" i="43"/>
  <c r="M12" i="43"/>
  <c r="L14" i="43"/>
  <c r="L15" i="43"/>
  <c r="L16" i="43"/>
  <c r="L13" i="43"/>
  <c r="M14" i="43"/>
  <c r="M15" i="43"/>
  <c r="M16" i="43"/>
  <c r="M13" i="43"/>
  <c r="F16" i="43"/>
  <c r="F15" i="43"/>
  <c r="F14" i="43"/>
  <c r="F13" i="43"/>
  <c r="F12" i="43"/>
  <c r="F11" i="43"/>
  <c r="F10" i="43"/>
  <c r="F9" i="43"/>
  <c r="F8" i="43"/>
  <c r="F7" i="43"/>
  <c r="F6" i="43"/>
  <c r="F5" i="43"/>
  <c r="F4" i="43"/>
  <c r="F3" i="43"/>
  <c r="F2" i="43"/>
  <c r="D16" i="43"/>
  <c r="E16" i="43" s="1"/>
  <c r="D15" i="43"/>
  <c r="E15" i="43"/>
  <c r="W16" i="20"/>
  <c r="V16" i="20"/>
  <c r="T16" i="20"/>
  <c r="U16" i="20"/>
  <c r="S13" i="20"/>
  <c r="R13" i="20"/>
  <c r="Q13" i="20"/>
  <c r="D2" i="43"/>
  <c r="E2" i="43"/>
  <c r="D3" i="43"/>
  <c r="E3" i="43" s="1"/>
  <c r="D4" i="43"/>
  <c r="E4" i="43" s="1"/>
  <c r="D5" i="43"/>
  <c r="E5" i="43" s="1"/>
  <c r="D6" i="43"/>
  <c r="D7" i="43"/>
  <c r="E7" i="43" s="1"/>
  <c r="E6" i="43"/>
  <c r="D8" i="43"/>
  <c r="E8" i="43" s="1"/>
  <c r="D9" i="43"/>
  <c r="E9" i="43" s="1"/>
  <c r="D10" i="43"/>
  <c r="E10" i="43" s="1"/>
  <c r="D11" i="43"/>
  <c r="D12" i="43"/>
  <c r="E11" i="43"/>
  <c r="E12" i="43"/>
  <c r="D13" i="43"/>
  <c r="E13" i="43" s="1"/>
  <c r="D14" i="43"/>
  <c r="E14" i="43" s="1"/>
  <c r="D132" i="20"/>
  <c r="E132" i="20"/>
  <c r="F132" i="20"/>
  <c r="G132" i="20"/>
  <c r="H132" i="20"/>
  <c r="I132" i="20"/>
  <c r="J132" i="20"/>
  <c r="K132" i="20"/>
  <c r="L132" i="20"/>
  <c r="M132" i="20"/>
  <c r="N132" i="20"/>
  <c r="O132" i="20"/>
  <c r="P132" i="20"/>
  <c r="Q132" i="20"/>
  <c r="R132" i="20"/>
  <c r="S132" i="20"/>
  <c r="C132" i="20"/>
  <c r="Y26" i="24"/>
  <c r="X26" i="24"/>
  <c r="W26" i="24"/>
  <c r="W27" i="24"/>
  <c r="X27" i="24"/>
  <c r="Y27" i="24"/>
  <c r="W40" i="24"/>
  <c r="X40" i="24"/>
  <c r="Y40" i="24"/>
  <c r="Y37" i="24" s="1"/>
  <c r="X32" i="24"/>
  <c r="C5" i="20"/>
  <c r="D5" i="20"/>
  <c r="E5" i="20"/>
  <c r="G5" i="20"/>
  <c r="H5" i="20"/>
  <c r="I5" i="20"/>
  <c r="J5" i="20"/>
  <c r="L5" i="20"/>
  <c r="M5" i="20"/>
  <c r="N5" i="20"/>
  <c r="O5" i="20"/>
  <c r="Q5" i="20"/>
  <c r="R5" i="20"/>
  <c r="S5" i="20"/>
  <c r="T51" i="24"/>
  <c r="T47" i="24" s="1"/>
  <c r="T49" i="24"/>
  <c r="U49" i="24"/>
  <c r="U51" i="24"/>
  <c r="U47" i="24" s="1"/>
  <c r="G25" i="3"/>
  <c r="F25" i="3"/>
  <c r="E25" i="3"/>
  <c r="D25" i="3"/>
  <c r="G24" i="3"/>
  <c r="F24" i="3"/>
  <c r="E24" i="3"/>
  <c r="D24" i="3"/>
  <c r="G19" i="3"/>
  <c r="F19" i="3"/>
  <c r="E19" i="3"/>
  <c r="D19" i="3"/>
  <c r="C17" i="3"/>
  <c r="W39" i="24"/>
  <c r="X39" i="24"/>
  <c r="Y39" i="24"/>
  <c r="T32" i="24"/>
  <c r="T31" i="24" s="1"/>
  <c r="M5" i="42"/>
  <c r="M9" i="42"/>
  <c r="BI28" i="43" s="1"/>
  <c r="BI31" i="43" s="1"/>
  <c r="BI36" i="43" s="1"/>
  <c r="L9" i="42"/>
  <c r="BH28" i="43" s="1"/>
  <c r="BH31" i="43" s="1"/>
  <c r="BH36" i="43" s="1"/>
  <c r="L5" i="42"/>
  <c r="K5" i="42"/>
  <c r="K7" i="42" s="1"/>
  <c r="K9" i="42" s="1"/>
  <c r="BG28" i="43" s="1"/>
  <c r="BG31" i="43" s="1"/>
  <c r="BG36" i="43" s="1"/>
  <c r="J5" i="42"/>
  <c r="J7" i="42" s="1"/>
  <c r="J9" i="42" s="1"/>
  <c r="BF28" i="43" s="1"/>
  <c r="BF31" i="43" s="1"/>
  <c r="BF36" i="43" s="1"/>
  <c r="F23" i="42"/>
  <c r="E23" i="42"/>
  <c r="Y115" i="20"/>
  <c r="Y116" i="20" s="1"/>
  <c r="Y114" i="24" s="1"/>
  <c r="X115" i="20"/>
  <c r="W115" i="20"/>
  <c r="U115" i="20"/>
  <c r="U116" i="20" s="1"/>
  <c r="U114" i="24" s="1"/>
  <c r="T115" i="20"/>
  <c r="T116" i="20" s="1"/>
  <c r="T114" i="24" s="1"/>
  <c r="G108" i="24"/>
  <c r="H108" i="24"/>
  <c r="L108" i="24"/>
  <c r="M108" i="24"/>
  <c r="Q108" i="24"/>
  <c r="R108" i="24"/>
  <c r="C108" i="24"/>
  <c r="T119" i="20"/>
  <c r="U119" i="20"/>
  <c r="W119" i="20"/>
  <c r="X119" i="20"/>
  <c r="Y119" i="20"/>
  <c r="T120" i="20"/>
  <c r="T69" i="20" s="1"/>
  <c r="U120" i="20"/>
  <c r="W120" i="20"/>
  <c r="X120" i="20"/>
  <c r="Y120" i="20"/>
  <c r="T124" i="20"/>
  <c r="U124" i="20"/>
  <c r="W124" i="20"/>
  <c r="X124" i="20"/>
  <c r="Y124" i="20"/>
  <c r="T125" i="20"/>
  <c r="U125" i="20"/>
  <c r="W125" i="20"/>
  <c r="X125" i="20"/>
  <c r="Y125" i="20"/>
  <c r="D121" i="24"/>
  <c r="E121" i="24"/>
  <c r="G121" i="24"/>
  <c r="H121" i="24"/>
  <c r="I121" i="24"/>
  <c r="J121" i="24"/>
  <c r="L121" i="24"/>
  <c r="M121" i="24"/>
  <c r="N121" i="24"/>
  <c r="O121" i="24"/>
  <c r="Q121" i="24"/>
  <c r="R121" i="24"/>
  <c r="D126" i="24"/>
  <c r="E126" i="24"/>
  <c r="G126" i="24"/>
  <c r="H126" i="24"/>
  <c r="I126" i="24"/>
  <c r="J126" i="24"/>
  <c r="L126" i="24"/>
  <c r="M126" i="24"/>
  <c r="N126" i="24"/>
  <c r="O126" i="24"/>
  <c r="Q126" i="24"/>
  <c r="R126" i="24"/>
  <c r="S126" i="24"/>
  <c r="G127" i="24"/>
  <c r="H127" i="24"/>
  <c r="L127" i="24"/>
  <c r="M127" i="24"/>
  <c r="Q127" i="24"/>
  <c r="R127" i="24"/>
  <c r="D120" i="24"/>
  <c r="E120" i="24"/>
  <c r="G120" i="24"/>
  <c r="H120" i="24"/>
  <c r="I120" i="24"/>
  <c r="J120" i="24"/>
  <c r="L120" i="24"/>
  <c r="M120" i="24"/>
  <c r="N120" i="24"/>
  <c r="O120" i="24"/>
  <c r="Q120" i="24"/>
  <c r="R120" i="24"/>
  <c r="S120" i="24"/>
  <c r="D124" i="24"/>
  <c r="G124" i="24"/>
  <c r="H124" i="24"/>
  <c r="I124" i="24"/>
  <c r="J124" i="24"/>
  <c r="L124" i="24"/>
  <c r="M124" i="24"/>
  <c r="N124" i="24"/>
  <c r="Q124" i="24"/>
  <c r="R124" i="24"/>
  <c r="G115" i="24"/>
  <c r="H115" i="24"/>
  <c r="L115" i="24"/>
  <c r="M115" i="24"/>
  <c r="Q115" i="24"/>
  <c r="R115" i="24"/>
  <c r="D128" i="24"/>
  <c r="G128" i="24"/>
  <c r="H128" i="24"/>
  <c r="I128" i="24"/>
  <c r="L128" i="24"/>
  <c r="M128" i="24"/>
  <c r="N128" i="24"/>
  <c r="O128" i="24"/>
  <c r="Q128" i="24"/>
  <c r="R128" i="24"/>
  <c r="G129" i="24"/>
  <c r="H129" i="24"/>
  <c r="L129" i="24"/>
  <c r="M129" i="24"/>
  <c r="Q129" i="24"/>
  <c r="R129" i="24"/>
  <c r="C126" i="24"/>
  <c r="C127" i="24"/>
  <c r="C120" i="24"/>
  <c r="C124" i="24"/>
  <c r="C115" i="24"/>
  <c r="C128" i="24"/>
  <c r="C129" i="24"/>
  <c r="C121" i="24"/>
  <c r="T56" i="20"/>
  <c r="U56" i="20" s="1"/>
  <c r="S63" i="24"/>
  <c r="R63" i="24"/>
  <c r="O63" i="24"/>
  <c r="N63" i="24"/>
  <c r="M63" i="24"/>
  <c r="J63" i="24"/>
  <c r="I63" i="24"/>
  <c r="H63" i="24"/>
  <c r="E63" i="24"/>
  <c r="D63" i="24"/>
  <c r="C63" i="24"/>
  <c r="S58" i="24"/>
  <c r="R58" i="24"/>
  <c r="O58" i="24"/>
  <c r="N58" i="24"/>
  <c r="M58" i="24"/>
  <c r="J58" i="24"/>
  <c r="I58" i="24"/>
  <c r="H58" i="24"/>
  <c r="E58" i="24"/>
  <c r="D58" i="24"/>
  <c r="C58" i="24"/>
  <c r="S53" i="24"/>
  <c r="R53" i="24"/>
  <c r="O53" i="24"/>
  <c r="N53" i="24"/>
  <c r="M53" i="24"/>
  <c r="J53" i="24"/>
  <c r="I53" i="24"/>
  <c r="H53" i="24"/>
  <c r="E53" i="24"/>
  <c r="D53" i="24"/>
  <c r="C53" i="24"/>
  <c r="S95" i="24"/>
  <c r="R95" i="24"/>
  <c r="Q95" i="24"/>
  <c r="O95" i="24"/>
  <c r="T95" i="24" s="1"/>
  <c r="N95" i="24"/>
  <c r="M95" i="24"/>
  <c r="L95" i="24"/>
  <c r="J95" i="24"/>
  <c r="I95" i="24"/>
  <c r="H95" i="24"/>
  <c r="G95" i="24"/>
  <c r="E95" i="24"/>
  <c r="D95" i="24"/>
  <c r="C95" i="24"/>
  <c r="S87" i="24"/>
  <c r="R87" i="24"/>
  <c r="Q87" i="24"/>
  <c r="O87" i="24"/>
  <c r="T87" i="24" s="1"/>
  <c r="N87" i="24"/>
  <c r="M87" i="24"/>
  <c r="L87" i="24"/>
  <c r="J87" i="24"/>
  <c r="I87" i="24"/>
  <c r="H87" i="24"/>
  <c r="G87" i="24"/>
  <c r="E87" i="24"/>
  <c r="D87" i="24"/>
  <c r="C87" i="24"/>
  <c r="S86" i="24"/>
  <c r="R86" i="24"/>
  <c r="Q86" i="24"/>
  <c r="O86" i="24"/>
  <c r="N86" i="24"/>
  <c r="M86" i="24"/>
  <c r="L86" i="24"/>
  <c r="J86" i="24"/>
  <c r="I86" i="24"/>
  <c r="H86" i="24"/>
  <c r="G86" i="24"/>
  <c r="E86" i="24"/>
  <c r="D86" i="24"/>
  <c r="C86" i="24"/>
  <c r="S85" i="24"/>
  <c r="R85" i="24"/>
  <c r="Q85" i="24"/>
  <c r="O85" i="24"/>
  <c r="N85" i="24"/>
  <c r="M85" i="24"/>
  <c r="L85" i="24"/>
  <c r="J85" i="24"/>
  <c r="I85" i="24"/>
  <c r="H85" i="24"/>
  <c r="G85" i="24"/>
  <c r="E85" i="24"/>
  <c r="D85" i="24"/>
  <c r="C85" i="24"/>
  <c r="S78" i="24"/>
  <c r="R78" i="24"/>
  <c r="Q78" i="24"/>
  <c r="O78" i="24"/>
  <c r="N78" i="24"/>
  <c r="M78" i="24"/>
  <c r="L78" i="24"/>
  <c r="J78" i="24"/>
  <c r="I78" i="24"/>
  <c r="H78" i="24"/>
  <c r="G78" i="24"/>
  <c r="E78" i="24"/>
  <c r="D78" i="24"/>
  <c r="C78" i="24"/>
  <c r="S74" i="24"/>
  <c r="R74" i="24"/>
  <c r="Q74" i="24"/>
  <c r="O74" i="24"/>
  <c r="N74" i="24"/>
  <c r="M74" i="24"/>
  <c r="L74" i="24"/>
  <c r="E74" i="24"/>
  <c r="D74" i="24"/>
  <c r="F21" i="20"/>
  <c r="F5" i="20" s="1"/>
  <c r="K21" i="20"/>
  <c r="K5" i="20" s="1"/>
  <c r="P21" i="20"/>
  <c r="F22" i="20"/>
  <c r="K22" i="20"/>
  <c r="P22" i="20"/>
  <c r="C23" i="20"/>
  <c r="D23" i="20"/>
  <c r="E23" i="20"/>
  <c r="F23" i="20"/>
  <c r="G23" i="20"/>
  <c r="H23" i="20"/>
  <c r="I23" i="20"/>
  <c r="J23" i="20"/>
  <c r="K23" i="20"/>
  <c r="L23" i="20"/>
  <c r="M23" i="20"/>
  <c r="N23" i="20"/>
  <c r="O23" i="20"/>
  <c r="P23" i="20"/>
  <c r="Q23" i="20"/>
  <c r="R23" i="20"/>
  <c r="S23" i="20"/>
  <c r="F26" i="20"/>
  <c r="F53" i="24" s="1"/>
  <c r="K26" i="20"/>
  <c r="K53" i="24" s="1"/>
  <c r="P26" i="20"/>
  <c r="P53" i="24" s="1"/>
  <c r="F27" i="20"/>
  <c r="F58" i="24" s="1"/>
  <c r="K27" i="20"/>
  <c r="K58" i="24" s="1"/>
  <c r="K59" i="24" s="1"/>
  <c r="P27" i="20"/>
  <c r="P58" i="24" s="1"/>
  <c r="F28" i="20"/>
  <c r="F63" i="24" s="1"/>
  <c r="K28" i="20"/>
  <c r="K63" i="24" s="1"/>
  <c r="P28" i="20"/>
  <c r="P63" i="24" s="1"/>
  <c r="C29" i="20"/>
  <c r="D29" i="20"/>
  <c r="E29" i="20"/>
  <c r="F29" i="20"/>
  <c r="G29" i="20"/>
  <c r="H29" i="20"/>
  <c r="I29" i="20"/>
  <c r="J29" i="20"/>
  <c r="K29" i="20"/>
  <c r="L29" i="20"/>
  <c r="M29" i="20"/>
  <c r="N29" i="20"/>
  <c r="O29" i="20"/>
  <c r="P29" i="20"/>
  <c r="Q29" i="20"/>
  <c r="R29" i="20"/>
  <c r="S29" i="20"/>
  <c r="C31" i="20"/>
  <c r="D31" i="20"/>
  <c r="E31" i="20"/>
  <c r="F31" i="20"/>
  <c r="G31" i="20"/>
  <c r="H31" i="20"/>
  <c r="I31" i="20"/>
  <c r="J31" i="20"/>
  <c r="K31" i="20"/>
  <c r="L31" i="20"/>
  <c r="M31" i="20"/>
  <c r="N31" i="20"/>
  <c r="O31" i="20"/>
  <c r="P31" i="20"/>
  <c r="Q31" i="20"/>
  <c r="R31" i="20"/>
  <c r="S31" i="20"/>
  <c r="F34" i="20"/>
  <c r="K34" i="20"/>
  <c r="P34" i="20"/>
  <c r="V34" i="20"/>
  <c r="F35" i="20"/>
  <c r="F74" i="24" s="1"/>
  <c r="K35" i="20"/>
  <c r="K74" i="24" s="1"/>
  <c r="P35" i="20"/>
  <c r="P74" i="24" s="1"/>
  <c r="C36" i="20"/>
  <c r="D36" i="20"/>
  <c r="E36" i="20"/>
  <c r="F36" i="20"/>
  <c r="G36" i="20"/>
  <c r="H36" i="20"/>
  <c r="I36" i="20"/>
  <c r="J36" i="20"/>
  <c r="K36" i="20"/>
  <c r="L36" i="20"/>
  <c r="M36" i="20"/>
  <c r="N36" i="20"/>
  <c r="O36" i="20"/>
  <c r="P36" i="20"/>
  <c r="Q36" i="20"/>
  <c r="R36" i="20"/>
  <c r="S36" i="20"/>
  <c r="C38" i="20"/>
  <c r="C77" i="24" s="1"/>
  <c r="D38" i="20"/>
  <c r="D77" i="24" s="1"/>
  <c r="E38" i="20"/>
  <c r="E77" i="24" s="1"/>
  <c r="F38" i="20"/>
  <c r="F77" i="24" s="1"/>
  <c r="G38" i="20"/>
  <c r="G77" i="24" s="1"/>
  <c r="H38" i="20"/>
  <c r="H77" i="24" s="1"/>
  <c r="I38" i="20"/>
  <c r="I77" i="24" s="1"/>
  <c r="J38" i="20"/>
  <c r="J77" i="24" s="1"/>
  <c r="K38" i="20"/>
  <c r="K77" i="24" s="1"/>
  <c r="L38" i="20"/>
  <c r="L77" i="24" s="1"/>
  <c r="M38" i="20"/>
  <c r="M77" i="24" s="1"/>
  <c r="N38" i="20"/>
  <c r="N77" i="24" s="1"/>
  <c r="O38" i="20"/>
  <c r="O77" i="24" s="1"/>
  <c r="P38" i="20"/>
  <c r="P77" i="24" s="1"/>
  <c r="Q38" i="20"/>
  <c r="Q77" i="24" s="1"/>
  <c r="R38" i="20"/>
  <c r="R77" i="24" s="1"/>
  <c r="S38" i="20"/>
  <c r="S77" i="24" s="1"/>
  <c r="F39" i="20"/>
  <c r="K39" i="20"/>
  <c r="P39" i="20"/>
  <c r="C40" i="20"/>
  <c r="C86" i="20" s="1"/>
  <c r="D40" i="20"/>
  <c r="D86" i="20" s="1"/>
  <c r="E40" i="20"/>
  <c r="E86" i="20" s="1"/>
  <c r="F40" i="20"/>
  <c r="F86" i="20" s="1"/>
  <c r="G40" i="20"/>
  <c r="G86" i="20" s="1"/>
  <c r="H40" i="20"/>
  <c r="H86" i="20" s="1"/>
  <c r="I40" i="20"/>
  <c r="I86" i="20" s="1"/>
  <c r="J40" i="20"/>
  <c r="J86" i="20" s="1"/>
  <c r="K40" i="20"/>
  <c r="K86" i="20" s="1"/>
  <c r="L40" i="20"/>
  <c r="L86" i="20" s="1"/>
  <c r="M40" i="20"/>
  <c r="M86" i="20" s="1"/>
  <c r="N40" i="20"/>
  <c r="N86" i="20" s="1"/>
  <c r="O40" i="20"/>
  <c r="O86" i="20" s="1"/>
  <c r="P40" i="20"/>
  <c r="P86" i="20" s="1"/>
  <c r="Q40" i="20"/>
  <c r="Q86" i="20" s="1"/>
  <c r="R40" i="20"/>
  <c r="R86" i="20" s="1"/>
  <c r="S40" i="20"/>
  <c r="S86" i="20" s="1"/>
  <c r="L130" i="20"/>
  <c r="S105" i="20"/>
  <c r="R105" i="20"/>
  <c r="O105" i="20"/>
  <c r="N105" i="20"/>
  <c r="M105" i="20"/>
  <c r="J105" i="20"/>
  <c r="I105" i="20"/>
  <c r="H105" i="20"/>
  <c r="E105" i="20"/>
  <c r="D105" i="20"/>
  <c r="S103" i="20"/>
  <c r="R103" i="20"/>
  <c r="O103" i="20"/>
  <c r="N103" i="20"/>
  <c r="M103" i="20"/>
  <c r="J103" i="20"/>
  <c r="I103" i="20"/>
  <c r="H103" i="20"/>
  <c r="E103" i="20"/>
  <c r="D103" i="20"/>
  <c r="S102" i="20"/>
  <c r="R102" i="20"/>
  <c r="O102" i="20"/>
  <c r="N102" i="20"/>
  <c r="M102" i="20"/>
  <c r="J102" i="20"/>
  <c r="I102" i="20"/>
  <c r="H102" i="20"/>
  <c r="E102" i="20"/>
  <c r="D102" i="20"/>
  <c r="S100" i="20"/>
  <c r="R100" i="20"/>
  <c r="O100" i="20"/>
  <c r="N100" i="20"/>
  <c r="M100" i="20"/>
  <c r="J100" i="20"/>
  <c r="I100" i="20"/>
  <c r="H100" i="20"/>
  <c r="E100" i="20"/>
  <c r="D100" i="20"/>
  <c r="S99" i="20"/>
  <c r="R99" i="20"/>
  <c r="O99" i="20"/>
  <c r="N99" i="20"/>
  <c r="M99" i="20"/>
  <c r="J99" i="20"/>
  <c r="I99" i="20"/>
  <c r="H99" i="20"/>
  <c r="E99" i="20"/>
  <c r="D99" i="20"/>
  <c r="S98" i="20"/>
  <c r="R98" i="20"/>
  <c r="O98" i="20"/>
  <c r="N98" i="20"/>
  <c r="M98" i="20"/>
  <c r="J98" i="20"/>
  <c r="I98" i="20"/>
  <c r="H98" i="20"/>
  <c r="E98" i="20"/>
  <c r="D98" i="20"/>
  <c r="R97" i="20"/>
  <c r="M97" i="20"/>
  <c r="H97" i="20"/>
  <c r="S100" i="24"/>
  <c r="T101" i="24" s="1"/>
  <c r="R100" i="24"/>
  <c r="Q100" i="24"/>
  <c r="O100" i="24"/>
  <c r="N100" i="24"/>
  <c r="M100" i="24"/>
  <c r="L100" i="24"/>
  <c r="J100" i="24"/>
  <c r="I100" i="24"/>
  <c r="H100" i="24"/>
  <c r="G100" i="24"/>
  <c r="E100" i="24"/>
  <c r="D100" i="24"/>
  <c r="C100" i="24"/>
  <c r="C15" i="3"/>
  <c r="C14" i="3"/>
  <c r="F46" i="20"/>
  <c r="K46" i="20"/>
  <c r="P46" i="20"/>
  <c r="F47" i="20"/>
  <c r="F85" i="24" s="1"/>
  <c r="K47" i="20"/>
  <c r="K85" i="24" s="1"/>
  <c r="P47" i="20"/>
  <c r="P85" i="24" s="1"/>
  <c r="F48" i="20"/>
  <c r="F86" i="24" s="1"/>
  <c r="K48" i="20"/>
  <c r="K86" i="24" s="1"/>
  <c r="P48" i="20"/>
  <c r="P86" i="24" s="1"/>
  <c r="F49" i="20"/>
  <c r="F91" i="24" s="1"/>
  <c r="K49" i="20"/>
  <c r="K91" i="24" s="1"/>
  <c r="P49" i="20"/>
  <c r="P91" i="24" s="1"/>
  <c r="F50" i="20"/>
  <c r="K50" i="20"/>
  <c r="P50" i="20"/>
  <c r="V50" i="20"/>
  <c r="C51" i="20"/>
  <c r="D51" i="20"/>
  <c r="E51" i="20"/>
  <c r="F51" i="20"/>
  <c r="G51" i="20"/>
  <c r="H51" i="20"/>
  <c r="I51" i="20"/>
  <c r="J51" i="20"/>
  <c r="K51" i="20"/>
  <c r="L51" i="20"/>
  <c r="M51" i="20"/>
  <c r="N51" i="20"/>
  <c r="O51" i="20"/>
  <c r="P51" i="20"/>
  <c r="Q51" i="20"/>
  <c r="R51" i="20"/>
  <c r="S51" i="20"/>
  <c r="F52" i="20"/>
  <c r="K52" i="20"/>
  <c r="P52" i="20"/>
  <c r="F53" i="20"/>
  <c r="K53" i="20"/>
  <c r="P53" i="20"/>
  <c r="V53" i="20"/>
  <c r="F54" i="20"/>
  <c r="K54" i="20"/>
  <c r="P54" i="20"/>
  <c r="V54" i="20"/>
  <c r="F55" i="20"/>
  <c r="K55" i="20"/>
  <c r="P55" i="20"/>
  <c r="T55" i="20"/>
  <c r="U55" i="20"/>
  <c r="V55" i="20"/>
  <c r="W55" i="20"/>
  <c r="X55" i="20"/>
  <c r="Y55" i="20"/>
  <c r="F56" i="20"/>
  <c r="K56" i="20"/>
  <c r="P56" i="20"/>
  <c r="V56" i="20"/>
  <c r="W56" i="20" s="1"/>
  <c r="X56" i="20" s="1"/>
  <c r="Y56" i="20" s="1"/>
  <c r="C57" i="20"/>
  <c r="D57" i="20"/>
  <c r="E57" i="20"/>
  <c r="F57" i="20"/>
  <c r="G57" i="20"/>
  <c r="H57" i="20"/>
  <c r="I57" i="20"/>
  <c r="J57" i="20"/>
  <c r="K57" i="20"/>
  <c r="L57" i="20"/>
  <c r="M57" i="20"/>
  <c r="N57" i="20"/>
  <c r="O57" i="20"/>
  <c r="P57" i="20"/>
  <c r="Q57" i="20"/>
  <c r="R57" i="20"/>
  <c r="S57" i="20"/>
  <c r="F60" i="20"/>
  <c r="F87" i="24" s="1"/>
  <c r="K60" i="20"/>
  <c r="K87" i="24" s="1"/>
  <c r="P60" i="20"/>
  <c r="P87" i="24" s="1"/>
  <c r="F61" i="20"/>
  <c r="F94" i="24" s="1"/>
  <c r="K61" i="20"/>
  <c r="K94" i="24" s="1"/>
  <c r="P61" i="20"/>
  <c r="P94" i="24" s="1"/>
  <c r="U94" i="24" s="1"/>
  <c r="F62" i="20"/>
  <c r="F92" i="24" s="1"/>
  <c r="K62" i="20"/>
  <c r="K92" i="24" s="1"/>
  <c r="P62" i="20"/>
  <c r="P92" i="24" s="1"/>
  <c r="U92" i="24" s="1"/>
  <c r="F63" i="20"/>
  <c r="K63" i="20"/>
  <c r="P63" i="20"/>
  <c r="V63" i="20"/>
  <c r="F64" i="20"/>
  <c r="F93" i="24" s="1"/>
  <c r="K64" i="20"/>
  <c r="K93" i="24" s="1"/>
  <c r="P64" i="20"/>
  <c r="P93" i="24" s="1"/>
  <c r="U93" i="24" s="1"/>
  <c r="F65" i="20"/>
  <c r="F95" i="24" s="1"/>
  <c r="K65" i="20"/>
  <c r="K95" i="24" s="1"/>
  <c r="P65" i="20"/>
  <c r="P95" i="24" s="1"/>
  <c r="U95" i="24" s="1"/>
  <c r="C66" i="20"/>
  <c r="D66" i="20"/>
  <c r="E66" i="20"/>
  <c r="F66" i="20"/>
  <c r="G66" i="20"/>
  <c r="H66" i="20"/>
  <c r="I66" i="20"/>
  <c r="J66" i="20"/>
  <c r="K66" i="20"/>
  <c r="L66" i="20"/>
  <c r="M66" i="20"/>
  <c r="N66" i="20"/>
  <c r="O66" i="20"/>
  <c r="P66" i="20"/>
  <c r="Q66" i="20"/>
  <c r="R66" i="20"/>
  <c r="S66" i="20"/>
  <c r="F67" i="20"/>
  <c r="K67" i="20"/>
  <c r="P67" i="20"/>
  <c r="V67" i="20"/>
  <c r="F68" i="20"/>
  <c r="K68" i="20"/>
  <c r="P68" i="20"/>
  <c r="F69" i="20"/>
  <c r="K69" i="20"/>
  <c r="P69" i="20"/>
  <c r="F70" i="20"/>
  <c r="K70" i="20"/>
  <c r="P70" i="20"/>
  <c r="V70" i="20"/>
  <c r="C71" i="20"/>
  <c r="D71" i="20"/>
  <c r="E71" i="20"/>
  <c r="F71" i="20"/>
  <c r="G71" i="20"/>
  <c r="H71" i="20"/>
  <c r="I71" i="20"/>
  <c r="J71" i="20"/>
  <c r="K71" i="20"/>
  <c r="L71" i="20"/>
  <c r="M71" i="20"/>
  <c r="N71" i="20"/>
  <c r="O71" i="20"/>
  <c r="P71" i="20"/>
  <c r="Q71" i="20"/>
  <c r="R71" i="20"/>
  <c r="S71" i="20"/>
  <c r="F74" i="20"/>
  <c r="K74" i="20"/>
  <c r="P74" i="20"/>
  <c r="F75" i="20"/>
  <c r="K75" i="20"/>
  <c r="P75" i="20"/>
  <c r="F76" i="20"/>
  <c r="K76" i="20"/>
  <c r="P76" i="20"/>
  <c r="F77" i="20"/>
  <c r="K77" i="20"/>
  <c r="P77" i="20"/>
  <c r="V77" i="20"/>
  <c r="F78" i="20"/>
  <c r="K78" i="20"/>
  <c r="P78" i="20"/>
  <c r="C79" i="20"/>
  <c r="D79" i="20"/>
  <c r="E79" i="20"/>
  <c r="F79" i="20"/>
  <c r="G79" i="20"/>
  <c r="H79" i="20"/>
  <c r="I79" i="20"/>
  <c r="J79" i="20"/>
  <c r="K79" i="20"/>
  <c r="L79" i="20"/>
  <c r="M79" i="20"/>
  <c r="N79" i="20"/>
  <c r="O79" i="20"/>
  <c r="P79" i="20"/>
  <c r="Q79" i="20"/>
  <c r="R79" i="20"/>
  <c r="S79" i="20"/>
  <c r="R105" i="24"/>
  <c r="Q105" i="24"/>
  <c r="M105" i="24"/>
  <c r="L105" i="24"/>
  <c r="H105" i="24"/>
  <c r="G105" i="24"/>
  <c r="C105" i="24"/>
  <c r="R101" i="24"/>
  <c r="Q101" i="24"/>
  <c r="M101" i="24"/>
  <c r="L101" i="24"/>
  <c r="H101" i="24"/>
  <c r="G101" i="24"/>
  <c r="C101" i="24"/>
  <c r="D89" i="20"/>
  <c r="E89" i="20"/>
  <c r="F89" i="20"/>
  <c r="I89" i="20"/>
  <c r="J89" i="20"/>
  <c r="K89" i="20"/>
  <c r="N89" i="20"/>
  <c r="O89" i="20"/>
  <c r="P89" i="20"/>
  <c r="S89" i="20"/>
  <c r="D90" i="20"/>
  <c r="E90" i="20"/>
  <c r="F90" i="20"/>
  <c r="I90" i="20"/>
  <c r="J90" i="20"/>
  <c r="K90" i="20"/>
  <c r="N90" i="20"/>
  <c r="O90" i="20"/>
  <c r="P90" i="20"/>
  <c r="S90" i="20"/>
  <c r="D91" i="20"/>
  <c r="D97" i="20" s="1"/>
  <c r="E91" i="20"/>
  <c r="E97" i="20" s="1"/>
  <c r="F91" i="20"/>
  <c r="I91" i="20"/>
  <c r="I97" i="20" s="1"/>
  <c r="J91" i="20"/>
  <c r="J97" i="20" s="1"/>
  <c r="K91" i="20"/>
  <c r="N91" i="20"/>
  <c r="N97" i="20" s="1"/>
  <c r="O91" i="20"/>
  <c r="O97" i="20" s="1"/>
  <c r="P91" i="20"/>
  <c r="S91" i="20"/>
  <c r="S97" i="20" s="1"/>
  <c r="E92" i="20"/>
  <c r="F92" i="20"/>
  <c r="K92" i="20"/>
  <c r="P92" i="20"/>
  <c r="F93" i="20"/>
  <c r="K93" i="20"/>
  <c r="P93" i="20"/>
  <c r="D94" i="20"/>
  <c r="D105" i="24" s="1"/>
  <c r="E94" i="20"/>
  <c r="E105" i="24" s="1"/>
  <c r="F94" i="20"/>
  <c r="F105" i="24" s="1"/>
  <c r="I94" i="20"/>
  <c r="I105" i="24" s="1"/>
  <c r="J94" i="20"/>
  <c r="J105" i="24" s="1"/>
  <c r="K94" i="20"/>
  <c r="K105" i="24" s="1"/>
  <c r="N94" i="20"/>
  <c r="N105" i="24" s="1"/>
  <c r="O94" i="20"/>
  <c r="O105" i="24" s="1"/>
  <c r="P94" i="20"/>
  <c r="P105" i="24" s="1"/>
  <c r="S94" i="20"/>
  <c r="S105" i="24" s="1"/>
  <c r="C95" i="20"/>
  <c r="D95" i="20"/>
  <c r="E95" i="20"/>
  <c r="F95" i="20"/>
  <c r="G95" i="20"/>
  <c r="H95" i="20"/>
  <c r="I95" i="20"/>
  <c r="J95" i="20"/>
  <c r="K95" i="20"/>
  <c r="L95" i="20"/>
  <c r="M95" i="20"/>
  <c r="N95" i="20"/>
  <c r="O95" i="20"/>
  <c r="P95" i="20"/>
  <c r="Q95" i="20"/>
  <c r="R95" i="20"/>
  <c r="S95" i="20"/>
  <c r="F97" i="20"/>
  <c r="K97" i="20"/>
  <c r="P97" i="20"/>
  <c r="F98" i="20"/>
  <c r="K98" i="20"/>
  <c r="P98" i="20"/>
  <c r="F99" i="20"/>
  <c r="K99" i="20"/>
  <c r="P99" i="20"/>
  <c r="F100" i="20"/>
  <c r="K100" i="20"/>
  <c r="P100" i="20"/>
  <c r="D101" i="20"/>
  <c r="E101" i="20"/>
  <c r="F101" i="20"/>
  <c r="I101" i="20"/>
  <c r="J101" i="20"/>
  <c r="K101" i="20"/>
  <c r="N101" i="20"/>
  <c r="O101" i="20"/>
  <c r="P101" i="20"/>
  <c r="S101" i="20"/>
  <c r="F102" i="20"/>
  <c r="K102" i="20"/>
  <c r="P102" i="20"/>
  <c r="F103" i="20"/>
  <c r="K103" i="20"/>
  <c r="P103" i="20"/>
  <c r="D104" i="20"/>
  <c r="E104" i="20"/>
  <c r="F104" i="20"/>
  <c r="I104" i="20"/>
  <c r="J104" i="20"/>
  <c r="K104" i="20"/>
  <c r="N104" i="20"/>
  <c r="O104" i="20"/>
  <c r="P104" i="20"/>
  <c r="S104" i="20"/>
  <c r="F105" i="20"/>
  <c r="K105" i="20"/>
  <c r="P105" i="20"/>
  <c r="D106" i="20"/>
  <c r="E106" i="20"/>
  <c r="F106" i="20"/>
  <c r="I106" i="20"/>
  <c r="J106" i="20"/>
  <c r="K106" i="20"/>
  <c r="N106" i="20"/>
  <c r="O106" i="20"/>
  <c r="P106" i="20"/>
  <c r="S106" i="20"/>
  <c r="V106" i="20" s="1"/>
  <c r="D107" i="20"/>
  <c r="E107" i="20"/>
  <c r="F107" i="20"/>
  <c r="I107" i="20"/>
  <c r="J107" i="20"/>
  <c r="K107" i="20"/>
  <c r="N107" i="20"/>
  <c r="O107" i="20"/>
  <c r="P107" i="20"/>
  <c r="S107" i="20"/>
  <c r="V107" i="20" s="1"/>
  <c r="C108" i="20"/>
  <c r="D108" i="20"/>
  <c r="E108" i="20"/>
  <c r="F108" i="20"/>
  <c r="G108" i="20"/>
  <c r="H108" i="20"/>
  <c r="I108" i="20"/>
  <c r="J108" i="20"/>
  <c r="K108" i="20"/>
  <c r="L108" i="20"/>
  <c r="M108" i="20"/>
  <c r="N108" i="20"/>
  <c r="O108" i="20"/>
  <c r="P108" i="20"/>
  <c r="Q108" i="20"/>
  <c r="R108" i="20"/>
  <c r="S108" i="20"/>
  <c r="C110" i="20"/>
  <c r="C113" i="24" s="1"/>
  <c r="D110" i="20"/>
  <c r="D113" i="24" s="1"/>
  <c r="E110" i="20"/>
  <c r="E113" i="24" s="1"/>
  <c r="F110" i="20"/>
  <c r="F113" i="24" s="1"/>
  <c r="G110" i="20"/>
  <c r="G113" i="24" s="1"/>
  <c r="H110" i="20"/>
  <c r="H113" i="24" s="1"/>
  <c r="I110" i="20"/>
  <c r="I113" i="24" s="1"/>
  <c r="J110" i="20"/>
  <c r="J113" i="24" s="1"/>
  <c r="K110" i="20"/>
  <c r="K113" i="24" s="1"/>
  <c r="L110" i="20"/>
  <c r="L113" i="24" s="1"/>
  <c r="M110" i="20"/>
  <c r="M113" i="24" s="1"/>
  <c r="N110" i="20"/>
  <c r="N113" i="24" s="1"/>
  <c r="O110" i="20"/>
  <c r="O113" i="24" s="1"/>
  <c r="P110" i="20"/>
  <c r="P113" i="24" s="1"/>
  <c r="Q110" i="20"/>
  <c r="Q113" i="24" s="1"/>
  <c r="R110" i="20"/>
  <c r="R113" i="24" s="1"/>
  <c r="S110" i="20"/>
  <c r="S113" i="24" s="1"/>
  <c r="D112" i="20"/>
  <c r="E112" i="20"/>
  <c r="F112" i="20"/>
  <c r="I112" i="20"/>
  <c r="J112" i="20"/>
  <c r="K112" i="20"/>
  <c r="N112" i="20"/>
  <c r="O112" i="20"/>
  <c r="P112" i="20"/>
  <c r="S112" i="20"/>
  <c r="F113" i="20"/>
  <c r="K113" i="20"/>
  <c r="P113" i="20"/>
  <c r="D114" i="20"/>
  <c r="E114" i="20"/>
  <c r="F114" i="20"/>
  <c r="I114" i="20"/>
  <c r="J114" i="20"/>
  <c r="K114" i="20"/>
  <c r="N114" i="20"/>
  <c r="O114" i="20"/>
  <c r="P114" i="20"/>
  <c r="S114" i="20"/>
  <c r="D115" i="20"/>
  <c r="E115" i="20"/>
  <c r="F115" i="20"/>
  <c r="I115" i="20"/>
  <c r="J115" i="20"/>
  <c r="K115" i="20"/>
  <c r="N115" i="20"/>
  <c r="O115" i="20"/>
  <c r="P115" i="20"/>
  <c r="S115" i="20"/>
  <c r="C116" i="20"/>
  <c r="C114" i="24" s="1"/>
  <c r="D116" i="20"/>
  <c r="D114" i="24" s="1"/>
  <c r="E116" i="20"/>
  <c r="E114" i="24" s="1"/>
  <c r="F116" i="20"/>
  <c r="F114" i="24" s="1"/>
  <c r="G116" i="20"/>
  <c r="G114" i="24" s="1"/>
  <c r="H116" i="20"/>
  <c r="H114" i="24" s="1"/>
  <c r="I116" i="20"/>
  <c r="I114" i="24" s="1"/>
  <c r="J116" i="20"/>
  <c r="J114" i="24" s="1"/>
  <c r="K116" i="20"/>
  <c r="K114" i="24" s="1"/>
  <c r="L116" i="20"/>
  <c r="L114" i="24" s="1"/>
  <c r="M116" i="20"/>
  <c r="M114" i="24" s="1"/>
  <c r="N116" i="20"/>
  <c r="N114" i="24" s="1"/>
  <c r="O116" i="20"/>
  <c r="O114" i="24" s="1"/>
  <c r="P116" i="20"/>
  <c r="P114" i="24" s="1"/>
  <c r="Q116" i="20"/>
  <c r="Q114" i="24" s="1"/>
  <c r="R116" i="20"/>
  <c r="R114" i="24" s="1"/>
  <c r="S116" i="20"/>
  <c r="S114" i="24" s="1"/>
  <c r="W116" i="20"/>
  <c r="W114" i="24" s="1"/>
  <c r="X116" i="20"/>
  <c r="X114" i="24" s="1"/>
  <c r="F118" i="20"/>
  <c r="K118" i="20"/>
  <c r="P118" i="20"/>
  <c r="S118" i="20"/>
  <c r="F119" i="20"/>
  <c r="F126" i="24" s="1"/>
  <c r="K119" i="20"/>
  <c r="K126" i="24" s="1"/>
  <c r="P119" i="20"/>
  <c r="P126" i="24" s="1"/>
  <c r="D120" i="20"/>
  <c r="E120" i="20"/>
  <c r="F120" i="20"/>
  <c r="F127" i="24" s="1"/>
  <c r="I120" i="20"/>
  <c r="J120" i="20"/>
  <c r="K120" i="20"/>
  <c r="K127" i="24" s="1"/>
  <c r="N120" i="20"/>
  <c r="O120" i="20"/>
  <c r="P120" i="20"/>
  <c r="P127" i="24" s="1"/>
  <c r="S120" i="20"/>
  <c r="S127" i="24" s="1"/>
  <c r="F121" i="20"/>
  <c r="F120" i="24" s="1"/>
  <c r="K121" i="20"/>
  <c r="K120" i="24" s="1"/>
  <c r="P121" i="20"/>
  <c r="P120" i="24" s="1"/>
  <c r="E122" i="20"/>
  <c r="F122" i="20"/>
  <c r="K122" i="20"/>
  <c r="O122" i="20"/>
  <c r="P122" i="20"/>
  <c r="S122" i="20"/>
  <c r="D123" i="20"/>
  <c r="E123" i="20"/>
  <c r="F123" i="20"/>
  <c r="I123" i="20"/>
  <c r="J123" i="20"/>
  <c r="K123" i="20"/>
  <c r="N123" i="20"/>
  <c r="O123" i="20"/>
  <c r="P123" i="20"/>
  <c r="S123" i="20"/>
  <c r="E124" i="20"/>
  <c r="E128" i="24" s="1"/>
  <c r="F124" i="20"/>
  <c r="F128" i="24" s="1"/>
  <c r="J124" i="20"/>
  <c r="J128" i="24" s="1"/>
  <c r="K124" i="20"/>
  <c r="K128" i="24" s="1"/>
  <c r="P124" i="20"/>
  <c r="P128" i="24" s="1"/>
  <c r="S124" i="20"/>
  <c r="S128" i="24" s="1"/>
  <c r="D125" i="20"/>
  <c r="D129" i="24" s="1"/>
  <c r="E125" i="20"/>
  <c r="E129" i="24" s="1"/>
  <c r="F125" i="20"/>
  <c r="F129" i="24" s="1"/>
  <c r="I125" i="20"/>
  <c r="I129" i="24" s="1"/>
  <c r="J125" i="20"/>
  <c r="J129" i="24" s="1"/>
  <c r="K125" i="20"/>
  <c r="K129" i="24" s="1"/>
  <c r="N125" i="20"/>
  <c r="N129" i="24" s="1"/>
  <c r="O125" i="20"/>
  <c r="O129" i="24" s="1"/>
  <c r="P125" i="20"/>
  <c r="P129" i="24" s="1"/>
  <c r="S125" i="20"/>
  <c r="S129" i="24" s="1"/>
  <c r="C126" i="20"/>
  <c r="D126" i="20"/>
  <c r="E126" i="20"/>
  <c r="F126" i="20"/>
  <c r="G126" i="20"/>
  <c r="H126" i="20"/>
  <c r="I126" i="20"/>
  <c r="J126" i="20"/>
  <c r="K126" i="20"/>
  <c r="L126" i="20"/>
  <c r="M126" i="20"/>
  <c r="N126" i="20"/>
  <c r="O126" i="20"/>
  <c r="P126" i="20"/>
  <c r="Q126" i="20"/>
  <c r="R126" i="20"/>
  <c r="S126" i="20"/>
  <c r="G128" i="20"/>
  <c r="C129" i="20"/>
  <c r="D129" i="20"/>
  <c r="E129" i="20"/>
  <c r="F129" i="20"/>
  <c r="G129" i="20"/>
  <c r="H129" i="20"/>
  <c r="I129" i="20"/>
  <c r="J129" i="20"/>
  <c r="K129" i="20"/>
  <c r="L129" i="20"/>
  <c r="M129" i="20"/>
  <c r="N129" i="20"/>
  <c r="O129" i="20"/>
  <c r="P129" i="20"/>
  <c r="Q129" i="20"/>
  <c r="R129" i="20"/>
  <c r="S129" i="20"/>
  <c r="C130" i="20"/>
  <c r="G130" i="20"/>
  <c r="M128" i="20"/>
  <c r="Q128" i="20" s="1"/>
  <c r="M130" i="20"/>
  <c r="Q130" i="20"/>
  <c r="V128" i="20" s="1"/>
  <c r="G4" i="30"/>
  <c r="E28" i="32"/>
  <c r="H4" i="32"/>
  <c r="H3" i="32"/>
  <c r="H2" i="32"/>
  <c r="J3" i="32"/>
  <c r="G4" i="32"/>
  <c r="C84" i="32"/>
  <c r="B84" i="32"/>
  <c r="X64" i="24"/>
  <c r="W64" i="24"/>
  <c r="U64" i="24"/>
  <c r="T64" i="24"/>
  <c r="X54" i="24"/>
  <c r="W54" i="24"/>
  <c r="U54" i="24"/>
  <c r="T54" i="24"/>
  <c r="U91" i="24"/>
  <c r="R5" i="24"/>
  <c r="Q5" i="24"/>
  <c r="O5" i="24"/>
  <c r="N5" i="24"/>
  <c r="M5" i="24"/>
  <c r="L5" i="24"/>
  <c r="J5" i="24"/>
  <c r="I5" i="24"/>
  <c r="H5" i="24"/>
  <c r="G5" i="24"/>
  <c r="E5" i="24"/>
  <c r="D5" i="24"/>
  <c r="C5" i="24"/>
  <c r="S5" i="24"/>
  <c r="S12" i="24"/>
  <c r="R12" i="24"/>
  <c r="Q12" i="24"/>
  <c r="O12" i="24"/>
  <c r="T14" i="24" s="1"/>
  <c r="N12" i="24"/>
  <c r="M12" i="24"/>
  <c r="L12" i="24"/>
  <c r="J12" i="24"/>
  <c r="I12" i="24"/>
  <c r="H12" i="24"/>
  <c r="G12" i="24"/>
  <c r="E12" i="24"/>
  <c r="D12" i="24"/>
  <c r="C12" i="24"/>
  <c r="Y19" i="24"/>
  <c r="Y24" i="24"/>
  <c r="Y32" i="24"/>
  <c r="Y12" i="24"/>
  <c r="Y47" i="24"/>
  <c r="Y59" i="24"/>
  <c r="G18" i="30"/>
  <c r="B3" i="32"/>
  <c r="B5" i="32"/>
  <c r="G3" i="32"/>
  <c r="H4" i="30"/>
  <c r="I4" i="30" s="1"/>
  <c r="G17" i="30"/>
  <c r="H17" i="30" s="1"/>
  <c r="I17" i="30" s="1"/>
  <c r="G16" i="30"/>
  <c r="H16" i="30" s="1"/>
  <c r="I16" i="30" s="1"/>
  <c r="G15" i="30"/>
  <c r="H15" i="30" s="1"/>
  <c r="I15" i="30" s="1"/>
  <c r="G14" i="30"/>
  <c r="H14" i="30" s="1"/>
  <c r="I14" i="30" s="1"/>
  <c r="G13" i="30"/>
  <c r="H13" i="30" s="1"/>
  <c r="I13" i="30" s="1"/>
  <c r="G12" i="30"/>
  <c r="H12" i="30" s="1"/>
  <c r="I12" i="30" s="1"/>
  <c r="G11" i="30"/>
  <c r="H11" i="30" s="1"/>
  <c r="I11" i="30" s="1"/>
  <c r="G10" i="30"/>
  <c r="H10" i="30" s="1"/>
  <c r="I10" i="30" s="1"/>
  <c r="G9" i="30"/>
  <c r="H9" i="30" s="1"/>
  <c r="I9" i="30" s="1"/>
  <c r="G8" i="30"/>
  <c r="H8" i="30" s="1"/>
  <c r="I8" i="30" s="1"/>
  <c r="P7" i="30"/>
  <c r="O7" i="30"/>
  <c r="N7" i="30"/>
  <c r="M7" i="30"/>
  <c r="L7" i="30"/>
  <c r="G7" i="30"/>
  <c r="H7" i="30" s="1"/>
  <c r="I7" i="30" s="1"/>
  <c r="G6" i="30"/>
  <c r="H6" i="30" s="1"/>
  <c r="I6" i="30" s="1"/>
  <c r="G5" i="30"/>
  <c r="H5" i="30" s="1"/>
  <c r="I5" i="30" s="1"/>
  <c r="W47" i="24"/>
  <c r="X47" i="24"/>
  <c r="P11" i="24"/>
  <c r="P10" i="24"/>
  <c r="Q36" i="24"/>
  <c r="Q32" i="24"/>
  <c r="P31" i="24"/>
  <c r="K11" i="24"/>
  <c r="L36" i="24"/>
  <c r="K10" i="24"/>
  <c r="L32" i="24"/>
  <c r="K31" i="24"/>
  <c r="K36" i="24" s="1"/>
  <c r="D23" i="24"/>
  <c r="G36" i="24"/>
  <c r="F11" i="24"/>
  <c r="F10" i="24"/>
  <c r="F31" i="24"/>
  <c r="P9" i="24"/>
  <c r="L19" i="24"/>
  <c r="K9" i="24"/>
  <c r="L23" i="24"/>
  <c r="G23" i="24"/>
  <c r="F9" i="24"/>
  <c r="F18" i="24"/>
  <c r="K18" i="24"/>
  <c r="X59" i="24"/>
  <c r="W59" i="24"/>
  <c r="X12" i="24"/>
  <c r="W12" i="24"/>
  <c r="X37" i="24"/>
  <c r="W37" i="24"/>
  <c r="W32" i="24"/>
  <c r="X24" i="24"/>
  <c r="W24" i="24"/>
  <c r="X19" i="24"/>
  <c r="W19" i="24"/>
  <c r="D9" i="3"/>
  <c r="T37" i="24"/>
  <c r="U37" i="24"/>
  <c r="U32" i="24"/>
  <c r="T24" i="24"/>
  <c r="U24" i="24"/>
  <c r="T19" i="24"/>
  <c r="T18" i="24" s="1"/>
  <c r="U19" i="24"/>
  <c r="T59" i="24"/>
  <c r="U59" i="24"/>
  <c r="S64" i="24"/>
  <c r="S32" i="24"/>
  <c r="R32" i="24"/>
  <c r="O32" i="24"/>
  <c r="N32" i="24"/>
  <c r="M32" i="24"/>
  <c r="J32" i="24"/>
  <c r="I32" i="24"/>
  <c r="H32" i="24"/>
  <c r="I19" i="24"/>
  <c r="J19" i="24"/>
  <c r="M19" i="24"/>
  <c r="N19" i="24"/>
  <c r="O19" i="24"/>
  <c r="R19" i="24"/>
  <c r="S19" i="24"/>
  <c r="H19" i="24"/>
  <c r="P18" i="24"/>
  <c r="Q18" i="24" s="1"/>
  <c r="C36" i="24"/>
  <c r="D36" i="24"/>
  <c r="E36" i="24"/>
  <c r="F36" i="24"/>
  <c r="H36" i="24"/>
  <c r="I36" i="24"/>
  <c r="J36" i="24"/>
  <c r="M36" i="24"/>
  <c r="N36" i="24"/>
  <c r="O36" i="24"/>
  <c r="R36" i="24"/>
  <c r="S36" i="24"/>
  <c r="C23" i="24"/>
  <c r="E23" i="24"/>
  <c r="H23" i="24"/>
  <c r="I23" i="24"/>
  <c r="J23" i="24"/>
  <c r="M23" i="24"/>
  <c r="N23" i="24"/>
  <c r="O23" i="24"/>
  <c r="R23" i="24"/>
  <c r="S23" i="24"/>
  <c r="D23" i="8" a="1"/>
  <c r="D23" i="8" s="1"/>
  <c r="D79" i="24" l="1"/>
  <c r="E79" i="24"/>
  <c r="H64" i="24"/>
  <c r="CZ17" i="43"/>
  <c r="N3" i="43"/>
  <c r="N4" i="43"/>
  <c r="M64" i="24"/>
  <c r="S79" i="24"/>
  <c r="H79" i="24"/>
  <c r="S88" i="24"/>
  <c r="N54" i="24"/>
  <c r="Q102" i="24"/>
  <c r="I64" i="24"/>
  <c r="J64" i="24"/>
  <c r="L75" i="24"/>
  <c r="J88" i="24"/>
  <c r="L79" i="24"/>
  <c r="O54" i="24"/>
  <c r="M75" i="24"/>
  <c r="R54" i="24"/>
  <c r="E75" i="24"/>
  <c r="E88" i="24"/>
  <c r="S54" i="24"/>
  <c r="D88" i="24"/>
  <c r="N24" i="24"/>
  <c r="M79" i="24"/>
  <c r="G88" i="24"/>
  <c r="M24" i="24"/>
  <c r="D75" i="24"/>
  <c r="M102" i="24"/>
  <c r="S75" i="24"/>
  <c r="L88" i="24"/>
  <c r="M88" i="24"/>
  <c r="I2" i="47"/>
  <c r="J2" i="47" s="1"/>
  <c r="N5" i="43"/>
  <c r="N7" i="43"/>
  <c r="N8" i="43"/>
  <c r="N6" i="43"/>
  <c r="K37" i="24"/>
  <c r="J79" i="24"/>
  <c r="N79" i="24"/>
  <c r="O79" i="24"/>
  <c r="Q79" i="24"/>
  <c r="C88" i="24"/>
  <c r="N88" i="24"/>
  <c r="H54" i="24"/>
  <c r="O64" i="24"/>
  <c r="N13" i="43"/>
  <c r="N16" i="43"/>
  <c r="N15" i="43"/>
  <c r="N14" i="43"/>
  <c r="N12" i="43"/>
  <c r="N11" i="43"/>
  <c r="N10" i="43"/>
  <c r="N9" i="43"/>
  <c r="N2" i="43"/>
  <c r="H37" i="24"/>
  <c r="I54" i="24"/>
  <c r="U58" i="24"/>
  <c r="F5" i="24"/>
  <c r="F64" i="24" s="1"/>
  <c r="N64" i="24"/>
  <c r="H102" i="24"/>
  <c r="N75" i="24"/>
  <c r="I88" i="24"/>
  <c r="Q88" i="24"/>
  <c r="F23" i="24"/>
  <c r="N37" i="24"/>
  <c r="T58" i="24"/>
  <c r="P36" i="24"/>
  <c r="P37" i="24" s="1"/>
  <c r="L102" i="24"/>
  <c r="R88" i="24"/>
  <c r="C64" i="24"/>
  <c r="J75" i="24"/>
  <c r="R75" i="24"/>
  <c r="C54" i="24"/>
  <c r="M54" i="24"/>
  <c r="E64" i="24"/>
  <c r="K23" i="24"/>
  <c r="G79" i="24"/>
  <c r="I79" i="24"/>
  <c r="D64" i="24"/>
  <c r="P5" i="24"/>
  <c r="R79" i="24"/>
  <c r="H88" i="24"/>
  <c r="J24" i="24"/>
  <c r="P23" i="24"/>
  <c r="U23" i="24" s="1"/>
  <c r="I24" i="24"/>
  <c r="R37" i="24"/>
  <c r="H75" i="24"/>
  <c r="H24" i="24"/>
  <c r="I37" i="24"/>
  <c r="J54" i="24"/>
  <c r="K5" i="24"/>
  <c r="S6" i="24"/>
  <c r="I75" i="24"/>
  <c r="Q75" i="24"/>
  <c r="P59" i="24"/>
  <c r="M37" i="24"/>
  <c r="R24" i="24"/>
  <c r="R64" i="24"/>
  <c r="S24" i="24"/>
  <c r="S37" i="24"/>
  <c r="J37" i="24"/>
  <c r="O75" i="24"/>
  <c r="S46" i="24"/>
  <c r="S47" i="24" s="1"/>
  <c r="S8" i="20"/>
  <c r="S10" i="20" s="1"/>
  <c r="R46" i="24"/>
  <c r="R47" i="24" s="1"/>
  <c r="R8" i="20"/>
  <c r="R10" i="20" s="1"/>
  <c r="Q46" i="24"/>
  <c r="Q47" i="24" s="1"/>
  <c r="Q8" i="20"/>
  <c r="Q10" i="20" s="1"/>
  <c r="P46" i="24"/>
  <c r="P8" i="20"/>
  <c r="P10" i="20" s="1"/>
  <c r="O46" i="24"/>
  <c r="O47" i="24" s="1"/>
  <c r="O8" i="20"/>
  <c r="O10" i="20" s="1"/>
  <c r="N46" i="24"/>
  <c r="N47" i="24" s="1"/>
  <c r="N8" i="20"/>
  <c r="N10" i="20" s="1"/>
  <c r="M46" i="24"/>
  <c r="M47" i="24" s="1"/>
  <c r="M8" i="20"/>
  <c r="M10" i="20" s="1"/>
  <c r="L46" i="24"/>
  <c r="L47" i="24" s="1"/>
  <c r="L8" i="20"/>
  <c r="L10" i="20" s="1"/>
  <c r="K46" i="24"/>
  <c r="K8" i="20"/>
  <c r="K10" i="20" s="1"/>
  <c r="J46" i="24"/>
  <c r="J47" i="24" s="1"/>
  <c r="J8" i="20"/>
  <c r="J10" i="20" s="1"/>
  <c r="I46" i="24"/>
  <c r="I47" i="24" s="1"/>
  <c r="I8" i="20"/>
  <c r="I10" i="20" s="1"/>
  <c r="H46" i="24"/>
  <c r="H47" i="24" s="1"/>
  <c r="H8" i="20"/>
  <c r="H10" i="20" s="1"/>
  <c r="G46" i="24"/>
  <c r="G8" i="20"/>
  <c r="G10" i="20" s="1"/>
  <c r="F46" i="24"/>
  <c r="F8" i="20"/>
  <c r="F10" i="20" s="1"/>
  <c r="E46" i="24"/>
  <c r="E47" i="24" s="1"/>
  <c r="E8" i="20"/>
  <c r="E10" i="20" s="1"/>
  <c r="D46" i="24"/>
  <c r="D47" i="24" s="1"/>
  <c r="D8" i="20"/>
  <c r="D10" i="20" s="1"/>
  <c r="C46" i="24"/>
  <c r="C47" i="24" s="1"/>
  <c r="C8" i="20"/>
  <c r="C10" i="20" s="1"/>
  <c r="C5" i="3"/>
  <c r="C6" i="3" s="1"/>
  <c r="P5" i="20"/>
  <c r="H59" i="24"/>
  <c r="I59" i="24"/>
  <c r="J59" i="24"/>
  <c r="M59" i="24"/>
  <c r="N59" i="24"/>
  <c r="O59" i="24"/>
  <c r="R59" i="24"/>
  <c r="S59" i="24"/>
  <c r="S15" i="20"/>
  <c r="R15" i="20"/>
  <c r="Q15" i="20"/>
  <c r="P13" i="20"/>
  <c r="P15" i="20" s="1"/>
  <c r="O13" i="20"/>
  <c r="O15" i="20" s="1"/>
  <c r="N13" i="20"/>
  <c r="N15" i="20" s="1"/>
  <c r="M13" i="20"/>
  <c r="M15" i="20" s="1"/>
  <c r="L13" i="20"/>
  <c r="L15" i="20" s="1"/>
  <c r="K13" i="20"/>
  <c r="K15" i="20" s="1"/>
  <c r="J13" i="20"/>
  <c r="J15" i="20" s="1"/>
  <c r="I13" i="20"/>
  <c r="I15" i="20" s="1"/>
  <c r="H13" i="20"/>
  <c r="H15" i="20" s="1"/>
  <c r="G13" i="20"/>
  <c r="G15" i="20" s="1"/>
  <c r="F13" i="20"/>
  <c r="F15" i="20" s="1"/>
  <c r="E13" i="20"/>
  <c r="E15" i="20" s="1"/>
  <c r="D13" i="20"/>
  <c r="D15" i="20" s="1"/>
  <c r="C13" i="20"/>
  <c r="C15" i="20" s="1"/>
  <c r="S115" i="24"/>
  <c r="S117" i="24" s="1"/>
  <c r="P115" i="24"/>
  <c r="P117" i="24" s="1"/>
  <c r="O115" i="24"/>
  <c r="O117" i="24" s="1"/>
  <c r="N115" i="24"/>
  <c r="N117" i="24" s="1"/>
  <c r="K115" i="24"/>
  <c r="K117" i="24" s="1"/>
  <c r="J115" i="24"/>
  <c r="J117" i="24" s="1"/>
  <c r="I115" i="24"/>
  <c r="F115" i="24"/>
  <c r="F117" i="24" s="1"/>
  <c r="E115" i="24"/>
  <c r="E117" i="24" s="1"/>
  <c r="D115" i="24"/>
  <c r="D117" i="24" s="1"/>
  <c r="S124" i="24"/>
  <c r="P124" i="24"/>
  <c r="O124" i="24"/>
  <c r="K124" i="24"/>
  <c r="F124" i="24"/>
  <c r="E124" i="24"/>
  <c r="O127" i="24"/>
  <c r="N127" i="24"/>
  <c r="J127" i="24"/>
  <c r="I127" i="24"/>
  <c r="E127" i="24"/>
  <c r="D127" i="24"/>
  <c r="S121" i="24"/>
  <c r="P121" i="24"/>
  <c r="K121" i="24"/>
  <c r="F121" i="24"/>
  <c r="S108" i="24"/>
  <c r="P108" i="24"/>
  <c r="O108" i="24"/>
  <c r="N108" i="24"/>
  <c r="K108" i="24"/>
  <c r="J108" i="24"/>
  <c r="I108" i="24"/>
  <c r="F108" i="24"/>
  <c r="E108" i="24"/>
  <c r="D108" i="24"/>
  <c r="S101" i="24"/>
  <c r="S102" i="24" s="1"/>
  <c r="P101" i="24"/>
  <c r="O101" i="24"/>
  <c r="N101" i="24"/>
  <c r="N102" i="24" s="1"/>
  <c r="K101" i="24"/>
  <c r="J101" i="24"/>
  <c r="I101" i="24"/>
  <c r="I102" i="24" s="1"/>
  <c r="F101" i="24"/>
  <c r="E101" i="24"/>
  <c r="D101" i="24"/>
  <c r="D102" i="24" s="1"/>
  <c r="P75" i="24"/>
  <c r="K75" i="24"/>
  <c r="F75" i="24"/>
  <c r="S81" i="20"/>
  <c r="R81" i="20"/>
  <c r="Q81" i="20"/>
  <c r="P81" i="20"/>
  <c r="O81" i="20"/>
  <c r="N81" i="20"/>
  <c r="M81" i="20"/>
  <c r="L81" i="20"/>
  <c r="K81" i="20"/>
  <c r="J81" i="20"/>
  <c r="I81" i="20"/>
  <c r="H81" i="20"/>
  <c r="G81" i="20"/>
  <c r="F81" i="20"/>
  <c r="E81" i="20"/>
  <c r="D81" i="20"/>
  <c r="C81" i="20"/>
  <c r="P100" i="24"/>
  <c r="K100" i="24"/>
  <c r="F100" i="24"/>
  <c r="P78" i="24"/>
  <c r="P79" i="24" s="1"/>
  <c r="K78" i="24"/>
  <c r="K79" i="24" s="1"/>
  <c r="F78" i="24"/>
  <c r="F79" i="24" s="1"/>
  <c r="V115" i="20"/>
  <c r="C117" i="24"/>
  <c r="R117" i="24"/>
  <c r="Q117" i="24"/>
  <c r="M117" i="24"/>
  <c r="L117" i="24"/>
  <c r="I117" i="24"/>
  <c r="H117" i="24"/>
  <c r="G117" i="24"/>
  <c r="V125" i="20"/>
  <c r="C18" i="3"/>
  <c r="U135" i="24"/>
  <c r="T135" i="24"/>
  <c r="U69" i="20"/>
  <c r="V124" i="20"/>
  <c r="V120" i="20"/>
  <c r="V119" i="20"/>
  <c r="C7" i="3"/>
  <c r="S94" i="24"/>
  <c r="S93" i="24"/>
  <c r="S92" i="24"/>
  <c r="S91" i="24"/>
  <c r="R94" i="24"/>
  <c r="R93" i="24"/>
  <c r="R92" i="24"/>
  <c r="R91" i="24"/>
  <c r="Q94" i="24"/>
  <c r="Q93" i="24"/>
  <c r="Q92" i="24"/>
  <c r="Q91" i="24"/>
  <c r="O94" i="24"/>
  <c r="T94" i="24" s="1"/>
  <c r="O93" i="24"/>
  <c r="T93" i="24" s="1"/>
  <c r="O92" i="24"/>
  <c r="T92" i="24" s="1"/>
  <c r="O91" i="24"/>
  <c r="T91" i="24" s="1"/>
  <c r="N94" i="24"/>
  <c r="N93" i="24"/>
  <c r="N92" i="24"/>
  <c r="N91" i="24"/>
  <c r="M94" i="24"/>
  <c r="M93" i="24"/>
  <c r="M92" i="24"/>
  <c r="M91" i="24"/>
  <c r="L94" i="24"/>
  <c r="L93" i="24"/>
  <c r="L92" i="24"/>
  <c r="L91" i="24"/>
  <c r="J94" i="24"/>
  <c r="J93" i="24"/>
  <c r="J92" i="24"/>
  <c r="J91" i="24"/>
  <c r="I94" i="24"/>
  <c r="I93" i="24"/>
  <c r="I92" i="24"/>
  <c r="I91" i="24"/>
  <c r="H94" i="24"/>
  <c r="H93" i="24"/>
  <c r="H92" i="24"/>
  <c r="H91" i="24"/>
  <c r="G94" i="24"/>
  <c r="G93" i="24"/>
  <c r="G92" i="24"/>
  <c r="G91" i="24"/>
  <c r="E94" i="24"/>
  <c r="E93" i="24"/>
  <c r="E92" i="24"/>
  <c r="E91" i="24"/>
  <c r="D94" i="24"/>
  <c r="D93" i="24"/>
  <c r="D92" i="24"/>
  <c r="D91" i="24"/>
  <c r="C94" i="24"/>
  <c r="C93" i="24"/>
  <c r="C92" i="24"/>
  <c r="C91" i="24"/>
  <c r="R128" i="20"/>
  <c r="R130" i="20" s="1"/>
  <c r="N128" i="20"/>
  <c r="N130" i="20" s="1"/>
  <c r="H128" i="20"/>
  <c r="D128" i="20"/>
  <c r="D130" i="20" s="1"/>
  <c r="Y100" i="20"/>
  <c r="X100" i="20"/>
  <c r="W100" i="20"/>
  <c r="U100" i="20"/>
  <c r="T100" i="20"/>
  <c r="V100" i="20" s="1"/>
  <c r="T89" i="20"/>
  <c r="F88" i="24"/>
  <c r="K88" i="24"/>
  <c r="U87" i="24"/>
  <c r="T85" i="24"/>
  <c r="O88" i="24"/>
  <c r="U85" i="24"/>
  <c r="P88" i="24"/>
  <c r="C79" i="24"/>
  <c r="H6" i="24"/>
  <c r="I6" i="24"/>
  <c r="J6" i="24"/>
  <c r="L6" i="24"/>
  <c r="M6" i="24"/>
  <c r="N6" i="24"/>
  <c r="O6" i="24"/>
  <c r="Q6" i="24"/>
  <c r="R6" i="24"/>
  <c r="R102" i="24"/>
  <c r="F69" i="24"/>
  <c r="F104" i="24" s="1"/>
  <c r="E69" i="24"/>
  <c r="E104" i="24" s="1"/>
  <c r="E54" i="24"/>
  <c r="D69" i="24"/>
  <c r="D104" i="24" s="1"/>
  <c r="D106" i="24" s="1"/>
  <c r="D54" i="24"/>
  <c r="T15" i="24"/>
  <c r="T13" i="24"/>
  <c r="Y64" i="24"/>
  <c r="Y54" i="24"/>
  <c r="F12" i="24"/>
  <c r="K12" i="24"/>
  <c r="P12" i="24"/>
  <c r="U14" i="24" s="1"/>
  <c r="G2" i="32"/>
  <c r="B6" i="32"/>
  <c r="C5" i="32"/>
  <c r="C69" i="24"/>
  <c r="G53" i="24"/>
  <c r="G54" i="24" s="1"/>
  <c r="G58" i="24"/>
  <c r="G63" i="24"/>
  <c r="G64" i="24" s="1"/>
  <c r="Q53" i="24"/>
  <c r="Q54" i="24" s="1"/>
  <c r="L53" i="24"/>
  <c r="L54" i="24" s="1"/>
  <c r="Q58" i="24"/>
  <c r="L58" i="24"/>
  <c r="Q63" i="24"/>
  <c r="Q64" i="24" s="1"/>
  <c r="L63" i="24"/>
  <c r="L64" i="24" s="1"/>
  <c r="Q23" i="24"/>
  <c r="Q24" i="24" s="1"/>
  <c r="Q19" i="24"/>
  <c r="L24" i="24"/>
  <c r="L37" i="24"/>
  <c r="Q37" i="24"/>
  <c r="O24" i="24"/>
  <c r="T23" i="24"/>
  <c r="T9" i="24" s="1"/>
  <c r="O37" i="24"/>
  <c r="T36" i="24"/>
  <c r="T10" i="24" s="1"/>
  <c r="T12" i="24"/>
  <c r="U18" i="24"/>
  <c r="U31" i="24"/>
  <c r="V31" i="24" s="1"/>
  <c r="J10" i="42" s="1"/>
  <c r="S69" i="24"/>
  <c r="S104" i="24" s="1"/>
  <c r="S106" i="24" s="1"/>
  <c r="R69" i="24"/>
  <c r="R104" i="24" s="1"/>
  <c r="R106" i="24" s="1"/>
  <c r="P69" i="24"/>
  <c r="P104" i="24" s="1"/>
  <c r="O69" i="24"/>
  <c r="O104" i="24" s="1"/>
  <c r="N69" i="24"/>
  <c r="N104" i="24" s="1"/>
  <c r="N106" i="24" s="1"/>
  <c r="M69" i="24"/>
  <c r="K69" i="24"/>
  <c r="J69" i="24"/>
  <c r="I69" i="24"/>
  <c r="H69" i="24"/>
  <c r="H104" i="24" s="1"/>
  <c r="H106" i="24" s="1"/>
  <c r="K19" i="24"/>
  <c r="K32" i="24"/>
  <c r="P19" i="24"/>
  <c r="P32" i="24"/>
  <c r="U36" i="24" l="1"/>
  <c r="U10" i="24" s="1"/>
  <c r="V10" i="24" s="1"/>
  <c r="V36" i="24" s="1"/>
  <c r="K24" i="24"/>
  <c r="F54" i="24"/>
  <c r="K47" i="24"/>
  <c r="F47" i="24"/>
  <c r="P47" i="24"/>
  <c r="P24" i="24"/>
  <c r="P54" i="24"/>
  <c r="P64" i="24"/>
  <c r="K6" i="24"/>
  <c r="L59" i="24"/>
  <c r="K54" i="24"/>
  <c r="K64" i="24"/>
  <c r="P6" i="24"/>
  <c r="Q59" i="24"/>
  <c r="V108" i="24"/>
  <c r="V116" i="20"/>
  <c r="V114" i="24" s="1"/>
  <c r="C16" i="3"/>
  <c r="C13" i="3" s="1"/>
  <c r="C9" i="3" s="1"/>
  <c r="D22" i="3"/>
  <c r="E22" i="3" s="1"/>
  <c r="F22" i="3" s="1"/>
  <c r="G22" i="3" s="1"/>
  <c r="W135" i="24"/>
  <c r="V69" i="20"/>
  <c r="U9" i="24"/>
  <c r="V9" i="24" s="1"/>
  <c r="T52" i="20"/>
  <c r="E128" i="20"/>
  <c r="E130" i="20" s="1"/>
  <c r="L128" i="20"/>
  <c r="H130" i="20"/>
  <c r="O128" i="20"/>
  <c r="O130" i="20" s="1"/>
  <c r="S128" i="20"/>
  <c r="S130" i="20" s="1"/>
  <c r="F102" i="24"/>
  <c r="E102" i="24"/>
  <c r="E106" i="24"/>
  <c r="F106" i="24"/>
  <c r="U88" i="24"/>
  <c r="T88" i="24"/>
  <c r="O106" i="24"/>
  <c r="P106" i="24"/>
  <c r="O102" i="24"/>
  <c r="J102" i="24"/>
  <c r="K102" i="24"/>
  <c r="I70" i="24"/>
  <c r="I104" i="24"/>
  <c r="I106" i="24" s="1"/>
  <c r="J70" i="24"/>
  <c r="J104" i="24"/>
  <c r="J106" i="24" s="1"/>
  <c r="K70" i="24"/>
  <c r="K104" i="24"/>
  <c r="K106" i="24" s="1"/>
  <c r="Q69" i="24"/>
  <c r="Q104" i="24" s="1"/>
  <c r="Q106" i="24" s="1"/>
  <c r="M104" i="24"/>
  <c r="M106" i="24" s="1"/>
  <c r="G69" i="24"/>
  <c r="G104" i="24" s="1"/>
  <c r="G106" i="24" s="1"/>
  <c r="C104" i="24"/>
  <c r="C106" i="24" s="1"/>
  <c r="U15" i="24"/>
  <c r="U13" i="24"/>
  <c r="T11" i="24"/>
  <c r="C3" i="32"/>
  <c r="C4" i="32"/>
  <c r="B7" i="32"/>
  <c r="C6" i="32"/>
  <c r="D6" i="32" s="1"/>
  <c r="H70" i="24"/>
  <c r="L69" i="24"/>
  <c r="V32" i="24"/>
  <c r="W31" i="24"/>
  <c r="G47" i="24"/>
  <c r="V18" i="24"/>
  <c r="M70" i="24"/>
  <c r="N70" i="24"/>
  <c r="O70" i="24"/>
  <c r="R70" i="24"/>
  <c r="S70" i="24"/>
  <c r="P70" i="24"/>
  <c r="X31" i="24" l="1"/>
  <c r="K10" i="42"/>
  <c r="Q70" i="24"/>
  <c r="T5" i="24"/>
  <c r="T21" i="20" s="1"/>
  <c r="T5" i="20" s="1"/>
  <c r="X135" i="24"/>
  <c r="U12" i="24"/>
  <c r="W69" i="20"/>
  <c r="U11" i="24"/>
  <c r="U5" i="24" s="1"/>
  <c r="T128" i="20"/>
  <c r="P128" i="20"/>
  <c r="P130" i="20" s="1"/>
  <c r="I128" i="20"/>
  <c r="I130" i="20" s="1"/>
  <c r="F128" i="20"/>
  <c r="F130" i="20" s="1"/>
  <c r="T100" i="24"/>
  <c r="P102" i="24"/>
  <c r="C8" i="3"/>
  <c r="L70" i="24"/>
  <c r="L104" i="24"/>
  <c r="L106" i="24" s="1"/>
  <c r="T27" i="20"/>
  <c r="D4" i="32"/>
  <c r="D5" i="32"/>
  <c r="B8" i="32"/>
  <c r="C7" i="32"/>
  <c r="D7" i="32" s="1"/>
  <c r="V19" i="24"/>
  <c r="W18" i="24"/>
  <c r="V37" i="24"/>
  <c r="W36" i="24"/>
  <c r="V23" i="24"/>
  <c r="Y31" i="24" l="1"/>
  <c r="M10" i="42" s="1"/>
  <c r="L10" i="42"/>
  <c r="T65" i="20"/>
  <c r="T105" i="20" s="1"/>
  <c r="T47" i="20"/>
  <c r="T97" i="20" s="1"/>
  <c r="T53" i="24"/>
  <c r="T26" i="20" s="1"/>
  <c r="T6" i="24"/>
  <c r="T63" i="24"/>
  <c r="T28" i="20" s="1"/>
  <c r="G11" i="3"/>
  <c r="G9" i="3" s="1"/>
  <c r="F11" i="3"/>
  <c r="F9" i="3" s="1"/>
  <c r="E11" i="3"/>
  <c r="E9" i="3" s="1"/>
  <c r="Y135" i="24"/>
  <c r="U21" i="20"/>
  <c r="U5" i="20" s="1"/>
  <c r="U6" i="24"/>
  <c r="X69" i="20"/>
  <c r="U65" i="20"/>
  <c r="U53" i="24"/>
  <c r="U26" i="20" s="1"/>
  <c r="V11" i="24"/>
  <c r="V12" i="24" s="1"/>
  <c r="U63" i="24"/>
  <c r="U28" i="20" s="1"/>
  <c r="J128" i="20"/>
  <c r="J130" i="20" s="1"/>
  <c r="B9" i="32"/>
  <c r="C8" i="32"/>
  <c r="D8" i="32" s="1"/>
  <c r="V24" i="24"/>
  <c r="W23" i="24"/>
  <c r="X23" i="24" s="1"/>
  <c r="Y23" i="24" s="1"/>
  <c r="X36" i="24"/>
  <c r="W10" i="24"/>
  <c r="X18" i="24"/>
  <c r="Y18" i="24" s="1"/>
  <c r="U27" i="20"/>
  <c r="V27" i="20" s="1"/>
  <c r="U105" i="20" l="1"/>
  <c r="V105" i="20" s="1"/>
  <c r="C5" i="45"/>
  <c r="D5" i="45" s="1"/>
  <c r="I6" i="46"/>
  <c r="V28" i="20"/>
  <c r="V26" i="20"/>
  <c r="V29" i="20" s="1"/>
  <c r="T29" i="20"/>
  <c r="T61" i="20" s="1"/>
  <c r="T104" i="20" s="1"/>
  <c r="U47" i="20"/>
  <c r="V21" i="20"/>
  <c r="V74" i="20"/>
  <c r="Y69" i="20"/>
  <c r="V53" i="24"/>
  <c r="V5" i="24"/>
  <c r="V6" i="24" s="1"/>
  <c r="V65" i="20"/>
  <c r="V63" i="24"/>
  <c r="W9" i="24"/>
  <c r="W11" i="24" s="1"/>
  <c r="W5" i="24" s="1"/>
  <c r="U29" i="20"/>
  <c r="T49" i="20"/>
  <c r="K128" i="20"/>
  <c r="K130" i="20" s="1"/>
  <c r="Y9" i="24"/>
  <c r="X10" i="24"/>
  <c r="Y36" i="24"/>
  <c r="Y10" i="24" s="1"/>
  <c r="B10" i="32"/>
  <c r="C9" i="32"/>
  <c r="D9" i="32" s="1"/>
  <c r="V58" i="24"/>
  <c r="W58" i="24" s="1"/>
  <c r="X58" i="24" s="1"/>
  <c r="Y58" i="24" s="1"/>
  <c r="X9" i="24"/>
  <c r="T46" i="24"/>
  <c r="T69" i="24"/>
  <c r="U46" i="24"/>
  <c r="U23" i="20" s="1"/>
  <c r="U8" i="20" s="1"/>
  <c r="U10" i="20" s="1"/>
  <c r="U69" i="24"/>
  <c r="V95" i="24" l="1"/>
  <c r="W95" i="24" s="1"/>
  <c r="X95" i="24" s="1"/>
  <c r="Y95" i="24" s="1"/>
  <c r="T64" i="20"/>
  <c r="T103" i="20" s="1"/>
  <c r="T62" i="20"/>
  <c r="T102" i="20" s="1"/>
  <c r="D5" i="3"/>
  <c r="D6" i="3" s="1"/>
  <c r="V5" i="20"/>
  <c r="V47" i="20"/>
  <c r="V85" i="24" s="1"/>
  <c r="W85" i="24" s="1"/>
  <c r="U97" i="20"/>
  <c r="V97" i="20" s="1"/>
  <c r="T23" i="20"/>
  <c r="T22" i="20" s="1"/>
  <c r="T60" i="20" s="1"/>
  <c r="V46" i="24"/>
  <c r="V64" i="24"/>
  <c r="V54" i="24"/>
  <c r="U22" i="20"/>
  <c r="U31" i="20"/>
  <c r="W6" i="24"/>
  <c r="W21" i="20"/>
  <c r="W5" i="20" s="1"/>
  <c r="T99" i="20"/>
  <c r="U64" i="20"/>
  <c r="U62" i="20"/>
  <c r="U61" i="20"/>
  <c r="U49" i="20"/>
  <c r="W27" i="20"/>
  <c r="W46" i="24"/>
  <c r="W23" i="20" s="1"/>
  <c r="W8" i="20" s="1"/>
  <c r="W63" i="24"/>
  <c r="W28" i="20" s="1"/>
  <c r="U70" i="24"/>
  <c r="U104" i="24"/>
  <c r="U105" i="24" s="1"/>
  <c r="U94" i="20" s="1"/>
  <c r="U137" i="24" s="1"/>
  <c r="U138" i="24" s="1"/>
  <c r="T70" i="24"/>
  <c r="T104" i="24"/>
  <c r="T105" i="24" s="1"/>
  <c r="T94" i="20" s="1"/>
  <c r="T75" i="20" s="1"/>
  <c r="W53" i="24"/>
  <c r="W26" i="20" s="1"/>
  <c r="X11" i="24"/>
  <c r="X5" i="24" s="1"/>
  <c r="Y11" i="24"/>
  <c r="Y5" i="24" s="1"/>
  <c r="B11" i="32"/>
  <c r="C10" i="32"/>
  <c r="D10" i="32" s="1"/>
  <c r="V59" i="24"/>
  <c r="V69" i="24"/>
  <c r="T66" i="20" l="1"/>
  <c r="W10" i="20"/>
  <c r="V22" i="20"/>
  <c r="V23" i="20" s="1"/>
  <c r="T31" i="20"/>
  <c r="T8" i="20"/>
  <c r="T10" i="20" s="1"/>
  <c r="V94" i="20"/>
  <c r="U75" i="20"/>
  <c r="T95" i="20"/>
  <c r="T137" i="24"/>
  <c r="T138" i="24" s="1"/>
  <c r="W47" i="20"/>
  <c r="W29" i="20"/>
  <c r="W31" i="20" s="1"/>
  <c r="Y6" i="24"/>
  <c r="Y21" i="20"/>
  <c r="Y5" i="20" s="1"/>
  <c r="X6" i="24"/>
  <c r="X21" i="20"/>
  <c r="X5" i="20" s="1"/>
  <c r="W22" i="20"/>
  <c r="W48" i="20" s="1"/>
  <c r="V49" i="20"/>
  <c r="U99" i="20"/>
  <c r="V99" i="20" s="1"/>
  <c r="V61" i="20"/>
  <c r="U104" i="20"/>
  <c r="V104" i="20" s="1"/>
  <c r="V62" i="20"/>
  <c r="U102" i="20"/>
  <c r="V102" i="20" s="1"/>
  <c r="V64" i="20"/>
  <c r="U103" i="20"/>
  <c r="V103" i="20" s="1"/>
  <c r="E5" i="3"/>
  <c r="E6" i="3" s="1"/>
  <c r="W65" i="20"/>
  <c r="W105" i="20" s="1"/>
  <c r="T48" i="20"/>
  <c r="U48" i="20"/>
  <c r="V48" i="20" s="1"/>
  <c r="U60" i="20"/>
  <c r="X85" i="24"/>
  <c r="Y53" i="24"/>
  <c r="Y26" i="20" s="1"/>
  <c r="Y63" i="24"/>
  <c r="Y28" i="20" s="1"/>
  <c r="X27" i="20"/>
  <c r="X63" i="24"/>
  <c r="X28" i="20" s="1"/>
  <c r="V70" i="24"/>
  <c r="V104" i="24"/>
  <c r="W69" i="24"/>
  <c r="V105" i="24"/>
  <c r="X53" i="24"/>
  <c r="X26" i="20" s="1"/>
  <c r="B12" i="32"/>
  <c r="C11" i="32"/>
  <c r="D11" i="32" s="1"/>
  <c r="X46" i="24"/>
  <c r="X23" i="20" s="1"/>
  <c r="X8" i="20" s="1"/>
  <c r="X10" i="20" l="1"/>
  <c r="T13" i="20"/>
  <c r="T15" i="20" s="1"/>
  <c r="V31" i="20"/>
  <c r="V8" i="20"/>
  <c r="V10" i="20" s="1"/>
  <c r="V75" i="20"/>
  <c r="X29" i="20"/>
  <c r="X31" i="20" s="1"/>
  <c r="X47" i="20"/>
  <c r="X97" i="20" s="1"/>
  <c r="X22" i="20"/>
  <c r="X48" i="20" s="1"/>
  <c r="X98" i="20" s="1"/>
  <c r="U101" i="20"/>
  <c r="V60" i="20"/>
  <c r="U66" i="20"/>
  <c r="W98" i="20"/>
  <c r="V86" i="24"/>
  <c r="V47" i="24"/>
  <c r="U98" i="20"/>
  <c r="T98" i="20"/>
  <c r="T101" i="20"/>
  <c r="V93" i="24"/>
  <c r="V92" i="24"/>
  <c r="V94" i="24"/>
  <c r="V91" i="24"/>
  <c r="W91" i="24" s="1"/>
  <c r="W49" i="20" s="1"/>
  <c r="F5" i="3"/>
  <c r="F6" i="3" s="1"/>
  <c r="X65" i="20"/>
  <c r="X105" i="20" s="1"/>
  <c r="G5" i="3"/>
  <c r="Y65" i="20"/>
  <c r="W97" i="20"/>
  <c r="Y85" i="24"/>
  <c r="Y47" i="20" s="1"/>
  <c r="X69" i="24"/>
  <c r="X70" i="24" s="1"/>
  <c r="W104" i="24"/>
  <c r="W105" i="24" s="1"/>
  <c r="W94" i="20" s="1"/>
  <c r="W137" i="24" s="1"/>
  <c r="W138" i="24" s="1"/>
  <c r="W70" i="24"/>
  <c r="V106" i="24"/>
  <c r="B13" i="32"/>
  <c r="C12" i="32"/>
  <c r="D12" i="32" s="1"/>
  <c r="C3" i="45" l="1"/>
  <c r="D3" i="45" s="1"/>
  <c r="I3" i="46"/>
  <c r="V98" i="20"/>
  <c r="V101" i="20"/>
  <c r="W75" i="20"/>
  <c r="U108" i="20"/>
  <c r="X104" i="24"/>
  <c r="X105" i="24" s="1"/>
  <c r="X94" i="20" s="1"/>
  <c r="X137" i="24" s="1"/>
  <c r="X138" i="24" s="1"/>
  <c r="Y105" i="20"/>
  <c r="T108" i="20"/>
  <c r="V87" i="24"/>
  <c r="V66" i="20"/>
  <c r="W99" i="20"/>
  <c r="Y97" i="20"/>
  <c r="X91" i="24"/>
  <c r="X49" i="20" s="1"/>
  <c r="W93" i="24"/>
  <c r="W64" i="20" s="1"/>
  <c r="W94" i="24"/>
  <c r="W61" i="20" s="1"/>
  <c r="W92" i="24"/>
  <c r="W62" i="20" s="1"/>
  <c r="Y27" i="20"/>
  <c r="Y29" i="20" s="1"/>
  <c r="Y46" i="24"/>
  <c r="Y23" i="20" s="1"/>
  <c r="Y8" i="20" s="1"/>
  <c r="Y10" i="20" s="1"/>
  <c r="B14" i="32"/>
  <c r="C13" i="32"/>
  <c r="D13" i="32" s="1"/>
  <c r="V108" i="20" l="1"/>
  <c r="X75" i="20"/>
  <c r="Y22" i="20"/>
  <c r="Y48" i="20" s="1"/>
  <c r="Y98" i="20" s="1"/>
  <c r="Y31" i="20"/>
  <c r="W87" i="24"/>
  <c r="V88" i="24"/>
  <c r="W102" i="20"/>
  <c r="W104" i="20"/>
  <c r="W103" i="20"/>
  <c r="X99" i="20"/>
  <c r="Y91" i="24"/>
  <c r="Y49" i="20" s="1"/>
  <c r="X92" i="24"/>
  <c r="X62" i="20" s="1"/>
  <c r="X94" i="24"/>
  <c r="X61" i="20" s="1"/>
  <c r="X93" i="24"/>
  <c r="X64" i="20" s="1"/>
  <c r="G6" i="3"/>
  <c r="Y69" i="24"/>
  <c r="B15" i="32"/>
  <c r="C14" i="32"/>
  <c r="D14" i="32" s="1"/>
  <c r="W60" i="20" l="1"/>
  <c r="X87" i="24"/>
  <c r="W88" i="24"/>
  <c r="X103" i="20"/>
  <c r="X104" i="20"/>
  <c r="X102" i="20"/>
  <c r="Y99" i="20"/>
  <c r="Y93" i="24"/>
  <c r="Y94" i="24"/>
  <c r="Y92" i="24"/>
  <c r="Y62" i="20" s="1"/>
  <c r="Y70" i="24"/>
  <c r="Y104" i="24"/>
  <c r="Y105" i="24" s="1"/>
  <c r="Y94" i="20" s="1"/>
  <c r="B16" i="32"/>
  <c r="C15" i="32"/>
  <c r="D15" i="32" s="1"/>
  <c r="Y137" i="24" l="1"/>
  <c r="Y138" i="24" s="1"/>
  <c r="Y75" i="20"/>
  <c r="X60" i="20"/>
  <c r="X88" i="24"/>
  <c r="Y87" i="24"/>
  <c r="W101" i="20"/>
  <c r="W108" i="20" s="1"/>
  <c r="W66" i="20"/>
  <c r="Y61" i="20"/>
  <c r="Y64" i="20"/>
  <c r="Y103" i="20" s="1"/>
  <c r="Y102" i="20"/>
  <c r="B17" i="32"/>
  <c r="C16" i="32"/>
  <c r="D16" i="32" s="1"/>
  <c r="Y60" i="20" l="1"/>
  <c r="Y88" i="24"/>
  <c r="X101" i="20"/>
  <c r="X108" i="20" s="1"/>
  <c r="X66" i="20"/>
  <c r="Y104" i="20"/>
  <c r="B18" i="32"/>
  <c r="C17" i="32"/>
  <c r="D17" i="32" s="1"/>
  <c r="Y101" i="20" l="1"/>
  <c r="Y108" i="20" s="1"/>
  <c r="Y66" i="20"/>
  <c r="B19" i="32"/>
  <c r="C18" i="32"/>
  <c r="D18" i="32" s="1"/>
  <c r="B20" i="32" l="1"/>
  <c r="C19" i="32"/>
  <c r="D19" i="32" l="1"/>
  <c r="B21" i="32"/>
  <c r="C20" i="32"/>
  <c r="D20" i="32" s="1"/>
  <c r="B22" i="32" l="1"/>
  <c r="C21" i="32"/>
  <c r="D21" i="32" s="1"/>
  <c r="B23" i="32" l="1"/>
  <c r="C22" i="32"/>
  <c r="D22" i="32" s="1"/>
  <c r="B24" i="32" l="1"/>
  <c r="C23" i="32"/>
  <c r="D23" i="32" s="1"/>
  <c r="B25" i="32" l="1"/>
  <c r="C24" i="32"/>
  <c r="D24" i="32" s="1"/>
  <c r="B26" i="32" l="1"/>
  <c r="C25" i="32"/>
  <c r="D25" i="32" s="1"/>
  <c r="B27" i="32" l="1"/>
  <c r="C26" i="32"/>
  <c r="D26" i="32" s="1"/>
  <c r="B28" i="32" l="1"/>
  <c r="C27" i="32"/>
  <c r="D27" i="32" l="1"/>
  <c r="B29" i="32"/>
  <c r="C28" i="32"/>
  <c r="D28" i="32" s="1"/>
  <c r="B30" i="32" l="1"/>
  <c r="C29" i="32"/>
  <c r="D29" i="32" s="1"/>
  <c r="B31" i="32" l="1"/>
  <c r="C30" i="32"/>
  <c r="D30" i="32" s="1"/>
  <c r="B32" i="32" l="1"/>
  <c r="C31" i="32"/>
  <c r="D31" i="32" s="1"/>
  <c r="B33" i="32" l="1"/>
  <c r="C32" i="32"/>
  <c r="D32" i="32" s="1"/>
  <c r="B34" i="32" l="1"/>
  <c r="C33" i="32"/>
  <c r="D33" i="32" s="1"/>
  <c r="B35" i="32" l="1"/>
  <c r="C34" i="32"/>
  <c r="D34" i="32" s="1"/>
  <c r="B36" i="32" l="1"/>
  <c r="C35" i="32"/>
  <c r="D35" i="32" s="1"/>
  <c r="B37" i="32" l="1"/>
  <c r="C36" i="32"/>
  <c r="D36" i="32" s="1"/>
  <c r="B38" i="32" l="1"/>
  <c r="C37" i="32"/>
  <c r="D37" i="32" s="1"/>
  <c r="B39" i="32" l="1"/>
  <c r="C38" i="32"/>
  <c r="D38" i="32" s="1"/>
  <c r="B40" i="32" l="1"/>
  <c r="C39" i="32"/>
  <c r="D39" i="32" s="1"/>
  <c r="B41" i="32" l="1"/>
  <c r="C40" i="32"/>
  <c r="D40" i="32" s="1"/>
  <c r="B42" i="32" l="1"/>
  <c r="C41" i="32"/>
  <c r="D41" i="32" l="1"/>
  <c r="B43" i="32"/>
  <c r="C42" i="32"/>
  <c r="D42" i="32" s="1"/>
  <c r="B44" i="32" l="1"/>
  <c r="C43" i="32"/>
  <c r="D43" i="32" s="1"/>
  <c r="B45" i="32" l="1"/>
  <c r="C44" i="32"/>
  <c r="D44" i="32" s="1"/>
  <c r="B46" i="32" l="1"/>
  <c r="C45" i="32"/>
  <c r="D45" i="32" s="1"/>
  <c r="B47" i="32" l="1"/>
  <c r="C46" i="32"/>
  <c r="D46" i="32" s="1"/>
  <c r="B48" i="32" l="1"/>
  <c r="C47" i="32"/>
  <c r="D47" i="32" s="1"/>
  <c r="B49" i="32" l="1"/>
  <c r="C48" i="32"/>
  <c r="D48" i="32" l="1"/>
  <c r="B50" i="32"/>
  <c r="C49" i="32"/>
  <c r="D49" i="32" s="1"/>
  <c r="B51" i="32" l="1"/>
  <c r="C50" i="32"/>
  <c r="D50" i="32" s="1"/>
  <c r="B52" i="32" l="1"/>
  <c r="C51" i="32"/>
  <c r="D51" i="32" s="1"/>
  <c r="B53" i="32" l="1"/>
  <c r="C52" i="32"/>
  <c r="D52" i="32" s="1"/>
  <c r="B54" i="32" l="1"/>
  <c r="C53" i="32"/>
  <c r="D53" i="32" s="1"/>
  <c r="B55" i="32" l="1"/>
  <c r="C54" i="32"/>
  <c r="D54" i="32" s="1"/>
  <c r="B56" i="32" l="1"/>
  <c r="C55" i="32"/>
  <c r="D55" i="32" s="1"/>
  <c r="B57" i="32" l="1"/>
  <c r="C56" i="32"/>
  <c r="D56" i="32" s="1"/>
  <c r="B58" i="32" l="1"/>
  <c r="C57" i="32"/>
  <c r="D57" i="32" s="1"/>
  <c r="B59" i="32" l="1"/>
  <c r="C58" i="32"/>
  <c r="D58" i="32" s="1"/>
  <c r="B60" i="32" l="1"/>
  <c r="C59" i="32"/>
  <c r="D59" i="32" s="1"/>
  <c r="B61" i="32" l="1"/>
  <c r="C60" i="32"/>
  <c r="D60" i="32" s="1"/>
  <c r="B62" i="32" l="1"/>
  <c r="C61" i="32"/>
  <c r="D61" i="32" s="1"/>
  <c r="B63" i="32" l="1"/>
  <c r="C62" i="32"/>
  <c r="D62" i="32" s="1"/>
  <c r="B64" i="32" l="1"/>
  <c r="C63" i="32"/>
  <c r="D63" i="32" s="1"/>
  <c r="B65" i="32" l="1"/>
  <c r="C64" i="32"/>
  <c r="D64" i="32" s="1"/>
  <c r="B66" i="32" l="1"/>
  <c r="C65" i="32"/>
  <c r="D65" i="32" s="1"/>
  <c r="B67" i="32" l="1"/>
  <c r="C66" i="32"/>
  <c r="D66" i="32" s="1"/>
  <c r="B68" i="32" l="1"/>
  <c r="C67" i="32"/>
  <c r="D67" i="32" s="1"/>
  <c r="B69" i="32" l="1"/>
  <c r="C68" i="32"/>
  <c r="D68" i="32" s="1"/>
  <c r="B70" i="32" l="1"/>
  <c r="C69" i="32"/>
  <c r="D69" i="32" s="1"/>
  <c r="B71" i="32" l="1"/>
  <c r="C70" i="32"/>
  <c r="D70" i="32" s="1"/>
  <c r="B72" i="32" l="1"/>
  <c r="C71" i="32"/>
  <c r="D71" i="32" s="1"/>
  <c r="B73" i="32" l="1"/>
  <c r="C72" i="32"/>
  <c r="D72" i="32" s="1"/>
  <c r="B74" i="32" l="1"/>
  <c r="C73" i="32"/>
  <c r="D73" i="32" s="1"/>
  <c r="B75" i="32" l="1"/>
  <c r="C74" i="32"/>
  <c r="D74" i="32" s="1"/>
  <c r="B76" i="32" l="1"/>
  <c r="C75" i="32"/>
  <c r="D75" i="32" s="1"/>
  <c r="B77" i="32" l="1"/>
  <c r="C76" i="32"/>
  <c r="D76" i="32" s="1"/>
  <c r="B78" i="32" l="1"/>
  <c r="C77" i="32"/>
  <c r="D77" i="32" s="1"/>
  <c r="B79" i="32" l="1"/>
  <c r="C78" i="32"/>
  <c r="D78" i="32" s="1"/>
  <c r="B80" i="32" l="1"/>
  <c r="C79" i="32"/>
  <c r="D79" i="32" s="1"/>
  <c r="B81" i="32" l="1"/>
  <c r="C80" i="32"/>
  <c r="D80" i="32" s="1"/>
  <c r="B82" i="32" l="1"/>
  <c r="C81" i="32"/>
  <c r="D81" i="32" s="1"/>
  <c r="B83" i="32" l="1"/>
  <c r="C82" i="32"/>
  <c r="D82" i="32" s="1"/>
  <c r="C83" i="32" l="1"/>
  <c r="D83" i="32" l="1"/>
  <c r="D84" i="32"/>
  <c r="U101" i="24"/>
  <c r="U89" i="20" l="1"/>
  <c r="U13" i="20" s="1"/>
  <c r="V101" i="24"/>
  <c r="V89" i="20" l="1"/>
  <c r="U15" i="20"/>
  <c r="U95" i="20"/>
  <c r="U52" i="20"/>
  <c r="V102" i="24"/>
  <c r="V13" i="20" l="1"/>
  <c r="V15" i="20" s="1"/>
  <c r="D7" i="3"/>
  <c r="U100" i="24"/>
  <c r="V52" i="20"/>
  <c r="V95" i="20"/>
  <c r="V100" i="24" l="1"/>
  <c r="W101" i="24" s="1"/>
  <c r="W89" i="20" s="1"/>
  <c r="W52" i="20" s="1"/>
  <c r="D13" i="3"/>
  <c r="D8" i="3"/>
  <c r="W95" i="20" l="1"/>
  <c r="W13" i="20"/>
  <c r="W15" i="20" s="1"/>
  <c r="E7" i="3"/>
  <c r="E8" i="3" s="1"/>
  <c r="W100" i="24"/>
  <c r="X101" i="24" s="1"/>
  <c r="X89" i="20" s="1"/>
  <c r="X52" i="20" s="1"/>
  <c r="X95" i="20" l="1"/>
  <c r="X13" i="20"/>
  <c r="X15" i="20" s="1"/>
  <c r="E13" i="3"/>
  <c r="F7" i="3"/>
  <c r="F13" i="3" s="1"/>
  <c r="X100" i="24"/>
  <c r="Y101" i="24" s="1"/>
  <c r="Y89" i="20" s="1"/>
  <c r="Y13" i="20" l="1"/>
  <c r="Y15" i="20" s="1"/>
  <c r="F8" i="3"/>
  <c r="Y52" i="20"/>
  <c r="G7" i="3"/>
  <c r="Y95" i="20"/>
  <c r="V129" i="24"/>
  <c r="V128" i="24"/>
  <c r="V127" i="24"/>
  <c r="V126" i="24"/>
  <c r="G13" i="3" l="1"/>
  <c r="I4" i="46"/>
  <c r="Y100" i="24"/>
  <c r="G8" i="3"/>
  <c r="I5" i="46" l="1"/>
  <c r="C4" i="45"/>
  <c r="D4" i="45" s="1"/>
  <c r="T74" i="24"/>
  <c r="T35" i="20"/>
  <c r="T36" i="20"/>
  <c r="T38" i="20"/>
  <c r="T77" i="24" s="1"/>
  <c r="T78" i="24" s="1"/>
  <c r="T39" i="20"/>
  <c r="T40" i="20"/>
  <c r="T86" i="20"/>
  <c r="T110" i="20"/>
  <c r="T113" i="24" s="1"/>
  <c r="T117" i="24"/>
  <c r="T123" i="20"/>
  <c r="T76" i="20" s="1"/>
  <c r="T121" i="24" l="1"/>
  <c r="T118" i="20" s="1"/>
  <c r="T120" i="24"/>
  <c r="T121" i="20" l="1"/>
  <c r="T68" i="20" s="1"/>
  <c r="T122" i="24"/>
  <c r="T124" i="24" s="1"/>
  <c r="T140" i="24" l="1"/>
  <c r="T141" i="24" s="1"/>
  <c r="T134" i="24" s="1"/>
  <c r="U115" i="24" s="1"/>
  <c r="T122" i="20"/>
  <c r="U73" i="24"/>
  <c r="U74" i="24" s="1"/>
  <c r="U35" i="20" s="1"/>
  <c r="T71" i="20"/>
  <c r="V35" i="20" l="1"/>
  <c r="U36" i="20"/>
  <c r="U38" i="20" s="1"/>
  <c r="T78" i="20"/>
  <c r="T79" i="20" s="1"/>
  <c r="T126" i="20"/>
  <c r="T129" i="20" s="1"/>
  <c r="T130" i="20" s="1"/>
  <c r="T46" i="20" l="1"/>
  <c r="T51" i="20" s="1"/>
  <c r="T57" i="20" s="1"/>
  <c r="T81" i="20" s="1"/>
  <c r="U128" i="20"/>
  <c r="T132" i="20"/>
  <c r="U77" i="24"/>
  <c r="U78" i="24" s="1"/>
  <c r="U39" i="20" s="1"/>
  <c r="V39" i="20" s="1"/>
  <c r="V78" i="24" s="1"/>
  <c r="U40" i="20"/>
  <c r="U86" i="20" s="1"/>
  <c r="U110" i="20" s="1"/>
  <c r="V74" i="24"/>
  <c r="V75" i="24" s="1"/>
  <c r="V36" i="20"/>
  <c r="V38" i="20" s="1"/>
  <c r="U113" i="24"/>
  <c r="U117" i="24"/>
  <c r="U123" i="20"/>
  <c r="U76" i="20" s="1"/>
  <c r="V123" i="20" l="1"/>
  <c r="V115" i="24" s="1"/>
  <c r="V77" i="24"/>
  <c r="V40" i="20"/>
  <c r="V86" i="20" s="1"/>
  <c r="V110" i="20" s="1"/>
  <c r="V79" i="24"/>
  <c r="U120" i="24"/>
  <c r="U121" i="24"/>
  <c r="V76" i="20"/>
  <c r="U122" i="24" l="1"/>
  <c r="U124" i="24" s="1"/>
  <c r="U118" i="20"/>
  <c r="V118" i="20" s="1"/>
  <c r="V113" i="24"/>
  <c r="V117" i="24" s="1"/>
  <c r="D30" i="3"/>
  <c r="U121" i="20"/>
  <c r="V121" i="24" l="1"/>
  <c r="U68" i="20"/>
  <c r="V121" i="20"/>
  <c r="U140" i="24"/>
  <c r="U141" i="24" s="1"/>
  <c r="U134" i="24" s="1"/>
  <c r="V134" i="24" s="1"/>
  <c r="U122" i="20"/>
  <c r="U78" i="20" l="1"/>
  <c r="V122" i="20"/>
  <c r="V124" i="24" s="1"/>
  <c r="U126" i="20"/>
  <c r="U129" i="20" s="1"/>
  <c r="U130" i="20" s="1"/>
  <c r="W115" i="24"/>
  <c r="D17" i="3"/>
  <c r="V120" i="24"/>
  <c r="V68" i="20"/>
  <c r="U71" i="20"/>
  <c r="V126" i="20" l="1"/>
  <c r="V129" i="20" s="1"/>
  <c r="V130" i="20" s="1"/>
  <c r="W128" i="20" s="1"/>
  <c r="W73" i="24"/>
  <c r="W74" i="24" s="1"/>
  <c r="W35" i="20" s="1"/>
  <c r="W36" i="20" s="1"/>
  <c r="W38" i="20" s="1"/>
  <c r="V71" i="20"/>
  <c r="D15" i="3"/>
  <c r="U46" i="20"/>
  <c r="U51" i="20" s="1"/>
  <c r="U57" i="20" s="1"/>
  <c r="V78" i="20"/>
  <c r="V79" i="20" s="1"/>
  <c r="U79" i="20"/>
  <c r="W123" i="20"/>
  <c r="V46" i="20" l="1"/>
  <c r="V132" i="20" s="1"/>
  <c r="U132" i="20"/>
  <c r="W77" i="24"/>
  <c r="W78" i="24" s="1"/>
  <c r="W39" i="20" s="1"/>
  <c r="W40" i="20" s="1"/>
  <c r="U81" i="20"/>
  <c r="D14" i="3" l="1"/>
  <c r="D16" i="3" s="1"/>
  <c r="D18" i="3" s="1"/>
  <c r="V51" i="20"/>
  <c r="V57" i="20" s="1"/>
  <c r="V81" i="20" s="1"/>
  <c r="W86" i="20"/>
  <c r="W110" i="20" s="1"/>
  <c r="W76" i="20"/>
  <c r="D31" i="3" l="1"/>
  <c r="W113" i="24"/>
  <c r="W117" i="24" s="1"/>
  <c r="E30" i="3"/>
  <c r="D20" i="3"/>
  <c r="D26" i="3"/>
  <c r="W121" i="24" l="1"/>
  <c r="W120" i="24"/>
  <c r="W121" i="20" s="1"/>
  <c r="W68" i="20" s="1"/>
  <c r="D23" i="3"/>
  <c r="D28" i="3" s="1"/>
  <c r="D27" i="3"/>
  <c r="X73" i="24" l="1"/>
  <c r="W71" i="20"/>
  <c r="E15" i="3"/>
  <c r="W122" i="24"/>
  <c r="W124" i="24" s="1"/>
  <c r="W118" i="20"/>
  <c r="W122" i="20" l="1"/>
  <c r="W78" i="20" s="1"/>
  <c r="W79" i="20" s="1"/>
  <c r="W140" i="24"/>
  <c r="W141" i="24" s="1"/>
  <c r="W134" i="24" s="1"/>
  <c r="E17" i="3" l="1"/>
  <c r="X115" i="24"/>
  <c r="X123" i="20" s="1"/>
  <c r="W126" i="20"/>
  <c r="W129" i="20" s="1"/>
  <c r="W130" i="20" s="1"/>
  <c r="X74" i="24"/>
  <c r="X35" i="20" s="1"/>
  <c r="X36" i="20" s="1"/>
  <c r="X38" i="20" s="1"/>
  <c r="X77" i="24" l="1"/>
  <c r="X78" i="24" s="1"/>
  <c r="X39" i="20" s="1"/>
  <c r="X40" i="20" s="1"/>
  <c r="W46" i="20"/>
  <c r="X128" i="20"/>
  <c r="X86" i="20" l="1"/>
  <c r="X110" i="20" s="1"/>
  <c r="X76" i="20"/>
  <c r="E14" i="3"/>
  <c r="E16" i="3" s="1"/>
  <c r="W51" i="20"/>
  <c r="W57" i="20" s="1"/>
  <c r="W81" i="20" s="1"/>
  <c r="W132" i="20"/>
  <c r="E31" i="3" l="1"/>
  <c r="E18" i="3"/>
  <c r="X113" i="24"/>
  <c r="X117" i="24" s="1"/>
  <c r="F30" i="3"/>
  <c r="X121" i="24" l="1"/>
  <c r="X120" i="24"/>
  <c r="X121" i="20" s="1"/>
  <c r="X68" i="20" s="1"/>
  <c r="E26" i="3"/>
  <c r="E20" i="3"/>
  <c r="E27" i="3" l="1"/>
  <c r="E23" i="3"/>
  <c r="E28" i="3" s="1"/>
  <c r="Y73" i="24"/>
  <c r="F15" i="3"/>
  <c r="X71" i="20"/>
  <c r="X122" i="24"/>
  <c r="X124" i="24" s="1"/>
  <c r="X118" i="20"/>
  <c r="X122" i="20" l="1"/>
  <c r="X78" i="20" s="1"/>
  <c r="X79" i="20" s="1"/>
  <c r="X140" i="24"/>
  <c r="X141" i="24" s="1"/>
  <c r="X134" i="24" s="1"/>
  <c r="X126" i="20" l="1"/>
  <c r="X129" i="20" s="1"/>
  <c r="X130" i="20" s="1"/>
  <c r="Y128" i="20" s="1"/>
  <c r="Y115" i="24"/>
  <c r="Y123" i="20" s="1"/>
  <c r="F17" i="3"/>
  <c r="Y74" i="24"/>
  <c r="Y35" i="20" s="1"/>
  <c r="Y36" i="20" s="1"/>
  <c r="Y38" i="20" s="1"/>
  <c r="Y77" i="24" s="1"/>
  <c r="Y78" i="24" s="1"/>
  <c r="Y39" i="20" s="1"/>
  <c r="X46" i="20" l="1"/>
  <c r="X132" i="20" s="1"/>
  <c r="Y40" i="20"/>
  <c r="F14" i="3" l="1"/>
  <c r="F16" i="3" s="1"/>
  <c r="F18" i="3" s="1"/>
  <c r="X51" i="20"/>
  <c r="X57" i="20" s="1"/>
  <c r="X81" i="20" s="1"/>
  <c r="Y86" i="20"/>
  <c r="Y110" i="20" s="1"/>
  <c r="Y76" i="20"/>
  <c r="F31" i="3" l="1"/>
  <c r="F26" i="3"/>
  <c r="F20" i="3"/>
  <c r="Y113" i="24"/>
  <c r="Y117" i="24" s="1"/>
  <c r="G30" i="3"/>
  <c r="F27" i="3" l="1"/>
  <c r="F23" i="3"/>
  <c r="F28" i="3" s="1"/>
  <c r="Y121" i="24"/>
  <c r="Y120" i="24"/>
  <c r="Y121" i="20" s="1"/>
  <c r="Y68" i="20" s="1"/>
  <c r="Y71" i="20" l="1"/>
  <c r="G15" i="3"/>
  <c r="Y122" i="24"/>
  <c r="Y124" i="24" s="1"/>
  <c r="Y118" i="20"/>
  <c r="Y140" i="24" l="1"/>
  <c r="Y141" i="24" s="1"/>
  <c r="Y134" i="24" s="1"/>
  <c r="G17" i="3" s="1"/>
  <c r="C7" i="45" s="1"/>
  <c r="D7" i="45" s="1"/>
  <c r="Y122" i="20"/>
  <c r="Y78" i="20" s="1"/>
  <c r="Y79" i="20" s="1"/>
  <c r="Y126" i="20" l="1"/>
  <c r="Y129" i="20" s="1"/>
  <c r="Y130" i="20" s="1"/>
  <c r="Y46" i="20" s="1"/>
  <c r="Y132" i="20" l="1"/>
  <c r="Y51" i="20"/>
  <c r="Y57" i="20" s="1"/>
  <c r="Y81" i="20" s="1"/>
  <c r="G14" i="3"/>
  <c r="G16" i="3" s="1"/>
  <c r="G31" i="3" l="1"/>
  <c r="I7" i="46" s="1"/>
  <c r="G18" i="3"/>
  <c r="C6" i="45"/>
  <c r="D6" i="45" l="1"/>
  <c r="G26" i="3"/>
  <c r="G20" i="3"/>
  <c r="G27" i="3" l="1"/>
  <c r="I8" i="46" s="1"/>
  <c r="C8" i="45"/>
  <c r="G23" i="3"/>
  <c r="G28" i="3" s="1"/>
  <c r="I9" i="46" s="1"/>
  <c r="D8" i="45" l="1"/>
  <c r="C9" i="45"/>
  <c r="D9" i="4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2"/>
        </ext>
      </extLst>
    </bk>
  </futureMetadata>
  <cellMetadata count="1">
    <bk>
      <rc t="1" v="0"/>
    </bk>
  </cellMetadata>
  <valueMetadata count="1">
    <bk>
      <rc t="2" v="0"/>
    </bk>
  </valueMetadata>
</metadata>
</file>

<file path=xl/sharedStrings.xml><?xml version="1.0" encoding="utf-8"?>
<sst xmlns="http://schemas.openxmlformats.org/spreadsheetml/2006/main" count="941" uniqueCount="420">
  <si>
    <t>Smith &amp; Wesson Financial Model</t>
  </si>
  <si>
    <t>Northeastern University Student Value Fund</t>
  </si>
  <si>
    <t>Analysts:</t>
  </si>
  <si>
    <t>Anthony Casale, Oliver Cooke, Owen Holland, Aidan Ormsby</t>
  </si>
  <si>
    <t>Version Date:</t>
  </si>
  <si>
    <t>2.26.2025</t>
  </si>
  <si>
    <t>Stock Information:</t>
  </si>
  <si>
    <t>BBG FIGI:</t>
  </si>
  <si>
    <t>SWBI US EQUITY</t>
  </si>
  <si>
    <t>Excel Stock Object:</t>
  </si>
  <si>
    <t>Model Global Variables:</t>
  </si>
  <si>
    <t>Case (1: Bull, 2: Base, 3: Bear)</t>
  </si>
  <si>
    <t>Current Price</t>
  </si>
  <si>
    <t>Phone Number</t>
  </si>
  <si>
    <t>Store Location</t>
  </si>
  <si>
    <t xml:space="preserve"> 1854 Units</t>
  </si>
  <si>
    <t>Marlin Units</t>
  </si>
  <si>
    <t>Henry Units</t>
  </si>
  <si>
    <t>1854 Unit Volume Build:</t>
  </si>
  <si>
    <t>Current</t>
  </si>
  <si>
    <t>(916) 635-7800</t>
  </si>
  <si>
    <t xml:space="preserve">Rancho Cordova, CA </t>
  </si>
  <si>
    <t>nm</t>
  </si>
  <si>
    <t>Sportsman Warehouse</t>
  </si>
  <si>
    <t>(530) 222-5500</t>
  </si>
  <si>
    <t xml:space="preserve">Redding, CA </t>
  </si>
  <si>
    <t>Bass Pro Shops and Cabela's</t>
  </si>
  <si>
    <t>(623) 516-1400</t>
  </si>
  <si>
    <t>Phoenix, AR</t>
  </si>
  <si>
    <t>Total locations</t>
  </si>
  <si>
    <t>(715) 679-7600</t>
  </si>
  <si>
    <t>Wausau, WI</t>
  </si>
  <si>
    <t>Penetration</t>
  </si>
  <si>
    <t>(515) 963-3500</t>
  </si>
  <si>
    <t>Ankeny, IA</t>
  </si>
  <si>
    <t>Stores selling 1854</t>
  </si>
  <si>
    <t>(615) 203-7500</t>
  </si>
  <si>
    <t>Murfeesboro, TN</t>
  </si>
  <si>
    <t>Units sold per week</t>
  </si>
  <si>
    <t>(253) 835-4100</t>
  </si>
  <si>
    <t>Federal Way, WA</t>
  </si>
  <si>
    <t>Annual 1854 unit volume</t>
  </si>
  <si>
    <t>% of long gun unit volume</t>
  </si>
  <si>
    <t>(303) 840-2321</t>
  </si>
  <si>
    <t xml:space="preserve">Avondale, AZ </t>
  </si>
  <si>
    <t>(719) 470-7200</t>
  </si>
  <si>
    <t>Flagstaff, AZ</t>
  </si>
  <si>
    <t>(303) 761-5900</t>
  </si>
  <si>
    <t xml:space="preserve">Mesa, AZ </t>
  </si>
  <si>
    <t>(951) 382-7100</t>
  </si>
  <si>
    <t>Grand Junction, CO</t>
  </si>
  <si>
    <t>(970) 461-5000</t>
  </si>
  <si>
    <t xml:space="preserve">Loveland, CO </t>
  </si>
  <si>
    <t>(307) 622-9100</t>
  </si>
  <si>
    <t>Gillette, WY</t>
  </si>
  <si>
    <t>(701) 572-2500</t>
  </si>
  <si>
    <t>Williston, MD</t>
  </si>
  <si>
    <t>(308) 833-7400</t>
  </si>
  <si>
    <t>Grand Island, NE</t>
  </si>
  <si>
    <t>(307) 233-3700</t>
  </si>
  <si>
    <t>Casper, WY</t>
  </si>
  <si>
    <t>(505) 761-9900</t>
  </si>
  <si>
    <t>Albuquerque, NM</t>
  </si>
  <si>
    <t>(505) 326-2100</t>
  </si>
  <si>
    <t>Farmington, NM</t>
  </si>
  <si>
    <t>(406) 457-7200</t>
  </si>
  <si>
    <t>Helena, MT</t>
  </si>
  <si>
    <t>Estimated units sold per week:</t>
  </si>
  <si>
    <t>Dependent</t>
  </si>
  <si>
    <t>Independent</t>
  </si>
  <si>
    <t xml:space="preserve"> Output</t>
  </si>
  <si>
    <t>swbi_revenue</t>
  </si>
  <si>
    <t>rgr_revenue</t>
  </si>
  <si>
    <t>spwh_turn</t>
  </si>
  <si>
    <t>ammunition</t>
  </si>
  <si>
    <t>handgun</t>
  </si>
  <si>
    <t>est. swbi_revenue</t>
  </si>
  <si>
    <t>residual</t>
  </si>
  <si>
    <t>surprise</t>
  </si>
  <si>
    <t>MLR Variables:</t>
  </si>
  <si>
    <t>Constant</t>
  </si>
  <si>
    <t>n</t>
  </si>
  <si>
    <t>c(n)</t>
  </si>
  <si>
    <t>Std. error</t>
  </si>
  <si>
    <t>T-statistic</t>
  </si>
  <si>
    <t>P-value</t>
  </si>
  <si>
    <t>MLR Equation:</t>
  </si>
  <si>
    <t>firearm = c(1) + c(2)*rgr_revenue + c(3)*spwh_turn + c(4)*ammunition + c(5)*handgun</t>
  </si>
  <si>
    <t>MLR Statistics:</t>
  </si>
  <si>
    <t>Value</t>
  </si>
  <si>
    <t>R^2</t>
  </si>
  <si>
    <t>Sell-side est. have 0.90 R^2 over same period, 0.88 R^2 over all periods in BBG ERN</t>
  </si>
  <si>
    <t>Adj. R^2</t>
  </si>
  <si>
    <t>F-statistic</t>
  </si>
  <si>
    <t>S.E. of MLR</t>
  </si>
  <si>
    <t>Current period data</t>
  </si>
  <si>
    <t>Q3 '25 predicted swbi_revenue</t>
  </si>
  <si>
    <t>x</t>
  </si>
  <si>
    <t>Revenue Build</t>
  </si>
  <si>
    <t>2022 Q1 A</t>
  </si>
  <si>
    <t>2022 Q3 A</t>
  </si>
  <si>
    <t>2022 Q4 A</t>
  </si>
  <si>
    <t>2022 A</t>
  </si>
  <si>
    <t>2023 Q1 A</t>
  </si>
  <si>
    <t>2023 Q2 Q</t>
  </si>
  <si>
    <t>2023 Q3 A</t>
  </si>
  <si>
    <t>2023 Q4 A</t>
  </si>
  <si>
    <t>2023 A</t>
  </si>
  <si>
    <t>2024 Q1 A</t>
  </si>
  <si>
    <t>2024 Q2 A</t>
  </si>
  <si>
    <t>2024 Q3 A</t>
  </si>
  <si>
    <t>2024 Q4 A</t>
  </si>
  <si>
    <t>2024 A</t>
  </si>
  <si>
    <t>2025 Q1 A</t>
  </si>
  <si>
    <t>2025 Q2 A</t>
  </si>
  <si>
    <t>2025 Q3 E</t>
  </si>
  <si>
    <t>2025 Q4 E</t>
  </si>
  <si>
    <t>2025 E</t>
  </si>
  <si>
    <t>2026 E</t>
  </si>
  <si>
    <t>2027 E</t>
  </si>
  <si>
    <t>2028 E</t>
  </si>
  <si>
    <t>In $1,000s, unless otherwise stated</t>
  </si>
  <si>
    <t>Net sales</t>
  </si>
  <si>
    <t>Year-over-year growth</t>
  </si>
  <si>
    <t>Management Guidance</t>
  </si>
  <si>
    <t>Down 10% - 15%</t>
  </si>
  <si>
    <t>Down 5% - 10%</t>
  </si>
  <si>
    <t>Handgun sales</t>
  </si>
  <si>
    <t>Long gun sales</t>
  </si>
  <si>
    <t>Other products &amp; services sales</t>
  </si>
  <si>
    <t>% of handgun and long gun sales</t>
  </si>
  <si>
    <t>Bull</t>
  </si>
  <si>
    <t>10Y -1 Std. Dev.</t>
  </si>
  <si>
    <t>Base</t>
  </si>
  <si>
    <t>10Y Mean</t>
  </si>
  <si>
    <t>Bear</t>
  </si>
  <si>
    <t>10Y +1 Std. Dev.</t>
  </si>
  <si>
    <t>Handgun Segment:</t>
  </si>
  <si>
    <t>Unit volume (1,000s)</t>
  </si>
  <si>
    <t>SWBI gains share in handgun market</t>
  </si>
  <si>
    <t>SWBI loses share in handgun market</t>
  </si>
  <si>
    <t>Unit price ($)</t>
  </si>
  <si>
    <t>Q3 should be flat from Q2; H2 should be slightly up</t>
  </si>
  <si>
    <t>Note: ASP growth has matched inflation despite new entry-level product growth</t>
  </si>
  <si>
    <t>5-year real growth plus expected inflation</t>
  </si>
  <si>
    <t>5-year breakeven inflation rate as of 2.17.2025</t>
  </si>
  <si>
    <t>Long Gun Segment:</t>
  </si>
  <si>
    <t>Full 1854 build</t>
  </si>
  <si>
    <t>No 1854</t>
  </si>
  <si>
    <t>Q3 should be up a little from Q2; H2 should be slightly up</t>
  </si>
  <si>
    <t>Income Statement Assumptions</t>
  </si>
  <si>
    <t>In $1,000s, except per share data</t>
  </si>
  <si>
    <t>Gross profit</t>
  </si>
  <si>
    <t>Gross margin (gm)</t>
  </si>
  <si>
    <t>Commentary</t>
  </si>
  <si>
    <t>At or slightly below F24</t>
  </si>
  <si>
    <t>Management's gross margin target range is 32% to 42%</t>
  </si>
  <si>
    <t>Research and development</t>
  </si>
  <si>
    <t>% of Net sales</t>
  </si>
  <si>
    <t>Selling, marketing, and distribution</t>
  </si>
  <si>
    <t>General and administrative</t>
  </si>
  <si>
    <t>Total operating expenses</t>
  </si>
  <si>
    <t>Up 5% to 10%</t>
  </si>
  <si>
    <t>Total debt and finance leases, beginning</t>
  </si>
  <si>
    <t>Interest expense, net</t>
  </si>
  <si>
    <t>Effective interest rate</t>
  </si>
  <si>
    <t>Income from operations before income taxes</t>
  </si>
  <si>
    <t>Income tax expense</t>
  </si>
  <si>
    <t>Effective tax rate</t>
  </si>
  <si>
    <t>Balance Sheet Assumptions</t>
  </si>
  <si>
    <t>Cash Conversion Cycle:</t>
  </si>
  <si>
    <t>Days sales outstanding</t>
  </si>
  <si>
    <t>Days sales inventory</t>
  </si>
  <si>
    <t>Days payables outstanding</t>
  </si>
  <si>
    <t>Cash conversion cycle</t>
  </si>
  <si>
    <t>Other Working Capital</t>
  </si>
  <si>
    <t>Days prepaid expenses and other current assets</t>
  </si>
  <si>
    <t>Days accrued payroll and incentives</t>
  </si>
  <si>
    <t>Days accrued profit sharing</t>
  </si>
  <si>
    <t>Days accrued expenses and deferred revenue</t>
  </si>
  <si>
    <t>Days accrued waranty</t>
  </si>
  <si>
    <t>Cash Flow Statement Assumptions</t>
  </si>
  <si>
    <t>Property, plant, and equipment, net</t>
  </si>
  <si>
    <t>Depreciation and amortization</t>
  </si>
  <si>
    <t>% of beginning PP&amp;E</t>
  </si>
  <si>
    <t>Stock-based compensation expense</t>
  </si>
  <si>
    <t>% of total operating expenses</t>
  </si>
  <si>
    <t>Payments to acquire property and equipment</t>
  </si>
  <si>
    <t>Management expects to spend $25M to $30M on average</t>
  </si>
  <si>
    <t>Capital Allocation</t>
  </si>
  <si>
    <t>Cash flow from operating activities</t>
  </si>
  <si>
    <t>Cash flow from investing activities</t>
  </si>
  <si>
    <t>Dividend distribution</t>
  </si>
  <si>
    <t>Dividend per share</t>
  </si>
  <si>
    <t>Cash flow available post dividend</t>
  </si>
  <si>
    <t>Target debt repayment</t>
  </si>
  <si>
    <t>Payments on notes and loans payable</t>
  </si>
  <si>
    <t>Proceeds from loans and notes payable</t>
  </si>
  <si>
    <t>Cash flow available post debt repayment</t>
  </si>
  <si>
    <t>Payments to acquire treasury stock</t>
  </si>
  <si>
    <t>Cash paid for debt issuance costs</t>
  </si>
  <si>
    <t>Payments on finance lease obligation</t>
  </si>
  <si>
    <t>Payments to acquire common stock from employee stock purchase plan</t>
  </si>
  <si>
    <t>Payment of employee witholding tax related to restricted stock units</t>
  </si>
  <si>
    <t>Shares Outstanding Build</t>
  </si>
  <si>
    <t>Shares oustanding</t>
  </si>
  <si>
    <t>Weighted average share price</t>
  </si>
  <si>
    <t>Net shares issued</t>
  </si>
  <si>
    <t>Us vs Consensus</t>
  </si>
  <si>
    <t>BBG Consensus on 2.21.2025</t>
  </si>
  <si>
    <t>Gross margin</t>
  </si>
  <si>
    <t>EBITDA</t>
  </si>
  <si>
    <t>EBITDA margin</t>
  </si>
  <si>
    <t>Income Statement</t>
  </si>
  <si>
    <t>Cost of sales</t>
  </si>
  <si>
    <t>Operating expenses:</t>
  </si>
  <si>
    <t>Operating income</t>
  </si>
  <si>
    <t>Other (expense)/income, net:</t>
  </si>
  <si>
    <t>Other (expense)/income, net</t>
  </si>
  <si>
    <t>Total other expense, net</t>
  </si>
  <si>
    <t>Net income</t>
  </si>
  <si>
    <t>Balance Sheet</t>
  </si>
  <si>
    <t>Current assets:</t>
  </si>
  <si>
    <t>Cash and cash equivalents</t>
  </si>
  <si>
    <t>Accounts receivable, net of allowances for credit losses</t>
  </si>
  <si>
    <t>Inventories</t>
  </si>
  <si>
    <t>Prepaid expenses and other current assets</t>
  </si>
  <si>
    <t>Income tax receivable</t>
  </si>
  <si>
    <t>Total current assets</t>
  </si>
  <si>
    <t>Intangibles, net</t>
  </si>
  <si>
    <t>Goodwill</t>
  </si>
  <si>
    <t>Deferred income taxes</t>
  </si>
  <si>
    <t>Other assets</t>
  </si>
  <si>
    <t>Total assets</t>
  </si>
  <si>
    <t>Current liabilities:</t>
  </si>
  <si>
    <t>Accounts payable</t>
  </si>
  <si>
    <t>Accrued expenses and deferred revenue</t>
  </si>
  <si>
    <t>Accrued payroll and incentives</t>
  </si>
  <si>
    <t>Accrued income taxes</t>
  </si>
  <si>
    <t>Accrued profit sharing</t>
  </si>
  <si>
    <t>Accrued waranty</t>
  </si>
  <si>
    <t>Total current liabilities</t>
  </si>
  <si>
    <t>Notes and loans payable, net of current portion</t>
  </si>
  <si>
    <t>Finance lease payable, net of current portion</t>
  </si>
  <si>
    <t>Other non-current liabilities</t>
  </si>
  <si>
    <t>Total liabilities</t>
  </si>
  <si>
    <t>Stockholders' equity:</t>
  </si>
  <si>
    <t>Common stock, $0.001 par value</t>
  </si>
  <si>
    <t>Additional paid-in capital</t>
  </si>
  <si>
    <t>Retained earnings</t>
  </si>
  <si>
    <t>Accumulated other comprehensive income</t>
  </si>
  <si>
    <t>Treasury stock, at cost</t>
  </si>
  <si>
    <t>Total stockholders' equity</t>
  </si>
  <si>
    <t>Balance sheet check</t>
  </si>
  <si>
    <t>Cash Flow Statement</t>
  </si>
  <si>
    <t>Non-cash expenses:</t>
  </si>
  <si>
    <t>(Gain)/loss on sale/disposition of assets</t>
  </si>
  <si>
    <t>Provision for losses/(recoveries) on notes and accounts receivable</t>
  </si>
  <si>
    <t>Impairment of long-lived tangible assets</t>
  </si>
  <si>
    <t>Total non-cash expenses</t>
  </si>
  <si>
    <t>Change in working capital:</t>
  </si>
  <si>
    <t>Accounts receivable</t>
  </si>
  <si>
    <t>Income taxes</t>
  </si>
  <si>
    <t>Total change in working capital</t>
  </si>
  <si>
    <t>Payments to acquire patents and software</t>
  </si>
  <si>
    <t>Proceeds from sale of intangible assets</t>
  </si>
  <si>
    <t>Proceeds from sale of property and equipment</t>
  </si>
  <si>
    <t>Cash flow from financing activities</t>
  </si>
  <si>
    <t>Beginning cash and cash equivalents</t>
  </si>
  <si>
    <t>Net cash flow</t>
  </si>
  <si>
    <t>Ending cash and cash equivalents</t>
  </si>
  <si>
    <t>LTM A</t>
  </si>
  <si>
    <t>Growth</t>
  </si>
  <si>
    <t>Multiple</t>
  </si>
  <si>
    <t>Current RGR</t>
  </si>
  <si>
    <t>Current SWBI</t>
  </si>
  <si>
    <t>Enterprise value</t>
  </si>
  <si>
    <t>++ Cash</t>
  </si>
  <si>
    <t>-- Debt</t>
  </si>
  <si>
    <t>Equity value</t>
  </si>
  <si>
    <t>FDSO</t>
  </si>
  <si>
    <t>Price target</t>
  </si>
  <si>
    <t>Dividend earned</t>
  </si>
  <si>
    <t>TSR ($)</t>
  </si>
  <si>
    <t>Cost basis</t>
  </si>
  <si>
    <t>Purchase date</t>
  </si>
  <si>
    <t>Sell date</t>
  </si>
  <si>
    <t>TSR (%)</t>
  </si>
  <si>
    <t>IRR</t>
  </si>
  <si>
    <t>FCF</t>
  </si>
  <si>
    <t>Exit FCF Yield</t>
  </si>
  <si>
    <t>Return Driver</t>
  </si>
  <si>
    <t>Contribution</t>
  </si>
  <si>
    <t>Revenue Growth</t>
  </si>
  <si>
    <t>EBITDA Margin</t>
  </si>
  <si>
    <t>EBITDA Multiple</t>
  </si>
  <si>
    <t>Debt Repayment</t>
  </si>
  <si>
    <t>Share Repurchase</t>
  </si>
  <si>
    <t>Dividend</t>
  </si>
  <si>
    <t>Total Return</t>
  </si>
  <si>
    <t>Reported revenue</t>
  </si>
  <si>
    <t>Cumulative</t>
  </si>
  <si>
    <t>Beat</t>
  </si>
  <si>
    <t>Miss</t>
  </si>
  <si>
    <t>Year</t>
  </si>
  <si>
    <t>Net Sales (L)</t>
  </si>
  <si>
    <t>EBITDA Margin (R)</t>
  </si>
  <si>
    <t>EBIT</t>
  </si>
  <si>
    <t>Cash</t>
  </si>
  <si>
    <t>CA</t>
  </si>
  <si>
    <t>PP&amp;E</t>
  </si>
  <si>
    <t>CL</t>
  </si>
  <si>
    <t>FLP</t>
  </si>
  <si>
    <t>NFA</t>
  </si>
  <si>
    <t>NWC</t>
  </si>
  <si>
    <t>ROIC</t>
  </si>
  <si>
    <t>Net Income</t>
  </si>
  <si>
    <t>CFO</t>
  </si>
  <si>
    <t>D&amp;A</t>
  </si>
  <si>
    <t>SBC</t>
  </si>
  <si>
    <t>FCF/NI</t>
  </si>
  <si>
    <t>NI</t>
  </si>
  <si>
    <t>Revenue</t>
  </si>
  <si>
    <t>COGS</t>
  </si>
  <si>
    <t>AR</t>
  </si>
  <si>
    <t>Inv</t>
  </si>
  <si>
    <t>AP</t>
  </si>
  <si>
    <t>DIO</t>
  </si>
  <si>
    <t>DSO</t>
  </si>
  <si>
    <t>DPO</t>
  </si>
  <si>
    <t>CCC</t>
  </si>
  <si>
    <t>Purchases</t>
  </si>
  <si>
    <t>FY10</t>
  </si>
  <si>
    <t>FY11</t>
  </si>
  <si>
    <t>FY12</t>
  </si>
  <si>
    <t>FY13</t>
  </si>
  <si>
    <t>Sell-Side</t>
  </si>
  <si>
    <t>FY14</t>
  </si>
  <si>
    <t>Guidance</t>
  </si>
  <si>
    <t>FY15</t>
  </si>
  <si>
    <t>Our Model</t>
  </si>
  <si>
    <t>FY16</t>
  </si>
  <si>
    <t>Marlin</t>
  </si>
  <si>
    <t>FY17</t>
  </si>
  <si>
    <t>Henry</t>
  </si>
  <si>
    <t>FY18</t>
  </si>
  <si>
    <t>Smith &amp; Wesson</t>
  </si>
  <si>
    <t>ex-AOUT</t>
  </si>
  <si>
    <t>FY19</t>
  </si>
  <si>
    <t>FY20</t>
  </si>
  <si>
    <t>SWBI</t>
  </si>
  <si>
    <t>RGR</t>
  </si>
  <si>
    <t>FY21</t>
  </si>
  <si>
    <t>FY22</t>
  </si>
  <si>
    <t>FY23</t>
  </si>
  <si>
    <t>FY24</t>
  </si>
  <si>
    <t>LTM</t>
  </si>
  <si>
    <t>Return</t>
  </si>
  <si>
    <t>Risk</t>
  </si>
  <si>
    <t>Catalyst</t>
  </si>
  <si>
    <t>Quality</t>
  </si>
  <si>
    <t>long gun units</t>
  </si>
  <si>
    <t>1854 units</t>
  </si>
  <si>
    <t>long gun asps</t>
  </si>
  <si>
    <t>1854 ASP</t>
  </si>
  <si>
    <t>1854 revenue</t>
  </si>
  <si>
    <t>Long gun revenue</t>
  </si>
  <si>
    <t>total revenue</t>
  </si>
  <si>
    <t>% 1854 of rev</t>
  </si>
  <si>
    <t>Total revenue</t>
  </si>
  <si>
    <t>Model 1854 revenue</t>
  </si>
  <si>
    <t>R&amp;D</t>
  </si>
  <si>
    <t>% new</t>
  </si>
  <si>
    <t>New Sales</t>
  </si>
  <si>
    <t>Ratio</t>
  </si>
  <si>
    <t>New Product Sales</t>
  </si>
  <si>
    <t>Buyback</t>
  </si>
  <si>
    <t>F20</t>
  </si>
  <si>
    <t>F21</t>
  </si>
  <si>
    <t>F22</t>
  </si>
  <si>
    <t>Sales</t>
  </si>
  <si>
    <t>%</t>
  </si>
  <si>
    <t>New</t>
  </si>
  <si>
    <t>F23</t>
  </si>
  <si>
    <t>Old</t>
  </si>
  <si>
    <t>F24</t>
  </si>
  <si>
    <t>Cummulative %</t>
  </si>
  <si>
    <t>Total</t>
  </si>
  <si>
    <t>RGR Sum</t>
  </si>
  <si>
    <t>SWBI Sum</t>
  </si>
  <si>
    <t>SWBI 5Y Cumulative Return Breakdown</t>
  </si>
  <si>
    <t>RGR 5Y Cumulative Return Breakdown</t>
  </si>
  <si>
    <t>Bear Case</t>
  </si>
  <si>
    <t>Copy Here</t>
  </si>
  <si>
    <t>F28 Bear Case</t>
  </si>
  <si>
    <t>F28 Base Case</t>
  </si>
  <si>
    <t>F28 Bull Case</t>
  </si>
  <si>
    <t>F28 EBITDA</t>
  </si>
  <si>
    <t>Exit Multiple</t>
  </si>
  <si>
    <t>Margin</t>
  </si>
  <si>
    <t>TSR</t>
  </si>
  <si>
    <t>Base Case</t>
  </si>
  <si>
    <t>Bull Case</t>
  </si>
  <si>
    <t>Handgun</t>
  </si>
  <si>
    <t>Long Gun</t>
  </si>
  <si>
    <t>Other</t>
  </si>
  <si>
    <t>F25 E</t>
  </si>
  <si>
    <t>F26 E</t>
  </si>
  <si>
    <t>F27 E</t>
  </si>
  <si>
    <t>F28 E</t>
  </si>
  <si>
    <t>EV</t>
  </si>
  <si>
    <t>EV/EBITDA</t>
  </si>
  <si>
    <t>EV/Sales</t>
  </si>
  <si>
    <t>F15</t>
  </si>
  <si>
    <t>F16</t>
  </si>
  <si>
    <t>F17</t>
  </si>
  <si>
    <t>F18</t>
  </si>
  <si>
    <t>F19</t>
  </si>
  <si>
    <t>Jonathon Wells</t>
  </si>
  <si>
    <t>Senior Analyst: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</si>
</sst>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43" formatCode="_(* #,##0.00_);_(* \(#,##0.00\);_(* &quot;-&quot;??_);_(@_)"/>
    <numFmt numFmtId="164" formatCode="_([$$-409]* #,##0.00_);_([$$-409]* \(#,##0.00\);_([$$-409]* &quot;-&quot;??_);_(@_)"/>
    <numFmt numFmtId="165" formatCode="_(* #,##0_);_(* \(#,##0\);_(* &quot;-&quot;??_);_(@_)"/>
    <numFmt numFmtId="166" formatCode="0.0%"/>
    <numFmt numFmtId="167" formatCode="_(* #,##0_);_(* \(#,##0\);_(* &quot;-&quot;?_);_(@_)"/>
    <numFmt numFmtId="168" formatCode="_(* #,##0.0_);_(* \(#,##0.0\);_(* &quot;-&quot;??_);_(@_)"/>
    <numFmt numFmtId="169" formatCode="0.000"/>
    <numFmt numFmtId="170" formatCode="0.0"/>
    <numFmt numFmtId="171" formatCode="#,##0.0000"/>
    <numFmt numFmtId="172" formatCode="0.0000"/>
    <numFmt numFmtId="173" formatCode="&quot;$&quot;#,##0.00"/>
    <numFmt numFmtId="174" formatCode="#,##0.000_);\(#,##0.000\)"/>
    <numFmt numFmtId="175" formatCode="_(* #,##0.0_);_(* \(#,##0.0\);_(* &quot;-&quot;?_);_(@_)"/>
    <numFmt numFmtId="176" formatCode="&quot;$&quot;#,##0"/>
  </numFmts>
  <fonts count="33" x14ac:knownFonts="1">
    <font>
      <sz val="11"/>
      <color theme="1"/>
      <name val="Aptos Narrow"/>
      <family val="2"/>
      <scheme val="minor"/>
    </font>
    <font>
      <sz val="11"/>
      <color rgb="FFFF0000"/>
      <name val="Aptos Narrow"/>
      <family val="2"/>
      <scheme val="minor"/>
    </font>
    <font>
      <b/>
      <sz val="20"/>
      <color theme="1"/>
      <name val="Calibri"/>
      <family val="2"/>
    </font>
    <font>
      <i/>
      <sz val="11"/>
      <color theme="1"/>
      <name val="Calibri"/>
      <family val="2"/>
    </font>
    <font>
      <b/>
      <sz val="11"/>
      <color rgb="FFFF0000"/>
      <name val="Calibri"/>
      <family val="2"/>
    </font>
    <font>
      <b/>
      <sz val="11"/>
      <color theme="1"/>
      <name val="Calibri"/>
      <family val="2"/>
    </font>
    <font>
      <sz val="11"/>
      <color rgb="FFFF0000"/>
      <name val="Calibri"/>
      <family val="2"/>
    </font>
    <font>
      <b/>
      <sz val="11"/>
      <color theme="1"/>
      <name val="Aptos Narrow"/>
      <family val="2"/>
      <scheme val="minor"/>
    </font>
    <font>
      <b/>
      <sz val="11"/>
      <color theme="0"/>
      <name val="Aptos Narrow"/>
      <family val="2"/>
      <scheme val="minor"/>
    </font>
    <font>
      <sz val="11"/>
      <color theme="0"/>
      <name val="Aptos Narrow"/>
      <family val="2"/>
      <scheme val="minor"/>
    </font>
    <font>
      <sz val="11"/>
      <color rgb="FF0070C0"/>
      <name val="Aptos Narrow"/>
      <family val="2"/>
      <scheme val="minor"/>
    </font>
    <font>
      <sz val="11"/>
      <color rgb="FF00B050"/>
      <name val="Aptos Narrow"/>
      <family val="2"/>
      <scheme val="minor"/>
    </font>
    <font>
      <b/>
      <sz val="11"/>
      <color rgb="FF0070C0"/>
      <name val="Aptos Narrow"/>
      <family val="2"/>
      <scheme val="minor"/>
    </font>
    <font>
      <u/>
      <sz val="11"/>
      <color theme="1"/>
      <name val="Aptos Narrow"/>
      <family val="2"/>
      <scheme val="minor"/>
    </font>
    <font>
      <i/>
      <sz val="11"/>
      <color theme="1"/>
      <name val="Aptos Narrow"/>
      <family val="2"/>
      <scheme val="minor"/>
    </font>
    <font>
      <sz val="11"/>
      <color rgb="FF000000"/>
      <name val="Aptos Narrow"/>
      <family val="2"/>
      <scheme val="minor"/>
    </font>
    <font>
      <sz val="11"/>
      <color theme="1" tint="4.9989318521683403E-2"/>
      <name val="Aptos Narrow"/>
      <family val="2"/>
      <scheme val="minor"/>
    </font>
    <font>
      <b/>
      <sz val="11"/>
      <color rgb="FFFF0000"/>
      <name val="Aptos Narrow"/>
      <family val="2"/>
      <scheme val="minor"/>
    </font>
    <font>
      <b/>
      <sz val="11"/>
      <color rgb="FF00B050"/>
      <name val="Aptos Narrow"/>
      <family val="2"/>
      <scheme val="minor"/>
    </font>
    <font>
      <b/>
      <sz val="11"/>
      <color rgb="FF000000"/>
      <name val="Aptos Narrow"/>
      <family val="2"/>
      <scheme val="minor"/>
    </font>
    <font>
      <sz val="11"/>
      <color theme="1"/>
      <name val="Aptos Narrow"/>
      <family val="2"/>
      <scheme val="minor"/>
    </font>
    <font>
      <sz val="12"/>
      <color theme="1"/>
      <name val="Aptos Narrow"/>
      <family val="2"/>
      <scheme val="minor"/>
    </font>
    <font>
      <i/>
      <sz val="12"/>
      <color theme="1"/>
      <name val="Aptos Narrow"/>
      <family val="2"/>
      <scheme val="minor"/>
    </font>
    <font>
      <u/>
      <sz val="12"/>
      <color theme="1"/>
      <name val="Aptos Narrow"/>
      <family val="2"/>
      <scheme val="minor"/>
    </font>
    <font>
      <b/>
      <sz val="12"/>
      <color theme="1"/>
      <name val="Aptos Narrow"/>
      <family val="2"/>
      <scheme val="minor"/>
    </font>
    <font>
      <sz val="10"/>
      <color theme="1"/>
      <name val="Aptos Narrow"/>
      <family val="2"/>
      <scheme val="minor"/>
    </font>
    <font>
      <b/>
      <sz val="10"/>
      <color theme="1"/>
      <name val="Aptos Narrow"/>
      <family val="2"/>
      <scheme val="minor"/>
    </font>
    <font>
      <b/>
      <sz val="10"/>
      <color theme="0"/>
      <name val="Aptos Narrow"/>
      <family val="2"/>
      <scheme val="minor"/>
    </font>
    <font>
      <b/>
      <sz val="10"/>
      <color theme="0"/>
      <name val="Garamond"/>
    </font>
    <font>
      <sz val="11"/>
      <color theme="1"/>
      <name val="Garamond"/>
    </font>
    <font>
      <sz val="10"/>
      <color theme="1"/>
      <name val="Garamond"/>
    </font>
    <font>
      <b/>
      <sz val="10"/>
      <color theme="1"/>
      <name val="Garamond"/>
    </font>
    <font>
      <b/>
      <sz val="11"/>
      <color theme="1"/>
      <name val="Garamond"/>
    </font>
  </fonts>
  <fills count="9">
    <fill>
      <patternFill patternType="none"/>
    </fill>
    <fill>
      <patternFill patternType="gray125"/>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rgb="FF0070C0"/>
        <bgColor indexed="64"/>
      </patternFill>
    </fill>
    <fill>
      <patternFill patternType="solid">
        <fgColor rgb="FF002060"/>
        <bgColor indexed="64"/>
      </patternFill>
    </fill>
    <fill>
      <patternFill patternType="solid">
        <fgColor rgb="FFFFFF00"/>
        <bgColor indexed="64"/>
      </patternFill>
    </fill>
    <fill>
      <patternFill patternType="solid">
        <fgColor rgb="FF275185"/>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rgb="FF000000"/>
      </top>
      <bottom/>
      <diagonal/>
    </border>
    <border>
      <left style="medium">
        <color rgb="FF000000"/>
      </left>
      <right style="thin">
        <color rgb="FF000000"/>
      </right>
      <top style="medium">
        <color rgb="FF000000"/>
      </top>
      <bottom/>
      <diagonal/>
    </border>
    <border>
      <left/>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diagonal/>
    </border>
    <border>
      <left/>
      <right style="medium">
        <color rgb="FF000000"/>
      </right>
      <top/>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medium">
        <color rgb="FF000000"/>
      </top>
      <bottom/>
      <diagonal/>
    </border>
    <border>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style="thin">
        <color indexed="64"/>
      </right>
      <top style="thin">
        <color indexed="64"/>
      </top>
      <bottom/>
      <diagonal/>
    </border>
    <border>
      <left style="thin">
        <color indexed="64"/>
      </left>
      <right/>
      <top/>
      <bottom style="thin">
        <color indexed="64"/>
      </bottom>
      <diagonal/>
    </border>
  </borders>
  <cellStyleXfs count="3">
    <xf numFmtId="0" fontId="0" fillId="0" borderId="0"/>
    <xf numFmtId="43" fontId="20" fillId="0" borderId="0" applyFont="0" applyFill="0" applyBorder="0" applyAlignment="0" applyProtection="0"/>
    <xf numFmtId="9" fontId="20" fillId="0" borderId="0" applyFont="0" applyFill="0" applyBorder="0" applyAlignment="0" applyProtection="0"/>
  </cellStyleXfs>
  <cellXfs count="257">
    <xf numFmtId="0" fontId="0" fillId="0" borderId="0" xfId="0"/>
    <xf numFmtId="0" fontId="1" fillId="0" borderId="0" xfId="0" applyFont="1"/>
    <xf numFmtId="0" fontId="0" fillId="2" borderId="1" xfId="0" applyFill="1" applyBorder="1"/>
    <xf numFmtId="0" fontId="2" fillId="2" borderId="2" xfId="0" applyFont="1" applyFill="1" applyBorder="1"/>
    <xf numFmtId="0" fontId="0" fillId="2" borderId="2" xfId="0" applyFill="1" applyBorder="1"/>
    <xf numFmtId="0" fontId="0" fillId="3" borderId="3" xfId="0" applyFill="1" applyBorder="1"/>
    <xf numFmtId="0" fontId="0" fillId="2" borderId="4" xfId="0" applyFill="1" applyBorder="1"/>
    <xf numFmtId="0" fontId="0" fillId="2" borderId="0" xfId="0" applyFill="1"/>
    <xf numFmtId="0" fontId="0" fillId="3" borderId="5" xfId="0" applyFill="1" applyBorder="1"/>
    <xf numFmtId="0" fontId="3" fillId="2" borderId="0" xfId="0" applyFont="1" applyFill="1"/>
    <xf numFmtId="0" fontId="3" fillId="2" borderId="0" xfId="0" applyFont="1" applyFill="1" applyAlignment="1">
      <alignment horizontal="left"/>
    </xf>
    <xf numFmtId="0" fontId="0" fillId="2" borderId="6" xfId="0" applyFill="1" applyBorder="1"/>
    <xf numFmtId="0" fontId="0" fillId="2" borderId="7" xfId="0" applyFill="1" applyBorder="1"/>
    <xf numFmtId="0" fontId="4" fillId="2" borderId="7" xfId="0" applyFont="1" applyFill="1" applyBorder="1" applyAlignment="1">
      <alignment horizontal="right"/>
    </xf>
    <xf numFmtId="0" fontId="0" fillId="3" borderId="8" xfId="0" applyFill="1" applyBorder="1"/>
    <xf numFmtId="0" fontId="4" fillId="2" borderId="2" xfId="0" applyFont="1" applyFill="1" applyBorder="1" applyAlignment="1">
      <alignment horizontal="right"/>
    </xf>
    <xf numFmtId="0" fontId="0" fillId="2" borderId="3" xfId="0" applyFill="1" applyBorder="1"/>
    <xf numFmtId="0" fontId="5" fillId="2" borderId="9" xfId="0" applyFont="1" applyFill="1" applyBorder="1"/>
    <xf numFmtId="0" fontId="4" fillId="2" borderId="9" xfId="0" applyFont="1" applyFill="1" applyBorder="1" applyAlignment="1">
      <alignment horizontal="right"/>
    </xf>
    <xf numFmtId="0" fontId="0" fillId="2" borderId="5" xfId="0" applyFill="1" applyBorder="1"/>
    <xf numFmtId="0" fontId="5" fillId="2" borderId="0" xfId="0" applyFont="1" applyFill="1"/>
    <xf numFmtId="0" fontId="4" fillId="2" borderId="0" xfId="0" applyFont="1" applyFill="1" applyAlignment="1">
      <alignment horizontal="right"/>
    </xf>
    <xf numFmtId="0" fontId="0" fillId="2" borderId="0" xfId="0" applyFill="1" applyAlignment="1">
      <alignment horizontal="left" indent="1"/>
    </xf>
    <xf numFmtId="0" fontId="0" fillId="4" borderId="10" xfId="0" applyFill="1" applyBorder="1" applyAlignment="1">
      <alignment horizontal="right"/>
    </xf>
    <xf numFmtId="0" fontId="6" fillId="0" borderId="0" xfId="0" applyFont="1"/>
    <xf numFmtId="0" fontId="0" fillId="4" borderId="11" xfId="0" applyFill="1" applyBorder="1" applyAlignment="1">
      <alignment horizontal="right"/>
    </xf>
    <xf numFmtId="164" fontId="0" fillId="4" borderId="11" xfId="0" applyNumberFormat="1" applyFill="1" applyBorder="1" applyAlignment="1">
      <alignment horizontal="right"/>
    </xf>
    <xf numFmtId="0" fontId="0" fillId="2" borderId="8" xfId="0" applyFill="1" applyBorder="1"/>
    <xf numFmtId="0" fontId="0" fillId="0" borderId="0" xfId="0" applyAlignment="1">
      <alignment horizontal="right"/>
    </xf>
    <xf numFmtId="0" fontId="0" fillId="0" borderId="0" xfId="0" applyAlignment="1">
      <alignment horizontal="left"/>
    </xf>
    <xf numFmtId="0" fontId="8" fillId="5" borderId="0" xfId="0" applyFont="1" applyFill="1" applyAlignment="1">
      <alignment horizontal="right"/>
    </xf>
    <xf numFmtId="14" fontId="9" fillId="5" borderId="0" xfId="0" applyNumberFormat="1" applyFont="1" applyFill="1" applyAlignment="1">
      <alignment horizontal="right"/>
    </xf>
    <xf numFmtId="0" fontId="8" fillId="6" borderId="0" xfId="0" applyFont="1" applyFill="1" applyAlignment="1">
      <alignment horizontal="left"/>
    </xf>
    <xf numFmtId="0" fontId="8" fillId="6" borderId="0" xfId="0" applyFont="1" applyFill="1" applyAlignment="1">
      <alignment horizontal="right"/>
    </xf>
    <xf numFmtId="0" fontId="9" fillId="6" borderId="0" xfId="0" applyFont="1" applyFill="1" applyAlignment="1">
      <alignment horizontal="left"/>
    </xf>
    <xf numFmtId="14" fontId="9" fillId="6" borderId="0" xfId="0" applyNumberFormat="1" applyFont="1" applyFill="1" applyAlignment="1">
      <alignment horizontal="right"/>
    </xf>
    <xf numFmtId="0" fontId="0" fillId="0" borderId="0" xfId="0" applyAlignment="1">
      <alignment horizontal="left" indent="1"/>
    </xf>
    <xf numFmtId="0" fontId="0" fillId="0" borderId="0" xfId="0" applyAlignment="1">
      <alignment horizontal="left" indent="2"/>
    </xf>
    <xf numFmtId="0" fontId="0" fillId="0" borderId="12" xfId="0" applyBorder="1"/>
    <xf numFmtId="0" fontId="0" fillId="0" borderId="12" xfId="0" applyBorder="1" applyAlignment="1">
      <alignment horizontal="left" indent="2"/>
    </xf>
    <xf numFmtId="165" fontId="0" fillId="0" borderId="0" xfId="0" applyNumberFormat="1"/>
    <xf numFmtId="165" fontId="0" fillId="0" borderId="12" xfId="0" applyNumberFormat="1" applyBorder="1"/>
    <xf numFmtId="165" fontId="10" fillId="0" borderId="0" xfId="0" applyNumberFormat="1" applyFont="1"/>
    <xf numFmtId="165" fontId="11" fillId="0" borderId="0" xfId="0" applyNumberFormat="1" applyFont="1"/>
    <xf numFmtId="0" fontId="0" fillId="4" borderId="0" xfId="0" applyFill="1" applyAlignment="1">
      <alignment horizontal="left" indent="2"/>
    </xf>
    <xf numFmtId="166" fontId="0" fillId="0" borderId="0" xfId="0" applyNumberFormat="1"/>
    <xf numFmtId="0" fontId="7" fillId="0" borderId="0" xfId="0" applyFont="1"/>
    <xf numFmtId="165" fontId="12" fillId="0" borderId="0" xfId="0" applyNumberFormat="1" applyFont="1"/>
    <xf numFmtId="165" fontId="7" fillId="0" borderId="0" xfId="0" applyNumberFormat="1" applyFont="1"/>
    <xf numFmtId="166" fontId="0" fillId="0" borderId="0" xfId="0" applyNumberFormat="1" applyAlignment="1">
      <alignment horizontal="right"/>
    </xf>
    <xf numFmtId="166" fontId="8" fillId="5" borderId="13" xfId="0" applyNumberFormat="1" applyFont="1" applyFill="1" applyBorder="1" applyAlignment="1">
      <alignment horizontal="center"/>
    </xf>
    <xf numFmtId="166" fontId="0" fillId="0" borderId="18" xfId="0" applyNumberFormat="1" applyBorder="1" applyAlignment="1">
      <alignment horizontal="center"/>
    </xf>
    <xf numFmtId="166" fontId="0" fillId="0" borderId="21" xfId="0" applyNumberFormat="1" applyBorder="1" applyAlignment="1">
      <alignment horizontal="center"/>
    </xf>
    <xf numFmtId="0" fontId="8" fillId="5" borderId="22" xfId="0" applyFont="1" applyFill="1" applyBorder="1" applyAlignment="1">
      <alignment horizontal="right"/>
    </xf>
    <xf numFmtId="0" fontId="8" fillId="5" borderId="23" xfId="0" applyFont="1" applyFill="1" applyBorder="1" applyAlignment="1">
      <alignment horizontal="right"/>
    </xf>
    <xf numFmtId="0" fontId="8" fillId="5" borderId="22" xfId="0" applyFont="1" applyFill="1" applyBorder="1" applyAlignment="1">
      <alignment horizontal="center"/>
    </xf>
    <xf numFmtId="0" fontId="0" fillId="0" borderId="22" xfId="0" applyBorder="1" applyAlignment="1">
      <alignment horizontal="center"/>
    </xf>
    <xf numFmtId="0" fontId="0" fillId="0" borderId="24" xfId="0" applyBorder="1" applyAlignment="1">
      <alignment horizontal="center"/>
    </xf>
    <xf numFmtId="0" fontId="13" fillId="0" borderId="0" xfId="0" applyFont="1" applyAlignment="1">
      <alignment horizontal="center"/>
    </xf>
    <xf numFmtId="166" fontId="0" fillId="4" borderId="0" xfId="0" applyNumberFormat="1" applyFill="1"/>
    <xf numFmtId="165" fontId="11" fillId="0" borderId="12" xfId="0" applyNumberFormat="1" applyFont="1" applyBorder="1"/>
    <xf numFmtId="165" fontId="16" fillId="0" borderId="0" xfId="0" applyNumberFormat="1" applyFont="1"/>
    <xf numFmtId="165" fontId="15" fillId="0" borderId="0" xfId="0" applyNumberFormat="1" applyFont="1"/>
    <xf numFmtId="0" fontId="17" fillId="0" borderId="0" xfId="0" applyFont="1"/>
    <xf numFmtId="168" fontId="0" fillId="0" borderId="0" xfId="0" applyNumberFormat="1"/>
    <xf numFmtId="0" fontId="0" fillId="0" borderId="0" xfId="0" quotePrefix="1" applyAlignment="1">
      <alignment horizontal="left" indent="1"/>
    </xf>
    <xf numFmtId="0" fontId="14" fillId="0" borderId="0" xfId="0" applyFont="1" applyAlignment="1">
      <alignment horizontal="left" indent="1"/>
    </xf>
    <xf numFmtId="166" fontId="14" fillId="0" borderId="0" xfId="0" applyNumberFormat="1" applyFont="1"/>
    <xf numFmtId="168" fontId="0" fillId="4" borderId="0" xfId="0" applyNumberFormat="1" applyFill="1"/>
    <xf numFmtId="0" fontId="0" fillId="0" borderId="12" xfId="0" applyBorder="1" applyAlignment="1">
      <alignment horizontal="left" indent="1"/>
    </xf>
    <xf numFmtId="43" fontId="0" fillId="0" borderId="0" xfId="0" applyNumberFormat="1" applyAlignment="1">
      <alignment horizontal="right"/>
    </xf>
    <xf numFmtId="165" fontId="0" fillId="0" borderId="0" xfId="0" applyNumberFormat="1" applyAlignment="1">
      <alignment horizontal="right"/>
    </xf>
    <xf numFmtId="170" fontId="0" fillId="0" borderId="0" xfId="0" applyNumberFormat="1" applyAlignment="1">
      <alignment horizontal="center"/>
    </xf>
    <xf numFmtId="166" fontId="7" fillId="0" borderId="0" xfId="0" applyNumberFormat="1" applyFont="1" applyAlignment="1">
      <alignment horizontal="center"/>
    </xf>
    <xf numFmtId="2" fontId="10" fillId="0" borderId="0" xfId="0" applyNumberFormat="1" applyFont="1" applyAlignment="1">
      <alignment horizontal="center"/>
    </xf>
    <xf numFmtId="166" fontId="7" fillId="0" borderId="18" xfId="0" applyNumberFormat="1" applyFont="1" applyBorder="1" applyAlignment="1">
      <alignment horizontal="center"/>
    </xf>
    <xf numFmtId="166" fontId="7" fillId="0" borderId="17" xfId="0" applyNumberFormat="1" applyFont="1" applyBorder="1" applyAlignment="1">
      <alignment horizontal="center"/>
    </xf>
    <xf numFmtId="166" fontId="7" fillId="0" borderId="26" xfId="0" applyNumberFormat="1" applyFont="1" applyBorder="1" applyAlignment="1">
      <alignment horizontal="center"/>
    </xf>
    <xf numFmtId="2" fontId="10" fillId="0" borderId="26" xfId="0" applyNumberFormat="1" applyFont="1" applyBorder="1" applyAlignment="1">
      <alignment horizontal="center"/>
    </xf>
    <xf numFmtId="2" fontId="0" fillId="4" borderId="28" xfId="0" applyNumberFormat="1" applyFill="1" applyBorder="1" applyAlignment="1">
      <alignment horizontal="center"/>
    </xf>
    <xf numFmtId="3" fontId="10" fillId="0" borderId="17" xfId="0" applyNumberFormat="1" applyFont="1" applyBorder="1" applyAlignment="1">
      <alignment horizontal="center"/>
    </xf>
    <xf numFmtId="3" fontId="10" fillId="0" borderId="19" xfId="0" applyNumberFormat="1" applyFont="1" applyBorder="1" applyAlignment="1">
      <alignment horizontal="center"/>
    </xf>
    <xf numFmtId="3" fontId="0" fillId="0" borderId="0" xfId="0" applyNumberFormat="1" applyAlignment="1">
      <alignment horizontal="center"/>
    </xf>
    <xf numFmtId="3" fontId="0" fillId="0" borderId="20" xfId="0" applyNumberFormat="1" applyBorder="1" applyAlignment="1">
      <alignment horizontal="center"/>
    </xf>
    <xf numFmtId="3" fontId="0" fillId="0" borderId="29" xfId="0" applyNumberFormat="1" applyBorder="1" applyAlignment="1">
      <alignment horizontal="center"/>
    </xf>
    <xf numFmtId="3" fontId="0" fillId="0" borderId="22" xfId="0" applyNumberFormat="1" applyBorder="1" applyAlignment="1">
      <alignment horizontal="center"/>
    </xf>
    <xf numFmtId="166" fontId="17" fillId="0" borderId="0" xfId="0" applyNumberFormat="1" applyFont="1" applyAlignment="1">
      <alignment horizontal="right"/>
    </xf>
    <xf numFmtId="166" fontId="17" fillId="0" borderId="0" xfId="0" applyNumberFormat="1" applyFont="1" applyAlignment="1">
      <alignment horizontal="left"/>
    </xf>
    <xf numFmtId="3" fontId="10" fillId="0" borderId="0" xfId="0" applyNumberFormat="1" applyFont="1" applyAlignment="1">
      <alignment horizontal="center"/>
    </xf>
    <xf numFmtId="3" fontId="0" fillId="4" borderId="27" xfId="0" applyNumberFormat="1" applyFill="1" applyBorder="1" applyAlignment="1">
      <alignment horizontal="center"/>
    </xf>
    <xf numFmtId="171" fontId="0" fillId="0" borderId="22" xfId="0" applyNumberFormat="1" applyBorder="1" applyAlignment="1">
      <alignment horizontal="center"/>
    </xf>
    <xf numFmtId="172" fontId="0" fillId="0" borderId="22" xfId="0" applyNumberFormat="1" applyBorder="1" applyAlignment="1">
      <alignment horizontal="center"/>
    </xf>
    <xf numFmtId="169" fontId="0" fillId="0" borderId="22" xfId="0" applyNumberFormat="1" applyBorder="1" applyAlignment="1">
      <alignment horizontal="center"/>
    </xf>
    <xf numFmtId="173" fontId="0" fillId="0" borderId="0" xfId="0" applyNumberFormat="1" applyAlignment="1">
      <alignment horizontal="right"/>
    </xf>
    <xf numFmtId="173" fontId="0" fillId="0" borderId="0" xfId="0" applyNumberFormat="1"/>
    <xf numFmtId="165" fontId="18" fillId="0" borderId="0" xfId="0" applyNumberFormat="1" applyFont="1"/>
    <xf numFmtId="167" fontId="19" fillId="0" borderId="0" xfId="0" applyNumberFormat="1" applyFont="1"/>
    <xf numFmtId="0" fontId="13" fillId="0" borderId="0" xfId="0" applyFont="1"/>
    <xf numFmtId="0" fontId="0" fillId="4" borderId="0" xfId="0" applyFill="1" applyAlignment="1">
      <alignment horizontal="left" indent="3"/>
    </xf>
    <xf numFmtId="165" fontId="0" fillId="0" borderId="0" xfId="1" applyNumberFormat="1" applyFont="1"/>
    <xf numFmtId="165" fontId="11" fillId="0" borderId="0" xfId="1" applyNumberFormat="1" applyFont="1"/>
    <xf numFmtId="166" fontId="0" fillId="0" borderId="0" xfId="2" applyNumberFormat="1" applyFont="1"/>
    <xf numFmtId="0" fontId="17" fillId="0" borderId="0" xfId="0" applyFont="1" applyAlignment="1">
      <alignment horizontal="right"/>
    </xf>
    <xf numFmtId="0" fontId="17" fillId="0" borderId="0" xfId="0" applyFont="1" applyAlignment="1">
      <alignment horizontal="left" indent="1"/>
    </xf>
    <xf numFmtId="9" fontId="0" fillId="0" borderId="0" xfId="0" applyNumberFormat="1"/>
    <xf numFmtId="0" fontId="17" fillId="0" borderId="0" xfId="0" applyFont="1" applyAlignment="1">
      <alignment horizontal="center"/>
    </xf>
    <xf numFmtId="0" fontId="17" fillId="0" borderId="0" xfId="0" applyFont="1" applyAlignment="1">
      <alignment horizontal="left"/>
    </xf>
    <xf numFmtId="9" fontId="0" fillId="0" borderId="0" xfId="0" applyNumberFormat="1" applyAlignment="1">
      <alignment horizontal="right"/>
    </xf>
    <xf numFmtId="173" fontId="0" fillId="0" borderId="0" xfId="0" applyNumberFormat="1" applyAlignment="1">
      <alignment horizontal="center"/>
    </xf>
    <xf numFmtId="172" fontId="0" fillId="0" borderId="0" xfId="0" applyNumberFormat="1" applyAlignment="1">
      <alignment horizontal="center"/>
    </xf>
    <xf numFmtId="173" fontId="13" fillId="0" borderId="0" xfId="0" applyNumberFormat="1" applyFont="1" applyAlignment="1">
      <alignment horizontal="center"/>
    </xf>
    <xf numFmtId="43" fontId="0" fillId="0" borderId="0" xfId="0" applyNumberFormat="1"/>
    <xf numFmtId="168" fontId="0" fillId="0" borderId="12" xfId="0" applyNumberFormat="1" applyBorder="1"/>
    <xf numFmtId="165" fontId="0" fillId="4" borderId="0" xfId="0" applyNumberFormat="1" applyFill="1"/>
    <xf numFmtId="0" fontId="7" fillId="0" borderId="12" xfId="0" applyFont="1" applyBorder="1"/>
    <xf numFmtId="0" fontId="22" fillId="0" borderId="0" xfId="0" applyFont="1" applyAlignment="1">
      <alignment horizontal="right"/>
    </xf>
    <xf numFmtId="0" fontId="8" fillId="5" borderId="38" xfId="0" applyFont="1" applyFill="1" applyBorder="1"/>
    <xf numFmtId="0" fontId="8" fillId="5" borderId="39" xfId="0" applyFont="1" applyFill="1" applyBorder="1"/>
    <xf numFmtId="0" fontId="21" fillId="0" borderId="0" xfId="0" applyFont="1"/>
    <xf numFmtId="0" fontId="0" fillId="0" borderId="30" xfId="0" applyBorder="1"/>
    <xf numFmtId="0" fontId="0" fillId="0" borderId="35" xfId="0" applyBorder="1"/>
    <xf numFmtId="0" fontId="0" fillId="0" borderId="32" xfId="0" applyBorder="1"/>
    <xf numFmtId="0" fontId="0" fillId="0" borderId="36" xfId="0" applyBorder="1"/>
    <xf numFmtId="0" fontId="0" fillId="0" borderId="41" xfId="0" applyBorder="1"/>
    <xf numFmtId="0" fontId="0" fillId="0" borderId="37" xfId="0" applyBorder="1"/>
    <xf numFmtId="0" fontId="8" fillId="5" borderId="39" xfId="0" applyFont="1" applyFill="1" applyBorder="1" applyAlignment="1">
      <alignment horizontal="center"/>
    </xf>
    <xf numFmtId="0" fontId="8" fillId="5" borderId="40" xfId="0" applyFont="1" applyFill="1" applyBorder="1" applyAlignment="1">
      <alignment horizontal="center"/>
    </xf>
    <xf numFmtId="0" fontId="23" fillId="0" borderId="0" xfId="0" applyFont="1"/>
    <xf numFmtId="0" fontId="21" fillId="0" borderId="0" xfId="0" applyFont="1" applyAlignment="1">
      <alignment horizontal="left"/>
    </xf>
    <xf numFmtId="0" fontId="21" fillId="0" borderId="12" xfId="0" applyFont="1" applyBorder="1"/>
    <xf numFmtId="10" fontId="21" fillId="0" borderId="0" xfId="0" applyNumberFormat="1" applyFont="1"/>
    <xf numFmtId="37" fontId="21" fillId="0" borderId="0" xfId="0" applyNumberFormat="1" applyFont="1"/>
    <xf numFmtId="174" fontId="0" fillId="0" borderId="0" xfId="0" applyNumberFormat="1"/>
    <xf numFmtId="170" fontId="0" fillId="0" borderId="31" xfId="0" applyNumberFormat="1" applyBorder="1" applyAlignment="1">
      <alignment horizontal="center"/>
    </xf>
    <xf numFmtId="170" fontId="0" fillId="0" borderId="9" xfId="0" applyNumberFormat="1" applyBorder="1" applyAlignment="1">
      <alignment horizontal="center"/>
    </xf>
    <xf numFmtId="170" fontId="0" fillId="0" borderId="36" xfId="0" applyNumberFormat="1" applyBorder="1" applyAlignment="1">
      <alignment horizontal="center"/>
    </xf>
    <xf numFmtId="170" fontId="0" fillId="0" borderId="37" xfId="0" applyNumberFormat="1" applyBorder="1" applyAlignment="1">
      <alignment horizontal="center"/>
    </xf>
    <xf numFmtId="170" fontId="0" fillId="0" borderId="33" xfId="0" applyNumberFormat="1" applyBorder="1" applyAlignment="1">
      <alignment horizontal="center"/>
    </xf>
    <xf numFmtId="170" fontId="0" fillId="0" borderId="34" xfId="0" applyNumberFormat="1" applyBorder="1" applyAlignment="1">
      <alignment horizontal="center"/>
    </xf>
    <xf numFmtId="2" fontId="7" fillId="0" borderId="39" xfId="0" applyNumberFormat="1" applyFont="1" applyBorder="1" applyAlignment="1">
      <alignment horizontal="center"/>
    </xf>
    <xf numFmtId="2" fontId="7" fillId="0" borderId="40" xfId="0" applyNumberFormat="1" applyFont="1" applyBorder="1" applyAlignment="1">
      <alignment horizontal="center"/>
    </xf>
    <xf numFmtId="0" fontId="14" fillId="0" borderId="35" xfId="0" applyFont="1" applyBorder="1" applyAlignment="1">
      <alignment horizontal="center"/>
    </xf>
    <xf numFmtId="0" fontId="14" fillId="0" borderId="36" xfId="0" applyFont="1" applyBorder="1" applyAlignment="1">
      <alignment horizontal="center"/>
    </xf>
    <xf numFmtId="1" fontId="24" fillId="0" borderId="12" xfId="0" applyNumberFormat="1" applyFont="1" applyBorder="1"/>
    <xf numFmtId="0" fontId="21" fillId="0" borderId="45" xfId="0" applyFont="1" applyBorder="1"/>
    <xf numFmtId="0" fontId="0" fillId="0" borderId="46" xfId="0" applyBorder="1"/>
    <xf numFmtId="0" fontId="7" fillId="0" borderId="26" xfId="0" applyFont="1" applyBorder="1"/>
    <xf numFmtId="9" fontId="21" fillId="0" borderId="0" xfId="0" applyNumberFormat="1" applyFont="1"/>
    <xf numFmtId="9" fontId="21" fillId="0" borderId="26" xfId="0" applyNumberFormat="1" applyFont="1" applyBorder="1"/>
    <xf numFmtId="1" fontId="24" fillId="0" borderId="45" xfId="0" applyNumberFormat="1" applyFont="1" applyBorder="1"/>
    <xf numFmtId="2" fontId="21" fillId="0" borderId="0" xfId="0" applyNumberFormat="1" applyFont="1"/>
    <xf numFmtId="2" fontId="21" fillId="0" borderId="26" xfId="0" applyNumberFormat="1" applyFont="1" applyBorder="1"/>
    <xf numFmtId="37" fontId="24" fillId="0" borderId="42" xfId="0" applyNumberFormat="1" applyFont="1" applyBorder="1"/>
    <xf numFmtId="37" fontId="24" fillId="0" borderId="43" xfId="0" applyNumberFormat="1" applyFont="1" applyBorder="1"/>
    <xf numFmtId="0" fontId="8" fillId="5" borderId="44" xfId="0" applyFont="1" applyFill="1" applyBorder="1" applyAlignment="1">
      <alignment horizontal="center"/>
    </xf>
    <xf numFmtId="0" fontId="8" fillId="5" borderId="12" xfId="0" applyFont="1" applyFill="1" applyBorder="1" applyAlignment="1">
      <alignment horizontal="center"/>
    </xf>
    <xf numFmtId="0" fontId="8" fillId="5" borderId="45" xfId="0" applyFont="1" applyFill="1" applyBorder="1" applyAlignment="1">
      <alignment horizontal="center"/>
    </xf>
    <xf numFmtId="0" fontId="21" fillId="0" borderId="47" xfId="0" applyFont="1" applyBorder="1" applyAlignment="1">
      <alignment horizontal="left"/>
    </xf>
    <xf numFmtId="0" fontId="21" fillId="0" borderId="48" xfId="0" applyFont="1" applyBorder="1" applyAlignment="1">
      <alignment horizontal="left"/>
    </xf>
    <xf numFmtId="0" fontId="24" fillId="0" borderId="47" xfId="0" applyFont="1" applyBorder="1"/>
    <xf numFmtId="0" fontId="21" fillId="0" borderId="48" xfId="0" applyFont="1" applyBorder="1"/>
    <xf numFmtId="0" fontId="24" fillId="0" borderId="47" xfId="0" applyFont="1" applyBorder="1" applyAlignment="1">
      <alignment horizontal="left"/>
    </xf>
    <xf numFmtId="0" fontId="24" fillId="0" borderId="22" xfId="0" applyFont="1" applyBorder="1" applyAlignment="1">
      <alignment horizontal="left"/>
    </xf>
    <xf numFmtId="0" fontId="21" fillId="0" borderId="47" xfId="0" applyFont="1" applyBorder="1"/>
    <xf numFmtId="0" fontId="0" fillId="0" borderId="24" xfId="0" applyBorder="1"/>
    <xf numFmtId="0" fontId="7" fillId="0" borderId="48" xfId="0" applyFont="1" applyBorder="1"/>
    <xf numFmtId="9" fontId="21" fillId="0" borderId="48" xfId="0" applyNumberFormat="1" applyFont="1" applyBorder="1"/>
    <xf numFmtId="1" fontId="24" fillId="0" borderId="47" xfId="0" applyNumberFormat="1" applyFont="1" applyBorder="1"/>
    <xf numFmtId="37" fontId="24" fillId="0" borderId="22" xfId="0" applyNumberFormat="1" applyFont="1" applyBorder="1"/>
    <xf numFmtId="2" fontId="21" fillId="0" borderId="48" xfId="0" applyNumberFormat="1" applyFont="1" applyBorder="1"/>
    <xf numFmtId="43" fontId="0" fillId="4" borderId="0" xfId="0" applyNumberFormat="1" applyFill="1"/>
    <xf numFmtId="43" fontId="11" fillId="0" borderId="0" xfId="0" applyNumberFormat="1" applyFont="1"/>
    <xf numFmtId="165" fontId="11" fillId="0" borderId="0" xfId="0" applyNumberFormat="1" applyFont="1" applyAlignment="1">
      <alignment horizontal="right"/>
    </xf>
    <xf numFmtId="14" fontId="0" fillId="0" borderId="0" xfId="0" applyNumberFormat="1"/>
    <xf numFmtId="43" fontId="7" fillId="0" borderId="12" xfId="0" applyNumberFormat="1" applyFont="1" applyBorder="1"/>
    <xf numFmtId="165" fontId="17" fillId="0" borderId="0" xfId="0" applyNumberFormat="1" applyFont="1"/>
    <xf numFmtId="0" fontId="17" fillId="0" borderId="0" xfId="0" applyFont="1" applyAlignment="1">
      <alignment horizontal="left" indent="2"/>
    </xf>
    <xf numFmtId="166" fontId="17" fillId="0" borderId="0" xfId="0" applyNumberFormat="1" applyFont="1"/>
    <xf numFmtId="168" fontId="0" fillId="4" borderId="0" xfId="0" applyNumberFormat="1" applyFill="1" applyAlignment="1">
      <alignment horizontal="center"/>
    </xf>
    <xf numFmtId="175" fontId="0" fillId="0" borderId="0" xfId="0" applyNumberFormat="1"/>
    <xf numFmtId="0" fontId="7" fillId="7" borderId="0" xfId="0" applyFont="1" applyFill="1"/>
    <xf numFmtId="166" fontId="7" fillId="7" borderId="0" xfId="0" applyNumberFormat="1" applyFont="1" applyFill="1"/>
    <xf numFmtId="0" fontId="0" fillId="0" borderId="0" xfId="0" quotePrefix="1"/>
    <xf numFmtId="172" fontId="0" fillId="0" borderId="0" xfId="0" applyNumberFormat="1"/>
    <xf numFmtId="169" fontId="0" fillId="0" borderId="0" xfId="0" applyNumberFormat="1"/>
    <xf numFmtId="2" fontId="0" fillId="0" borderId="0" xfId="0" applyNumberFormat="1"/>
    <xf numFmtId="2" fontId="11" fillId="0" borderId="12" xfId="0" applyNumberFormat="1" applyFont="1" applyBorder="1"/>
    <xf numFmtId="0" fontId="0" fillId="0" borderId="44" xfId="0" applyBorder="1"/>
    <xf numFmtId="166" fontId="0" fillId="0" borderId="45" xfId="0" applyNumberFormat="1" applyBorder="1" applyAlignment="1">
      <alignment horizontal="center"/>
    </xf>
    <xf numFmtId="0" fontId="0" fillId="0" borderId="49" xfId="0" applyBorder="1"/>
    <xf numFmtId="166" fontId="0" fillId="0" borderId="26" xfId="0" applyNumberFormat="1" applyBorder="1" applyAlignment="1">
      <alignment horizontal="center"/>
    </xf>
    <xf numFmtId="0" fontId="0" fillId="0" borderId="50" xfId="0" applyBorder="1"/>
    <xf numFmtId="166" fontId="0" fillId="0" borderId="46" xfId="0" applyNumberFormat="1" applyBorder="1" applyAlignment="1">
      <alignment horizontal="center"/>
    </xf>
    <xf numFmtId="0" fontId="7" fillId="0" borderId="50" xfId="0" applyFont="1" applyBorder="1"/>
    <xf numFmtId="166" fontId="7" fillId="0" borderId="46" xfId="0" applyNumberFormat="1" applyFont="1" applyBorder="1" applyAlignment="1">
      <alignment horizontal="center"/>
    </xf>
    <xf numFmtId="0" fontId="8" fillId="5" borderId="44" xfId="0" applyFont="1" applyFill="1" applyBorder="1"/>
    <xf numFmtId="166" fontId="9" fillId="0" borderId="0" xfId="0" applyNumberFormat="1" applyFont="1"/>
    <xf numFmtId="0" fontId="9" fillId="0" borderId="0" xfId="0" applyFont="1"/>
    <xf numFmtId="0" fontId="25" fillId="0" borderId="0" xfId="0" applyFont="1"/>
    <xf numFmtId="41" fontId="25" fillId="0" borderId="51" xfId="0" applyNumberFormat="1" applyFont="1" applyBorder="1"/>
    <xf numFmtId="166" fontId="25" fillId="0" borderId="33" xfId="2" applyNumberFormat="1" applyFont="1" applyBorder="1"/>
    <xf numFmtId="170" fontId="25" fillId="0" borderId="33" xfId="0" applyNumberFormat="1" applyFont="1" applyBorder="1"/>
    <xf numFmtId="166" fontId="26" fillId="0" borderId="34" xfId="2" applyNumberFormat="1" applyFont="1" applyBorder="1"/>
    <xf numFmtId="166" fontId="26" fillId="0" borderId="51" xfId="2" applyNumberFormat="1" applyFont="1" applyBorder="1"/>
    <xf numFmtId="10" fontId="0" fillId="0" borderId="0" xfId="0" applyNumberFormat="1"/>
    <xf numFmtId="1" fontId="0" fillId="0" borderId="0" xfId="0" applyNumberFormat="1"/>
    <xf numFmtId="0" fontId="22" fillId="0" borderId="0" xfId="0" applyFont="1"/>
    <xf numFmtId="37" fontId="0" fillId="0" borderId="0" xfId="0" applyNumberFormat="1"/>
    <xf numFmtId="176" fontId="0" fillId="0" borderId="0" xfId="0" applyNumberFormat="1"/>
    <xf numFmtId="165" fontId="25" fillId="0" borderId="0" xfId="0" applyNumberFormat="1" applyFont="1"/>
    <xf numFmtId="166" fontId="25" fillId="0" borderId="0" xfId="0" applyNumberFormat="1" applyFont="1"/>
    <xf numFmtId="168" fontId="25" fillId="0" borderId="0" xfId="0" applyNumberFormat="1" applyFont="1"/>
    <xf numFmtId="0" fontId="29" fillId="0" borderId="0" xfId="0" applyFont="1"/>
    <xf numFmtId="165" fontId="30" fillId="0" borderId="45" xfId="0" applyNumberFormat="1" applyFont="1" applyBorder="1"/>
    <xf numFmtId="165" fontId="30" fillId="0" borderId="26" xfId="0" applyNumberFormat="1" applyFont="1" applyBorder="1"/>
    <xf numFmtId="166" fontId="30" fillId="0" borderId="26" xfId="0" applyNumberFormat="1" applyFont="1" applyBorder="1"/>
    <xf numFmtId="168" fontId="30" fillId="0" borderId="26" xfId="0" applyNumberFormat="1" applyFont="1" applyBorder="1" applyAlignment="1">
      <alignment horizontal="right"/>
    </xf>
    <xf numFmtId="166" fontId="31" fillId="7" borderId="45" xfId="0" applyNumberFormat="1" applyFont="1" applyFill="1" applyBorder="1"/>
    <xf numFmtId="0" fontId="32" fillId="0" borderId="0" xfId="0" applyFont="1"/>
    <xf numFmtId="166" fontId="31" fillId="7" borderId="46" xfId="0" applyNumberFormat="1" applyFont="1" applyFill="1" applyBorder="1"/>
    <xf numFmtId="166" fontId="31" fillId="7" borderId="45" xfId="0" applyNumberFormat="1" applyFont="1" applyFill="1" applyBorder="1" applyAlignment="1">
      <alignment horizontal="right"/>
    </xf>
    <xf numFmtId="166" fontId="31" fillId="7" borderId="46" xfId="0" applyNumberFormat="1" applyFont="1" applyFill="1" applyBorder="1" applyAlignment="1">
      <alignment horizontal="right"/>
    </xf>
    <xf numFmtId="0" fontId="7" fillId="0" borderId="38" xfId="0" applyFont="1" applyBorder="1" applyAlignment="1">
      <alignment horizontal="right"/>
    </xf>
    <xf numFmtId="0" fontId="7" fillId="0" borderId="39" xfId="0" applyFont="1" applyBorder="1" applyAlignment="1">
      <alignment horizontal="right"/>
    </xf>
    <xf numFmtId="166" fontId="8" fillId="5" borderId="14" xfId="0" applyNumberFormat="1" applyFont="1" applyFill="1" applyBorder="1" applyAlignment="1">
      <alignment horizontal="center"/>
    </xf>
    <xf numFmtId="166" fontId="8" fillId="5" borderId="25" xfId="0" applyNumberFormat="1" applyFont="1" applyFill="1" applyBorder="1" applyAlignment="1">
      <alignment horizontal="center"/>
    </xf>
    <xf numFmtId="0" fontId="0" fillId="0" borderId="0" xfId="0" applyAlignment="1">
      <alignment horizontal="left"/>
    </xf>
    <xf numFmtId="166" fontId="8" fillId="5" borderId="15" xfId="0" applyNumberFormat="1" applyFont="1" applyFill="1" applyBorder="1" applyAlignment="1">
      <alignment horizontal="center"/>
    </xf>
    <xf numFmtId="166" fontId="8" fillId="5" borderId="16" xfId="0" applyNumberFormat="1" applyFont="1" applyFill="1" applyBorder="1" applyAlignment="1">
      <alignment horizontal="center"/>
    </xf>
    <xf numFmtId="0" fontId="26" fillId="0" borderId="0" xfId="0" applyFont="1" applyAlignment="1">
      <alignment horizontal="center"/>
    </xf>
    <xf numFmtId="0" fontId="30" fillId="0" borderId="49" xfId="0" applyFont="1" applyBorder="1" applyAlignment="1">
      <alignment horizontal="left"/>
    </xf>
    <xf numFmtId="0" fontId="30" fillId="0" borderId="0" xfId="0" applyFont="1" applyAlignment="1">
      <alignment horizontal="left"/>
    </xf>
    <xf numFmtId="0" fontId="31" fillId="7" borderId="44" xfId="0" applyFont="1" applyFill="1" applyBorder="1"/>
    <xf numFmtId="0" fontId="31" fillId="7" borderId="12" xfId="0" applyFont="1" applyFill="1" applyBorder="1"/>
    <xf numFmtId="0" fontId="31" fillId="7" borderId="50" xfId="0" applyFont="1" applyFill="1" applyBorder="1"/>
    <xf numFmtId="0" fontId="31" fillId="7" borderId="41" xfId="0" applyFont="1" applyFill="1" applyBorder="1"/>
    <xf numFmtId="0" fontId="31" fillId="7" borderId="44" xfId="0" applyFont="1" applyFill="1" applyBorder="1" applyAlignment="1">
      <alignment horizontal="left"/>
    </xf>
    <xf numFmtId="0" fontId="31" fillId="7" borderId="12" xfId="0" applyFont="1" applyFill="1" applyBorder="1" applyAlignment="1">
      <alignment horizontal="left"/>
    </xf>
    <xf numFmtId="0" fontId="31" fillId="7" borderId="50" xfId="0" applyFont="1" applyFill="1" applyBorder="1" applyAlignment="1">
      <alignment horizontal="left"/>
    </xf>
    <xf numFmtId="0" fontId="31" fillId="7" borderId="41" xfId="0" applyFont="1" applyFill="1" applyBorder="1" applyAlignment="1">
      <alignment horizontal="left"/>
    </xf>
    <xf numFmtId="0" fontId="28" fillId="8" borderId="44" xfId="0" applyFont="1" applyFill="1" applyBorder="1" applyAlignment="1">
      <alignment horizontal="center"/>
    </xf>
    <xf numFmtId="0" fontId="28" fillId="8" borderId="12" xfId="0" applyFont="1" applyFill="1" applyBorder="1" applyAlignment="1">
      <alignment horizontal="center"/>
    </xf>
    <xf numFmtId="0" fontId="28" fillId="8" borderId="45" xfId="0" applyFont="1" applyFill="1" applyBorder="1" applyAlignment="1">
      <alignment horizontal="center"/>
    </xf>
    <xf numFmtId="0" fontId="30" fillId="0" borderId="44" xfId="0" applyFont="1" applyBorder="1" applyAlignment="1">
      <alignment horizontal="left"/>
    </xf>
    <xf numFmtId="0" fontId="30" fillId="0" borderId="12" xfId="0" applyFont="1" applyBorder="1" applyAlignment="1">
      <alignment horizontal="left"/>
    </xf>
    <xf numFmtId="0" fontId="25" fillId="0" borderId="32" xfId="0" applyFont="1" applyBorder="1" applyAlignment="1">
      <alignment horizontal="left"/>
    </xf>
    <xf numFmtId="0" fontId="25" fillId="0" borderId="0" xfId="0" applyFont="1" applyAlignment="1">
      <alignment horizontal="left"/>
    </xf>
    <xf numFmtId="0" fontId="26" fillId="0" borderId="30" xfId="0" applyFont="1" applyBorder="1" applyAlignment="1">
      <alignment horizontal="left"/>
    </xf>
    <xf numFmtId="0" fontId="26" fillId="0" borderId="31" xfId="0" applyFont="1" applyBorder="1" applyAlignment="1">
      <alignment horizontal="left"/>
    </xf>
    <xf numFmtId="0" fontId="26" fillId="0" borderId="52" xfId="0" applyFont="1" applyBorder="1" applyAlignment="1">
      <alignment horizontal="left"/>
    </xf>
    <xf numFmtId="0" fontId="26" fillId="0" borderId="9" xfId="0" applyFont="1" applyBorder="1" applyAlignment="1">
      <alignment horizontal="left"/>
    </xf>
    <xf numFmtId="0" fontId="25" fillId="0" borderId="0" xfId="0" applyFont="1" applyAlignment="1">
      <alignment horizontal="center"/>
    </xf>
    <xf numFmtId="0" fontId="25" fillId="0" borderId="30" xfId="0" applyFont="1" applyBorder="1" applyAlignment="1">
      <alignment horizontal="left"/>
    </xf>
    <xf numFmtId="0" fontId="25" fillId="0" borderId="31" xfId="0" applyFont="1" applyBorder="1" applyAlignment="1">
      <alignment horizontal="left"/>
    </xf>
    <xf numFmtId="0" fontId="27" fillId="8" borderId="30" xfId="0" applyFont="1" applyFill="1" applyBorder="1" applyAlignment="1">
      <alignment horizontal="center"/>
    </xf>
    <xf numFmtId="0" fontId="27" fillId="8" borderId="31" xfId="0" applyFont="1" applyFill="1" applyBorder="1" applyAlignment="1">
      <alignment horizontal="center"/>
    </xf>
    <xf numFmtId="0" fontId="27" fillId="8" borderId="51" xfId="0" applyFont="1" applyFill="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Medium9"/>
  <colors>
    <mruColors>
      <color rgb="FF2751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SupportingPropertyBag" Target="richData/rdsupportingpropertybag.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SupportingPropertyBagStructure" Target="richData/rdsupportingpropertybagstructure.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dirty="0"/>
              <a:t>1854’s </a:t>
            </a:r>
            <a:r>
              <a:rPr lang="en-US" baseline="0" dirty="0"/>
              <a:t>sold per week per store</a:t>
            </a:r>
            <a:endParaRPr lang="en-US" dirty="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v>1854's sold per week per store</c:v>
          </c:tx>
          <c:spPr>
            <a:solidFill>
              <a:srgbClr val="225086"/>
            </a:solidFill>
            <a:ln>
              <a:noFill/>
            </a:ln>
            <a:effectLst/>
          </c:spPr>
          <c:invertIfNegative val="0"/>
          <c:cat>
            <c:strRef>
              <c:f>'1854 Unit Volume'!$I$2:$M$2</c:f>
              <c:strCache>
                <c:ptCount val="5"/>
                <c:pt idx="0">
                  <c:v>Current</c:v>
                </c:pt>
                <c:pt idx="1">
                  <c:v>2025</c:v>
                </c:pt>
                <c:pt idx="2">
                  <c:v>2026</c:v>
                </c:pt>
                <c:pt idx="3">
                  <c:v>2027</c:v>
                </c:pt>
                <c:pt idx="4">
                  <c:v>2028</c:v>
                </c:pt>
              </c:strCache>
            </c:strRef>
          </c:cat>
          <c:val>
            <c:numRef>
              <c:f>'1854 Unit Volume'!$I$8:$M$8</c:f>
              <c:numCache>
                <c:formatCode>0.00</c:formatCode>
                <c:ptCount val="5"/>
                <c:pt idx="0">
                  <c:v>0.5</c:v>
                </c:pt>
                <c:pt idx="1">
                  <c:v>0.75</c:v>
                </c:pt>
                <c:pt idx="2">
                  <c:v>1</c:v>
                </c:pt>
                <c:pt idx="3">
                  <c:v>1.25</c:v>
                </c:pt>
                <c:pt idx="4">
                  <c:v>1.5</c:v>
                </c:pt>
              </c:numCache>
            </c:numRef>
          </c:val>
          <c:extLst>
            <c:ext xmlns:c16="http://schemas.microsoft.com/office/drawing/2014/chart" uri="{C3380CC4-5D6E-409C-BE32-E72D297353CC}">
              <c16:uniqueId val="{00000000-49F0-49CC-B884-F46661CC20C5}"/>
            </c:ext>
          </c:extLst>
        </c:ser>
        <c:dLbls>
          <c:showLegendKey val="0"/>
          <c:showVal val="0"/>
          <c:showCatName val="0"/>
          <c:showSerName val="0"/>
          <c:showPercent val="0"/>
          <c:showBubbleSize val="0"/>
        </c:dLbls>
        <c:gapWidth val="219"/>
        <c:overlap val="-27"/>
        <c:axId val="1212475911"/>
        <c:axId val="1212477959"/>
      </c:barChart>
      <c:catAx>
        <c:axId val="1212475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477959"/>
        <c:crosses val="autoZero"/>
        <c:auto val="1"/>
        <c:lblAlgn val="ctr"/>
        <c:lblOffset val="100"/>
        <c:noMultiLvlLbl val="0"/>
      </c:catAx>
      <c:valAx>
        <c:axId val="12124779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475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dirty="0"/>
              <a:t>Retail penetration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v>% of big box retailers the 1854 is sold in</c:v>
          </c:tx>
          <c:spPr>
            <a:solidFill>
              <a:srgbClr val="225086"/>
            </a:solidFill>
            <a:ln>
              <a:noFill/>
            </a:ln>
            <a:effectLst/>
          </c:spPr>
          <c:invertIfNegative val="0"/>
          <c:cat>
            <c:strRef>
              <c:f>'1854 Unit Volume'!$I$2:$M$2</c:f>
              <c:strCache>
                <c:ptCount val="5"/>
                <c:pt idx="0">
                  <c:v>Current</c:v>
                </c:pt>
                <c:pt idx="1">
                  <c:v>2025</c:v>
                </c:pt>
                <c:pt idx="2">
                  <c:v>2026</c:v>
                </c:pt>
                <c:pt idx="3">
                  <c:v>2027</c:v>
                </c:pt>
                <c:pt idx="4">
                  <c:v>2028</c:v>
                </c:pt>
              </c:strCache>
            </c:strRef>
          </c:cat>
          <c:val>
            <c:numRef>
              <c:f>'1854 Unit Volume'!$I$6:$M$6</c:f>
              <c:numCache>
                <c:formatCode>0%</c:formatCode>
                <c:ptCount val="5"/>
                <c:pt idx="0">
                  <c:v>0.4</c:v>
                </c:pt>
                <c:pt idx="1">
                  <c:v>0.4</c:v>
                </c:pt>
                <c:pt idx="2">
                  <c:v>0.6</c:v>
                </c:pt>
                <c:pt idx="3">
                  <c:v>0.75</c:v>
                </c:pt>
                <c:pt idx="4">
                  <c:v>0.85</c:v>
                </c:pt>
              </c:numCache>
            </c:numRef>
          </c:val>
          <c:extLst>
            <c:ext xmlns:c16="http://schemas.microsoft.com/office/drawing/2014/chart" uri="{C3380CC4-5D6E-409C-BE32-E72D297353CC}">
              <c16:uniqueId val="{00000000-756F-4E49-BFAA-FA2A9F98B4B2}"/>
            </c:ext>
          </c:extLst>
        </c:ser>
        <c:dLbls>
          <c:showLegendKey val="0"/>
          <c:showVal val="0"/>
          <c:showCatName val="0"/>
          <c:showSerName val="0"/>
          <c:showPercent val="0"/>
          <c:showBubbleSize val="0"/>
        </c:dLbls>
        <c:gapWidth val="219"/>
        <c:overlap val="-27"/>
        <c:axId val="1058822151"/>
        <c:axId val="1058834439"/>
      </c:barChart>
      <c:catAx>
        <c:axId val="1058822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834439"/>
        <c:crosses val="autoZero"/>
        <c:auto val="1"/>
        <c:lblAlgn val="ctr"/>
        <c:lblOffset val="100"/>
        <c:noMultiLvlLbl val="0"/>
      </c:catAx>
      <c:valAx>
        <c:axId val="10588344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822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rgbClr val="275185"/>
            </a:solidFill>
            <a:ln>
              <a:solidFill>
                <a:srgbClr val="275185"/>
              </a:solidFill>
              <a:prstDash val="solid"/>
            </a:ln>
            <a:effectLst/>
          </c:spPr>
          <c:invertIfNegative val="0"/>
          <c:dPt>
            <c:idx val="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30-0AD2-4E13-ABAB-075D9901D7A9}"/>
              </c:ext>
            </c:extLst>
          </c:dPt>
          <c:dPt>
            <c:idx val="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F-0AD2-4E13-ABAB-075D9901D7A9}"/>
              </c:ext>
            </c:extLst>
          </c:dPt>
          <c:dPt>
            <c:idx val="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E-0AD2-4E13-ABAB-075D9901D7A9}"/>
              </c:ext>
            </c:extLst>
          </c:dPt>
          <c:dPt>
            <c:idx val="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D-0AD2-4E13-ABAB-075D9901D7A9}"/>
              </c:ext>
            </c:extLst>
          </c:dPt>
          <c:dPt>
            <c:idx val="5"/>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C-0AD2-4E13-ABAB-075D9901D7A9}"/>
              </c:ext>
            </c:extLst>
          </c:dPt>
          <c:dPt>
            <c:idx val="6"/>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B-0AD2-4E13-ABAB-075D9901D7A9}"/>
              </c:ext>
            </c:extLst>
          </c:dPt>
          <c:dPt>
            <c:idx val="7"/>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A-0AD2-4E13-ABAB-075D9901D7A9}"/>
              </c:ext>
            </c:extLst>
          </c:dPt>
          <c:dPt>
            <c:idx val="8"/>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9-0AD2-4E13-ABAB-075D9901D7A9}"/>
              </c:ext>
            </c:extLst>
          </c:dPt>
          <c:dPt>
            <c:idx val="9"/>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8-0AD2-4E13-ABAB-075D9901D7A9}"/>
              </c:ext>
            </c:extLst>
          </c:dPt>
          <c:dPt>
            <c:idx val="10"/>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7-0AD2-4E13-ABAB-075D9901D7A9}"/>
              </c:ext>
            </c:extLst>
          </c:dPt>
          <c:dPt>
            <c:idx val="1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6-0AD2-4E13-ABAB-075D9901D7A9}"/>
              </c:ext>
            </c:extLst>
          </c:dPt>
          <c:dPt>
            <c:idx val="1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5-0AD2-4E13-ABAB-075D9901D7A9}"/>
              </c:ext>
            </c:extLst>
          </c:dPt>
          <c:dPt>
            <c:idx val="1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4-0AD2-4E13-ABAB-075D9901D7A9}"/>
              </c:ext>
            </c:extLst>
          </c:dPt>
          <c:dPt>
            <c:idx val="1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3-0AD2-4E13-ABAB-075D9901D7A9}"/>
              </c:ext>
            </c:extLst>
          </c:dPt>
          <c:dPt>
            <c:idx val="15"/>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2-0AD2-4E13-ABAB-075D9901D7A9}"/>
              </c:ext>
            </c:extLst>
          </c:dPt>
          <c:dPt>
            <c:idx val="16"/>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1-0AD2-4E13-ABAB-075D9901D7A9}"/>
              </c:ext>
            </c:extLst>
          </c:dPt>
          <c:dPt>
            <c:idx val="17"/>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20-0AD2-4E13-ABAB-075D9901D7A9}"/>
              </c:ext>
            </c:extLst>
          </c:dPt>
          <c:dPt>
            <c:idx val="18"/>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F-0AD2-4E13-ABAB-075D9901D7A9}"/>
              </c:ext>
            </c:extLst>
          </c:dPt>
          <c:dPt>
            <c:idx val="19"/>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E-0AD2-4E13-ABAB-075D9901D7A9}"/>
              </c:ext>
            </c:extLst>
          </c:dPt>
          <c:dPt>
            <c:idx val="20"/>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D-0AD2-4E13-ABAB-075D9901D7A9}"/>
              </c:ext>
            </c:extLst>
          </c:dPt>
          <c:dPt>
            <c:idx val="2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C-0AD2-4E13-ABAB-075D9901D7A9}"/>
              </c:ext>
            </c:extLst>
          </c:dPt>
          <c:dPt>
            <c:idx val="2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B-0AD2-4E13-ABAB-075D9901D7A9}"/>
              </c:ext>
            </c:extLst>
          </c:dPt>
          <c:dPt>
            <c:idx val="2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A-0AD2-4E13-ABAB-075D9901D7A9}"/>
              </c:ext>
            </c:extLst>
          </c:dPt>
          <c:dPt>
            <c:idx val="2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9-0AD2-4E13-ABAB-075D9901D7A9}"/>
              </c:ext>
            </c:extLst>
          </c:dPt>
          <c:dPt>
            <c:idx val="2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8-0AD2-4E13-ABAB-075D9901D7A9}"/>
              </c:ext>
            </c:extLst>
          </c:dPt>
          <c:dPt>
            <c:idx val="2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7-0AD2-4E13-ABAB-075D9901D7A9}"/>
              </c:ext>
            </c:extLst>
          </c:dPt>
          <c:dPt>
            <c:idx val="2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6-0AD2-4E13-ABAB-075D9901D7A9}"/>
              </c:ext>
            </c:extLst>
          </c:dPt>
          <c:dPt>
            <c:idx val="2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5-0AD2-4E13-ABAB-075D9901D7A9}"/>
              </c:ext>
            </c:extLst>
          </c:dPt>
          <c:dPt>
            <c:idx val="2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4-0AD2-4E13-ABAB-075D9901D7A9}"/>
              </c:ext>
            </c:extLst>
          </c:dPt>
          <c:dPt>
            <c:idx val="3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3-0AD2-4E13-ABAB-075D9901D7A9}"/>
              </c:ext>
            </c:extLst>
          </c:dPt>
          <c:dPt>
            <c:idx val="3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2-0AD2-4E13-ABAB-075D9901D7A9}"/>
              </c:ext>
            </c:extLst>
          </c:dPt>
          <c:dPt>
            <c:idx val="3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1-0AD2-4E13-ABAB-075D9901D7A9}"/>
              </c:ext>
            </c:extLst>
          </c:dPt>
          <c:dPt>
            <c:idx val="3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10-0AD2-4E13-ABAB-075D9901D7A9}"/>
              </c:ext>
            </c:extLst>
          </c:dPt>
          <c:dPt>
            <c:idx val="3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F-0AD2-4E13-ABAB-075D9901D7A9}"/>
              </c:ext>
            </c:extLst>
          </c:dPt>
          <c:dPt>
            <c:idx val="3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E-0AD2-4E13-ABAB-075D9901D7A9}"/>
              </c:ext>
            </c:extLst>
          </c:dPt>
          <c:dPt>
            <c:idx val="3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D-0AD2-4E13-ABAB-075D9901D7A9}"/>
              </c:ext>
            </c:extLst>
          </c:dPt>
          <c:dPt>
            <c:idx val="3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C-0AD2-4E13-ABAB-075D9901D7A9}"/>
              </c:ext>
            </c:extLst>
          </c:dPt>
          <c:dPt>
            <c:idx val="3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B-0AD2-4E13-ABAB-075D9901D7A9}"/>
              </c:ext>
            </c:extLst>
          </c:dPt>
          <c:dPt>
            <c:idx val="3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A-0AD2-4E13-ABAB-075D9901D7A9}"/>
              </c:ext>
            </c:extLst>
          </c:dPt>
          <c:dPt>
            <c:idx val="4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9-0AD2-4E13-ABAB-075D9901D7A9}"/>
              </c:ext>
            </c:extLst>
          </c:dPt>
          <c:dPt>
            <c:idx val="4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8-0AD2-4E13-ABAB-075D9901D7A9}"/>
              </c:ext>
            </c:extLst>
          </c:dPt>
          <c:dPt>
            <c:idx val="4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7-0AD2-4E13-ABAB-075D9901D7A9}"/>
              </c:ext>
            </c:extLst>
          </c:dPt>
          <c:dPt>
            <c:idx val="4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6-0AD2-4E13-ABAB-075D9901D7A9}"/>
              </c:ext>
            </c:extLst>
          </c:dPt>
          <c:dPt>
            <c:idx val="4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05-0AD2-4E13-ABAB-075D9901D7A9}"/>
              </c:ext>
            </c:extLst>
          </c:dPt>
          <c:dPt>
            <c:idx val="4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2-0AD2-4E13-ABAB-075D9901D7A9}"/>
              </c:ext>
            </c:extLst>
          </c:dPt>
          <c:dPt>
            <c:idx val="4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3-0AD2-4E13-ABAB-075D9901D7A9}"/>
              </c:ext>
            </c:extLst>
          </c:dPt>
          <c:dPt>
            <c:idx val="4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4-0AD2-4E13-ABAB-075D9901D7A9}"/>
              </c:ext>
            </c:extLst>
          </c:dPt>
          <c:dPt>
            <c:idx val="4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5-0AD2-4E13-ABAB-075D9901D7A9}"/>
              </c:ext>
            </c:extLst>
          </c:dPt>
          <c:dPt>
            <c:idx val="4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6-0AD2-4E13-ABAB-075D9901D7A9}"/>
              </c:ext>
            </c:extLst>
          </c:dPt>
          <c:dPt>
            <c:idx val="5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7-0AD2-4E13-ABAB-075D9901D7A9}"/>
              </c:ext>
            </c:extLst>
          </c:dPt>
          <c:dPt>
            <c:idx val="5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8-0AD2-4E13-ABAB-075D9901D7A9}"/>
              </c:ext>
            </c:extLst>
          </c:dPt>
          <c:dPt>
            <c:idx val="5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9-0AD2-4E13-ABAB-075D9901D7A9}"/>
              </c:ext>
            </c:extLst>
          </c:dPt>
          <c:dPt>
            <c:idx val="5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A-0AD2-4E13-ABAB-075D9901D7A9}"/>
              </c:ext>
            </c:extLst>
          </c:dPt>
          <c:dPt>
            <c:idx val="5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B-0AD2-4E13-ABAB-075D9901D7A9}"/>
              </c:ext>
            </c:extLst>
          </c:dPt>
          <c:dPt>
            <c:idx val="5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C-0AD2-4E13-ABAB-075D9901D7A9}"/>
              </c:ext>
            </c:extLst>
          </c:dPt>
          <c:dPt>
            <c:idx val="5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D-0AD2-4E13-ABAB-075D9901D7A9}"/>
              </c:ext>
            </c:extLst>
          </c:dPt>
          <c:dPt>
            <c:idx val="5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E-0AD2-4E13-ABAB-075D9901D7A9}"/>
              </c:ext>
            </c:extLst>
          </c:dPt>
          <c:dPt>
            <c:idx val="5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3F-0AD2-4E13-ABAB-075D9901D7A9}"/>
              </c:ext>
            </c:extLst>
          </c:dPt>
          <c:dPt>
            <c:idx val="5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0-0AD2-4E13-ABAB-075D9901D7A9}"/>
              </c:ext>
            </c:extLst>
          </c:dPt>
          <c:dPt>
            <c:idx val="6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1-0AD2-4E13-ABAB-075D9901D7A9}"/>
              </c:ext>
            </c:extLst>
          </c:dPt>
          <c:dPt>
            <c:idx val="6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2-0AD2-4E13-ABAB-075D9901D7A9}"/>
              </c:ext>
            </c:extLst>
          </c:dPt>
          <c:dPt>
            <c:idx val="6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3-0AD2-4E13-ABAB-075D9901D7A9}"/>
              </c:ext>
            </c:extLst>
          </c:dPt>
          <c:dPt>
            <c:idx val="6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4-0AD2-4E13-ABAB-075D9901D7A9}"/>
              </c:ext>
            </c:extLst>
          </c:dPt>
          <c:dPt>
            <c:idx val="6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5-0AD2-4E13-ABAB-075D9901D7A9}"/>
              </c:ext>
            </c:extLst>
          </c:dPt>
          <c:dPt>
            <c:idx val="6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6-0AD2-4E13-ABAB-075D9901D7A9}"/>
              </c:ext>
            </c:extLst>
          </c:dPt>
          <c:dPt>
            <c:idx val="6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7-0AD2-4E13-ABAB-075D9901D7A9}"/>
              </c:ext>
            </c:extLst>
          </c:dPt>
          <c:dPt>
            <c:idx val="6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8-0AD2-4E13-ABAB-075D9901D7A9}"/>
              </c:ext>
            </c:extLst>
          </c:dPt>
          <c:dPt>
            <c:idx val="6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9-0AD2-4E13-ABAB-075D9901D7A9}"/>
              </c:ext>
            </c:extLst>
          </c:dPt>
          <c:dPt>
            <c:idx val="6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A-0AD2-4E13-ABAB-075D9901D7A9}"/>
              </c:ext>
            </c:extLst>
          </c:dPt>
          <c:dPt>
            <c:idx val="7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B-0AD2-4E13-ABAB-075D9901D7A9}"/>
              </c:ext>
            </c:extLst>
          </c:dPt>
          <c:dPt>
            <c:idx val="7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C-0AD2-4E13-ABAB-075D9901D7A9}"/>
              </c:ext>
            </c:extLst>
          </c:dPt>
          <c:dPt>
            <c:idx val="7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D-0AD2-4E13-ABAB-075D9901D7A9}"/>
              </c:ext>
            </c:extLst>
          </c:dPt>
          <c:dPt>
            <c:idx val="7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E-0AD2-4E13-ABAB-075D9901D7A9}"/>
              </c:ext>
            </c:extLst>
          </c:dPt>
          <c:dPt>
            <c:idx val="7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4F-0AD2-4E13-ABAB-075D9901D7A9}"/>
              </c:ext>
            </c:extLst>
          </c:dPt>
          <c:dPt>
            <c:idx val="7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0-0AD2-4E13-ABAB-075D9901D7A9}"/>
              </c:ext>
            </c:extLst>
          </c:dPt>
          <c:dPt>
            <c:idx val="7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1-0AD2-4E13-ABAB-075D9901D7A9}"/>
              </c:ext>
            </c:extLst>
          </c:dPt>
          <c:dPt>
            <c:idx val="7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2-0AD2-4E13-ABAB-075D9901D7A9}"/>
              </c:ext>
            </c:extLst>
          </c:dPt>
          <c:dPt>
            <c:idx val="78"/>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3-0AD2-4E13-ABAB-075D9901D7A9}"/>
              </c:ext>
            </c:extLst>
          </c:dPt>
          <c:dPt>
            <c:idx val="79"/>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4-0AD2-4E13-ABAB-075D9901D7A9}"/>
              </c:ext>
            </c:extLst>
          </c:dPt>
          <c:dPt>
            <c:idx val="80"/>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5-0AD2-4E13-ABAB-075D9901D7A9}"/>
              </c:ext>
            </c:extLst>
          </c:dPt>
          <c:dPt>
            <c:idx val="81"/>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6-0AD2-4E13-ABAB-075D9901D7A9}"/>
              </c:ext>
            </c:extLst>
          </c:dPt>
          <c:dPt>
            <c:idx val="82"/>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7-0AD2-4E13-ABAB-075D9901D7A9}"/>
              </c:ext>
            </c:extLst>
          </c:dPt>
          <c:dPt>
            <c:idx val="83"/>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8-0AD2-4E13-ABAB-075D9901D7A9}"/>
              </c:ext>
            </c:extLst>
          </c:dPt>
          <c:dPt>
            <c:idx val="84"/>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9-0AD2-4E13-ABAB-075D9901D7A9}"/>
              </c:ext>
            </c:extLst>
          </c:dPt>
          <c:dPt>
            <c:idx val="85"/>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A-0AD2-4E13-ABAB-075D9901D7A9}"/>
              </c:ext>
            </c:extLst>
          </c:dPt>
          <c:dPt>
            <c:idx val="86"/>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B-0AD2-4E13-ABAB-075D9901D7A9}"/>
              </c:ext>
            </c:extLst>
          </c:dPt>
          <c:dPt>
            <c:idx val="87"/>
            <c:invertIfNegative val="0"/>
            <c:bubble3D val="0"/>
            <c:spPr>
              <a:solidFill>
                <a:srgbClr val="00B050"/>
              </a:solidFill>
              <a:ln>
                <a:solidFill>
                  <a:srgbClr val="00B050"/>
                </a:solidFill>
                <a:prstDash val="solid"/>
              </a:ln>
              <a:effectLst/>
            </c:spPr>
            <c:extLst>
              <c:ext xmlns:c16="http://schemas.microsoft.com/office/drawing/2014/chart" uri="{C3380CC4-5D6E-409C-BE32-E72D297353CC}">
                <c16:uniqueId val="{0000005C-0AD2-4E13-ABAB-075D9901D7A9}"/>
              </c:ext>
            </c:extLst>
          </c:dPt>
          <c:cat>
            <c:numRef>
              <c:f>'MLR Visualization'!$B$3:$B$90</c:f>
              <c:numCache>
                <c:formatCode>General</c:formatCode>
                <c:ptCount val="88"/>
                <c:pt idx="0">
                  <c:v>95000</c:v>
                </c:pt>
                <c:pt idx="1">
                  <c:v>96000</c:v>
                </c:pt>
                <c:pt idx="2">
                  <c:v>97000</c:v>
                </c:pt>
                <c:pt idx="3">
                  <c:v>98000</c:v>
                </c:pt>
                <c:pt idx="4">
                  <c:v>99000</c:v>
                </c:pt>
                <c:pt idx="5">
                  <c:v>100000</c:v>
                </c:pt>
                <c:pt idx="6">
                  <c:v>101000</c:v>
                </c:pt>
                <c:pt idx="7">
                  <c:v>102000</c:v>
                </c:pt>
                <c:pt idx="8">
                  <c:v>103000</c:v>
                </c:pt>
                <c:pt idx="9">
                  <c:v>104000</c:v>
                </c:pt>
                <c:pt idx="10">
                  <c:v>105000</c:v>
                </c:pt>
                <c:pt idx="11">
                  <c:v>106000</c:v>
                </c:pt>
                <c:pt idx="12">
                  <c:v>107000</c:v>
                </c:pt>
                <c:pt idx="13">
                  <c:v>108000</c:v>
                </c:pt>
                <c:pt idx="14">
                  <c:v>109000</c:v>
                </c:pt>
                <c:pt idx="15">
                  <c:v>110000</c:v>
                </c:pt>
                <c:pt idx="16">
                  <c:v>111000</c:v>
                </c:pt>
                <c:pt idx="17">
                  <c:v>112000</c:v>
                </c:pt>
                <c:pt idx="18">
                  <c:v>113000</c:v>
                </c:pt>
                <c:pt idx="19">
                  <c:v>114000</c:v>
                </c:pt>
                <c:pt idx="20">
                  <c:v>115000</c:v>
                </c:pt>
                <c:pt idx="21">
                  <c:v>116000</c:v>
                </c:pt>
                <c:pt idx="22">
                  <c:v>117000</c:v>
                </c:pt>
                <c:pt idx="23">
                  <c:v>118000</c:v>
                </c:pt>
                <c:pt idx="24">
                  <c:v>119000</c:v>
                </c:pt>
                <c:pt idx="25">
                  <c:v>120000</c:v>
                </c:pt>
                <c:pt idx="26">
                  <c:v>121000</c:v>
                </c:pt>
                <c:pt idx="27">
                  <c:v>122000</c:v>
                </c:pt>
                <c:pt idx="28">
                  <c:v>123000</c:v>
                </c:pt>
                <c:pt idx="29">
                  <c:v>124000</c:v>
                </c:pt>
                <c:pt idx="30">
                  <c:v>125000</c:v>
                </c:pt>
                <c:pt idx="31">
                  <c:v>126000</c:v>
                </c:pt>
                <c:pt idx="32">
                  <c:v>127000</c:v>
                </c:pt>
                <c:pt idx="33">
                  <c:v>128000</c:v>
                </c:pt>
                <c:pt idx="34">
                  <c:v>129000</c:v>
                </c:pt>
                <c:pt idx="35">
                  <c:v>130000</c:v>
                </c:pt>
                <c:pt idx="36">
                  <c:v>131000</c:v>
                </c:pt>
                <c:pt idx="37">
                  <c:v>132000</c:v>
                </c:pt>
                <c:pt idx="38">
                  <c:v>133000</c:v>
                </c:pt>
                <c:pt idx="39">
                  <c:v>134000</c:v>
                </c:pt>
                <c:pt idx="40">
                  <c:v>135000</c:v>
                </c:pt>
                <c:pt idx="41">
                  <c:v>136000</c:v>
                </c:pt>
                <c:pt idx="42">
                  <c:v>137000</c:v>
                </c:pt>
                <c:pt idx="43">
                  <c:v>138000</c:v>
                </c:pt>
                <c:pt idx="44">
                  <c:v>139000</c:v>
                </c:pt>
                <c:pt idx="45">
                  <c:v>140000</c:v>
                </c:pt>
                <c:pt idx="46">
                  <c:v>141000</c:v>
                </c:pt>
                <c:pt idx="47">
                  <c:v>142000</c:v>
                </c:pt>
                <c:pt idx="48">
                  <c:v>143000</c:v>
                </c:pt>
                <c:pt idx="49">
                  <c:v>144000</c:v>
                </c:pt>
                <c:pt idx="50">
                  <c:v>145000</c:v>
                </c:pt>
                <c:pt idx="51">
                  <c:v>146000</c:v>
                </c:pt>
                <c:pt idx="52">
                  <c:v>147000</c:v>
                </c:pt>
                <c:pt idx="53">
                  <c:v>148000</c:v>
                </c:pt>
                <c:pt idx="54">
                  <c:v>149000</c:v>
                </c:pt>
                <c:pt idx="55">
                  <c:v>150000</c:v>
                </c:pt>
                <c:pt idx="56">
                  <c:v>151000</c:v>
                </c:pt>
                <c:pt idx="57">
                  <c:v>152000</c:v>
                </c:pt>
                <c:pt idx="58">
                  <c:v>153000</c:v>
                </c:pt>
                <c:pt idx="59">
                  <c:v>154000</c:v>
                </c:pt>
                <c:pt idx="60">
                  <c:v>155000</c:v>
                </c:pt>
                <c:pt idx="61">
                  <c:v>156000</c:v>
                </c:pt>
                <c:pt idx="62">
                  <c:v>157000</c:v>
                </c:pt>
                <c:pt idx="63">
                  <c:v>158000</c:v>
                </c:pt>
                <c:pt idx="64">
                  <c:v>159000</c:v>
                </c:pt>
                <c:pt idx="65">
                  <c:v>160000</c:v>
                </c:pt>
                <c:pt idx="66">
                  <c:v>161000</c:v>
                </c:pt>
                <c:pt idx="67">
                  <c:v>162000</c:v>
                </c:pt>
                <c:pt idx="68">
                  <c:v>163000</c:v>
                </c:pt>
                <c:pt idx="69">
                  <c:v>164000</c:v>
                </c:pt>
                <c:pt idx="70">
                  <c:v>165000</c:v>
                </c:pt>
                <c:pt idx="71">
                  <c:v>166000</c:v>
                </c:pt>
                <c:pt idx="72">
                  <c:v>167000</c:v>
                </c:pt>
                <c:pt idx="73">
                  <c:v>168000</c:v>
                </c:pt>
                <c:pt idx="74">
                  <c:v>169000</c:v>
                </c:pt>
                <c:pt idx="75">
                  <c:v>170000</c:v>
                </c:pt>
                <c:pt idx="76">
                  <c:v>171000</c:v>
                </c:pt>
                <c:pt idx="77">
                  <c:v>172000</c:v>
                </c:pt>
                <c:pt idx="78">
                  <c:v>173000</c:v>
                </c:pt>
                <c:pt idx="79">
                  <c:v>174000</c:v>
                </c:pt>
                <c:pt idx="80">
                  <c:v>175000</c:v>
                </c:pt>
                <c:pt idx="81">
                  <c:v>176000</c:v>
                </c:pt>
              </c:numCache>
            </c:numRef>
          </c:cat>
          <c:val>
            <c:numRef>
              <c:f>'MLR Visualization'!$D$3:$D$90</c:f>
              <c:numCache>
                <c:formatCode>0.0%</c:formatCode>
                <c:ptCount val="88"/>
                <c:pt idx="0">
                  <c:v>0</c:v>
                </c:pt>
                <c:pt idx="1">
                  <c:v>2.9010185583153961E-4</c:v>
                </c:pt>
                <c:pt idx="2">
                  <c:v>3.6300758925664027E-4</c:v>
                </c:pt>
                <c:pt idx="3">
                  <c:v>4.5171553632855047E-4</c:v>
                </c:pt>
                <c:pt idx="4">
                  <c:v>5.5898284127077003E-4</c:v>
                </c:pt>
                <c:pt idx="5">
                  <c:v>6.8788533604947173E-4</c:v>
                </c:pt>
                <c:pt idx="6">
                  <c:v>8.4181711682371034E-4</c:v>
                </c:pt>
                <c:pt idx="7">
                  <c:v>1.0244802223261726E-3</c:v>
                </c:pt>
                <c:pt idx="8">
                  <c:v>1.2398625191162513E-3</c:v>
                </c:pt>
                <c:pt idx="9">
                  <c:v>1.4922019755667084E-3</c:v>
                </c:pt>
                <c:pt idx="10">
                  <c:v>1.785935689429698E-3</c:v>
                </c:pt>
                <c:pt idx="11">
                  <c:v>2.1256323361010365E-3</c:v>
                </c:pt>
                <c:pt idx="12">
                  <c:v>2.5159071350824985E-3</c:v>
                </c:pt>
                <c:pt idx="13">
                  <c:v>2.9613189935235457E-3</c:v>
                </c:pt>
                <c:pt idx="14">
                  <c:v>3.4662501736575334E-3</c:v>
                </c:pt>
                <c:pt idx="15">
                  <c:v>4.0347696324824073E-3</c:v>
                </c:pt>
                <c:pt idx="16">
                  <c:v>4.6704820749334935E-3</c:v>
                </c:pt>
                <c:pt idx="17">
                  <c:v>5.3763657142783701E-3</c:v>
                </c:pt>
                <c:pt idx="18">
                  <c:v>6.1546027045870644E-3</c:v>
                </c:pt>
                <c:pt idx="19">
                  <c:v>7.0064071508982861E-3</c:v>
                </c:pt>
                <c:pt idx="20">
                  <c:v>7.9318564579238804E-3</c:v>
                </c:pt>
                <c:pt idx="21">
                  <c:v>8.9297324890349611E-3</c:v>
                </c:pt>
                <c:pt idx="22">
                  <c:v>9.9973795147880601E-3</c:v>
                </c:pt>
                <c:pt idx="23">
                  <c:v>1.1130586178782209E-2</c:v>
                </c:pt>
                <c:pt idx="24">
                  <c:v>1.2323498650178052E-2</c:v>
                </c:pt>
                <c:pt idx="25">
                  <c:v>1.3568571730428386E-2</c:v>
                </c:pt>
                <c:pt idx="26">
                  <c:v>1.4856563915866566E-2</c:v>
                </c:pt>
                <c:pt idx="27">
                  <c:v>1.617658128573965E-2</c:v>
                </c:pt>
                <c:pt idx="28">
                  <c:v>1.7516173606053592E-2</c:v>
                </c:pt>
                <c:pt idx="29">
                  <c:v>1.8861484254416583E-2</c:v>
                </c:pt>
                <c:pt idx="30">
                  <c:v>2.0197453542892985E-2</c:v>
                </c:pt>
                <c:pt idx="31">
                  <c:v>2.1508072827701452E-2</c:v>
                </c:pt>
                <c:pt idx="32">
                  <c:v>2.2776684545883025E-2</c:v>
                </c:pt>
                <c:pt idx="33">
                  <c:v>2.3986321120997911E-2</c:v>
                </c:pt>
                <c:pt idx="34">
                  <c:v>2.5120073649258612E-2</c:v>
                </c:pt>
                <c:pt idx="35">
                  <c:v>2.6161479529706599E-2</c:v>
                </c:pt>
                <c:pt idx="36">
                  <c:v>2.7094916843935613E-2</c:v>
                </c:pt>
                <c:pt idx="37">
                  <c:v>2.7905992413453484E-2</c:v>
                </c:pt>
                <c:pt idx="38">
                  <c:v>2.8581910134706123E-2</c:v>
                </c:pt>
                <c:pt idx="39">
                  <c:v>2.9111806453955114E-2</c:v>
                </c:pt>
                <c:pt idx="40">
                  <c:v>2.9487040706017764E-2</c:v>
                </c:pt>
                <c:pt idx="41">
                  <c:v>2.9701429478468877E-2</c:v>
                </c:pt>
                <c:pt idx="42">
                  <c:v>2.9751416119483842E-2</c:v>
                </c:pt>
                <c:pt idx="43">
                  <c:v>2.9636168895994075E-2</c:v>
                </c:pt>
                <c:pt idx="44">
                  <c:v>2.9357604016534977E-2</c:v>
                </c:pt>
                <c:pt idx="45">
                  <c:v>2.8920332628230461E-2</c:v>
                </c:pt>
                <c:pt idx="46">
                  <c:v>2.8331533836646328E-2</c:v>
                </c:pt>
                <c:pt idx="47">
                  <c:v>2.7600758634883316E-2</c:v>
                </c:pt>
                <c:pt idx="48">
                  <c:v>2.6739672224635691E-2</c:v>
                </c:pt>
                <c:pt idx="49">
                  <c:v>2.5761744441802903E-2</c:v>
                </c:pt>
                <c:pt idx="50">
                  <c:v>2.4681899759426584E-2</c:v>
                </c:pt>
                <c:pt idx="51">
                  <c:v>2.3516139555617155E-2</c:v>
                </c:pt>
                <c:pt idx="52">
                  <c:v>2.2281149959837432E-2</c:v>
                </c:pt>
                <c:pt idx="53">
                  <c:v>2.099390861674133E-2</c:v>
                </c:pt>
                <c:pt idx="54">
                  <c:v>1.9671303154942366E-2</c:v>
                </c:pt>
                <c:pt idx="55">
                  <c:v>1.832977307101713E-2</c:v>
                </c:pt>
                <c:pt idx="56">
                  <c:v>1.6984985214931081E-2</c:v>
                </c:pt>
                <c:pt idx="57">
                  <c:v>1.5651551190024149E-2</c:v>
                </c:pt>
                <c:pt idx="58">
                  <c:v>1.4342792869799337E-2</c:v>
                </c:pt>
                <c:pt idx="59">
                  <c:v>1.3070560001875342E-2</c:v>
                </c:pt>
                <c:pt idx="60">
                  <c:v>1.1845101631934418E-2</c:v>
                </c:pt>
                <c:pt idx="61">
                  <c:v>1.0674990944509299E-2</c:v>
                </c:pt>
                <c:pt idx="62">
                  <c:v>9.5671011765071645E-3</c:v>
                </c:pt>
                <c:pt idx="63">
                  <c:v>8.5266285888242477E-3</c:v>
                </c:pt>
                <c:pt idx="64">
                  <c:v>7.5571571357810896E-3</c:v>
                </c:pt>
                <c:pt idx="65">
                  <c:v>6.6607584837727885E-3</c:v>
                </c:pt>
                <c:pt idx="66">
                  <c:v>5.8381204099561268E-3</c:v>
                </c:pt>
                <c:pt idx="67">
                  <c:v>5.0886963492000614E-3</c:v>
                </c:pt>
                <c:pt idx="68">
                  <c:v>4.4108689255408784E-3</c:v>
                </c:pt>
                <c:pt idx="69">
                  <c:v>3.8021206615779235E-3</c:v>
                </c:pt>
                <c:pt idx="70">
                  <c:v>3.2592056541093095E-3</c:v>
                </c:pt>
                <c:pt idx="71">
                  <c:v>2.7783167793997698E-3</c:v>
                </c:pt>
                <c:pt idx="72">
                  <c:v>2.3552438874184789E-3</c:v>
                </c:pt>
                <c:pt idx="73">
                  <c:v>1.9855194034511525E-3</c:v>
                </c:pt>
                <c:pt idx="74">
                  <c:v>1.6645487246910173E-3</c:v>
                </c:pt>
                <c:pt idx="75">
                  <c:v>1.3877237327349912E-3</c:v>
                </c:pt>
                <c:pt idx="76">
                  <c:v>1.1505186029467929E-3</c:v>
                </c:pt>
                <c:pt idx="77">
                  <c:v>9.4856785039976188E-4</c:v>
                </c:pt>
                <c:pt idx="78">
                  <c:v>7.7772719105240196E-4</c:v>
                </c:pt>
                <c:pt idx="79">
                  <c:v>6.3411830648640866E-4</c:v>
                </c:pt>
                <c:pt idx="80">
                  <c:v>5.141589795536472E-4</c:v>
                </c:pt>
                <c:pt idx="81">
                  <c:v>4.14580322047442E-4</c:v>
                </c:pt>
              </c:numCache>
            </c:numRef>
          </c:val>
          <c:extLst>
            <c:ext xmlns:c16="http://schemas.microsoft.com/office/drawing/2014/chart" uri="{C3380CC4-5D6E-409C-BE32-E72D297353CC}">
              <c16:uniqueId val="{00000003-0AD2-4E13-ABAB-075D9901D7A9}"/>
            </c:ext>
          </c:extLst>
        </c:ser>
        <c:dLbls>
          <c:showLegendKey val="0"/>
          <c:showVal val="0"/>
          <c:showCatName val="0"/>
          <c:showSerName val="0"/>
          <c:showPercent val="0"/>
          <c:showBubbleSize val="0"/>
        </c:dLbls>
        <c:gapWidth val="0"/>
        <c:axId val="1408759815"/>
        <c:axId val="1409156103"/>
      </c:barChart>
      <c:catAx>
        <c:axId val="1408759815"/>
        <c:scaling>
          <c:orientation val="minMax"/>
        </c:scaling>
        <c:delete val="1"/>
        <c:axPos val="l"/>
        <c:numFmt formatCode="General" sourceLinked="1"/>
        <c:majorTickMark val="none"/>
        <c:minorTickMark val="none"/>
        <c:tickLblPos val="nextTo"/>
        <c:crossAx val="1409156103"/>
        <c:crosses val="autoZero"/>
        <c:auto val="1"/>
        <c:lblAlgn val="ctr"/>
        <c:lblOffset val="100"/>
        <c:noMultiLvlLbl val="0"/>
      </c:catAx>
      <c:valAx>
        <c:axId val="1409156103"/>
        <c:scaling>
          <c:orientation val="minMax"/>
        </c:scaling>
        <c:delete val="1"/>
        <c:axPos val="b"/>
        <c:numFmt formatCode="0.0%" sourceLinked="1"/>
        <c:majorTickMark val="none"/>
        <c:minorTickMark val="none"/>
        <c:tickLblPos val="nextTo"/>
        <c:crossAx val="1408759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spPr>
            <a:solidFill>
              <a:srgbClr val="00B050"/>
            </a:solidFill>
            <a:ln>
              <a:solidFill>
                <a:srgbClr val="00B050"/>
              </a:solidFill>
              <a:prstDash val="solid"/>
            </a:ln>
            <a:effectLst/>
          </c:spPr>
          <c:invertIfNegative val="0"/>
          <c:dPt>
            <c:idx val="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C-F085-442F-8AC3-2C38ADE33C4F}"/>
              </c:ext>
            </c:extLst>
          </c:dPt>
          <c:dPt>
            <c:idx val="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B-F085-442F-8AC3-2C38ADE33C4F}"/>
              </c:ext>
            </c:extLst>
          </c:dPt>
          <c:dPt>
            <c:idx val="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A-F085-442F-8AC3-2C38ADE33C4F}"/>
              </c:ext>
            </c:extLst>
          </c:dPt>
          <c:dPt>
            <c:idx val="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9-F085-442F-8AC3-2C38ADE33C4F}"/>
              </c:ext>
            </c:extLst>
          </c:dPt>
          <c:dPt>
            <c:idx val="5"/>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8-F085-442F-8AC3-2C38ADE33C4F}"/>
              </c:ext>
            </c:extLst>
          </c:dPt>
          <c:dPt>
            <c:idx val="6"/>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7-F085-442F-8AC3-2C38ADE33C4F}"/>
              </c:ext>
            </c:extLst>
          </c:dPt>
          <c:dPt>
            <c:idx val="7"/>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6-F085-442F-8AC3-2C38ADE33C4F}"/>
              </c:ext>
            </c:extLst>
          </c:dPt>
          <c:dPt>
            <c:idx val="8"/>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5-F085-442F-8AC3-2C38ADE33C4F}"/>
              </c:ext>
            </c:extLst>
          </c:dPt>
          <c:dPt>
            <c:idx val="9"/>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4-F085-442F-8AC3-2C38ADE33C4F}"/>
              </c:ext>
            </c:extLst>
          </c:dPt>
          <c:dPt>
            <c:idx val="10"/>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3-F085-442F-8AC3-2C38ADE33C4F}"/>
              </c:ext>
            </c:extLst>
          </c:dPt>
          <c:dPt>
            <c:idx val="1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2-F085-442F-8AC3-2C38ADE33C4F}"/>
              </c:ext>
            </c:extLst>
          </c:dPt>
          <c:dPt>
            <c:idx val="1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1-F085-442F-8AC3-2C38ADE33C4F}"/>
              </c:ext>
            </c:extLst>
          </c:dPt>
          <c:dPt>
            <c:idx val="1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10-F085-442F-8AC3-2C38ADE33C4F}"/>
              </c:ext>
            </c:extLst>
          </c:dPt>
          <c:dPt>
            <c:idx val="1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E-F085-442F-8AC3-2C38ADE33C4F}"/>
              </c:ext>
            </c:extLst>
          </c:dPt>
          <c:dPt>
            <c:idx val="15"/>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F-F085-442F-8AC3-2C38ADE33C4F}"/>
              </c:ext>
            </c:extLst>
          </c:dPt>
          <c:dPt>
            <c:idx val="16"/>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D-F085-442F-8AC3-2C38ADE33C4F}"/>
              </c:ext>
            </c:extLst>
          </c:dPt>
          <c:dPt>
            <c:idx val="17"/>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C-F085-442F-8AC3-2C38ADE33C4F}"/>
              </c:ext>
            </c:extLst>
          </c:dPt>
          <c:dPt>
            <c:idx val="18"/>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B-F085-442F-8AC3-2C38ADE33C4F}"/>
              </c:ext>
            </c:extLst>
          </c:dPt>
          <c:dPt>
            <c:idx val="19"/>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A-F085-442F-8AC3-2C38ADE33C4F}"/>
              </c:ext>
            </c:extLst>
          </c:dPt>
          <c:dPt>
            <c:idx val="20"/>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9-F085-442F-8AC3-2C38ADE33C4F}"/>
              </c:ext>
            </c:extLst>
          </c:dPt>
          <c:dPt>
            <c:idx val="21"/>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8-F085-442F-8AC3-2C38ADE33C4F}"/>
              </c:ext>
            </c:extLst>
          </c:dPt>
          <c:dPt>
            <c:idx val="22"/>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7-F085-442F-8AC3-2C38ADE33C4F}"/>
              </c:ext>
            </c:extLst>
          </c:dPt>
          <c:dPt>
            <c:idx val="23"/>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6-F085-442F-8AC3-2C38ADE33C4F}"/>
              </c:ext>
            </c:extLst>
          </c:dPt>
          <c:dPt>
            <c:idx val="24"/>
            <c:invertIfNegative val="0"/>
            <c:bubble3D val="0"/>
            <c:spPr>
              <a:solidFill>
                <a:srgbClr val="FF0000"/>
              </a:solidFill>
              <a:ln>
                <a:solidFill>
                  <a:srgbClr val="FF0000"/>
                </a:solidFill>
                <a:prstDash val="solid"/>
              </a:ln>
              <a:effectLst/>
            </c:spPr>
            <c:extLst>
              <c:ext xmlns:c16="http://schemas.microsoft.com/office/drawing/2014/chart" uri="{C3380CC4-5D6E-409C-BE32-E72D297353CC}">
                <c16:uniqueId val="{00000005-F085-442F-8AC3-2C38ADE33C4F}"/>
              </c:ext>
            </c:extLst>
          </c:dPt>
          <c:cat>
            <c:numRef>
              <c:f>'MLR Visualization'!$B$3:$B$84</c:f>
              <c:numCache>
                <c:formatCode>General</c:formatCode>
                <c:ptCount val="82"/>
                <c:pt idx="0">
                  <c:v>95000</c:v>
                </c:pt>
                <c:pt idx="1">
                  <c:v>96000</c:v>
                </c:pt>
                <c:pt idx="2">
                  <c:v>97000</c:v>
                </c:pt>
                <c:pt idx="3">
                  <c:v>98000</c:v>
                </c:pt>
                <c:pt idx="4">
                  <c:v>99000</c:v>
                </c:pt>
                <c:pt idx="5">
                  <c:v>100000</c:v>
                </c:pt>
                <c:pt idx="6">
                  <c:v>101000</c:v>
                </c:pt>
                <c:pt idx="7">
                  <c:v>102000</c:v>
                </c:pt>
                <c:pt idx="8">
                  <c:v>103000</c:v>
                </c:pt>
                <c:pt idx="9">
                  <c:v>104000</c:v>
                </c:pt>
                <c:pt idx="10">
                  <c:v>105000</c:v>
                </c:pt>
                <c:pt idx="11">
                  <c:v>106000</c:v>
                </c:pt>
                <c:pt idx="12">
                  <c:v>107000</c:v>
                </c:pt>
                <c:pt idx="13">
                  <c:v>108000</c:v>
                </c:pt>
                <c:pt idx="14">
                  <c:v>109000</c:v>
                </c:pt>
                <c:pt idx="15">
                  <c:v>110000</c:v>
                </c:pt>
                <c:pt idx="16">
                  <c:v>111000</c:v>
                </c:pt>
                <c:pt idx="17">
                  <c:v>112000</c:v>
                </c:pt>
                <c:pt idx="18">
                  <c:v>113000</c:v>
                </c:pt>
                <c:pt idx="19">
                  <c:v>114000</c:v>
                </c:pt>
                <c:pt idx="20">
                  <c:v>115000</c:v>
                </c:pt>
                <c:pt idx="21">
                  <c:v>116000</c:v>
                </c:pt>
                <c:pt idx="22">
                  <c:v>117000</c:v>
                </c:pt>
                <c:pt idx="23">
                  <c:v>118000</c:v>
                </c:pt>
                <c:pt idx="24">
                  <c:v>119000</c:v>
                </c:pt>
                <c:pt idx="25">
                  <c:v>120000</c:v>
                </c:pt>
                <c:pt idx="26">
                  <c:v>121000</c:v>
                </c:pt>
                <c:pt idx="27">
                  <c:v>122000</c:v>
                </c:pt>
                <c:pt idx="28">
                  <c:v>123000</c:v>
                </c:pt>
                <c:pt idx="29">
                  <c:v>124000</c:v>
                </c:pt>
                <c:pt idx="30">
                  <c:v>125000</c:v>
                </c:pt>
                <c:pt idx="31">
                  <c:v>126000</c:v>
                </c:pt>
                <c:pt idx="32">
                  <c:v>127000</c:v>
                </c:pt>
                <c:pt idx="33">
                  <c:v>128000</c:v>
                </c:pt>
                <c:pt idx="34">
                  <c:v>129000</c:v>
                </c:pt>
                <c:pt idx="35">
                  <c:v>130000</c:v>
                </c:pt>
                <c:pt idx="36">
                  <c:v>131000</c:v>
                </c:pt>
                <c:pt idx="37">
                  <c:v>132000</c:v>
                </c:pt>
                <c:pt idx="38">
                  <c:v>133000</c:v>
                </c:pt>
                <c:pt idx="39">
                  <c:v>134000</c:v>
                </c:pt>
                <c:pt idx="40">
                  <c:v>135000</c:v>
                </c:pt>
                <c:pt idx="41">
                  <c:v>136000</c:v>
                </c:pt>
                <c:pt idx="42">
                  <c:v>137000</c:v>
                </c:pt>
                <c:pt idx="43">
                  <c:v>138000</c:v>
                </c:pt>
                <c:pt idx="44">
                  <c:v>139000</c:v>
                </c:pt>
                <c:pt idx="45">
                  <c:v>140000</c:v>
                </c:pt>
                <c:pt idx="46">
                  <c:v>141000</c:v>
                </c:pt>
                <c:pt idx="47">
                  <c:v>142000</c:v>
                </c:pt>
                <c:pt idx="48">
                  <c:v>143000</c:v>
                </c:pt>
                <c:pt idx="49">
                  <c:v>144000</c:v>
                </c:pt>
                <c:pt idx="50">
                  <c:v>145000</c:v>
                </c:pt>
                <c:pt idx="51">
                  <c:v>146000</c:v>
                </c:pt>
                <c:pt idx="52">
                  <c:v>147000</c:v>
                </c:pt>
                <c:pt idx="53">
                  <c:v>148000</c:v>
                </c:pt>
                <c:pt idx="54">
                  <c:v>149000</c:v>
                </c:pt>
                <c:pt idx="55">
                  <c:v>150000</c:v>
                </c:pt>
                <c:pt idx="56">
                  <c:v>151000</c:v>
                </c:pt>
                <c:pt idx="57">
                  <c:v>152000</c:v>
                </c:pt>
                <c:pt idx="58">
                  <c:v>153000</c:v>
                </c:pt>
                <c:pt idx="59">
                  <c:v>154000</c:v>
                </c:pt>
                <c:pt idx="60">
                  <c:v>155000</c:v>
                </c:pt>
                <c:pt idx="61">
                  <c:v>156000</c:v>
                </c:pt>
                <c:pt idx="62">
                  <c:v>157000</c:v>
                </c:pt>
                <c:pt idx="63">
                  <c:v>158000</c:v>
                </c:pt>
                <c:pt idx="64">
                  <c:v>159000</c:v>
                </c:pt>
                <c:pt idx="65">
                  <c:v>160000</c:v>
                </c:pt>
                <c:pt idx="66">
                  <c:v>161000</c:v>
                </c:pt>
                <c:pt idx="67">
                  <c:v>162000</c:v>
                </c:pt>
                <c:pt idx="68">
                  <c:v>163000</c:v>
                </c:pt>
                <c:pt idx="69">
                  <c:v>164000</c:v>
                </c:pt>
                <c:pt idx="70">
                  <c:v>165000</c:v>
                </c:pt>
                <c:pt idx="71">
                  <c:v>166000</c:v>
                </c:pt>
                <c:pt idx="72">
                  <c:v>167000</c:v>
                </c:pt>
                <c:pt idx="73">
                  <c:v>168000</c:v>
                </c:pt>
                <c:pt idx="74">
                  <c:v>169000</c:v>
                </c:pt>
                <c:pt idx="75">
                  <c:v>170000</c:v>
                </c:pt>
                <c:pt idx="76">
                  <c:v>171000</c:v>
                </c:pt>
                <c:pt idx="77">
                  <c:v>172000</c:v>
                </c:pt>
                <c:pt idx="78">
                  <c:v>173000</c:v>
                </c:pt>
                <c:pt idx="79">
                  <c:v>174000</c:v>
                </c:pt>
                <c:pt idx="80">
                  <c:v>175000</c:v>
                </c:pt>
                <c:pt idx="81">
                  <c:v>176000</c:v>
                </c:pt>
              </c:numCache>
            </c:numRef>
          </c:cat>
          <c:val>
            <c:numRef>
              <c:f>'MLR Visualization'!$D$3:$D$84</c:f>
              <c:numCache>
                <c:formatCode>0.0%</c:formatCode>
                <c:ptCount val="82"/>
                <c:pt idx="0">
                  <c:v>0</c:v>
                </c:pt>
                <c:pt idx="1">
                  <c:v>2.9010185583153961E-4</c:v>
                </c:pt>
                <c:pt idx="2">
                  <c:v>3.6300758925664027E-4</c:v>
                </c:pt>
                <c:pt idx="3">
                  <c:v>4.5171553632855047E-4</c:v>
                </c:pt>
                <c:pt idx="4">
                  <c:v>5.5898284127077003E-4</c:v>
                </c:pt>
                <c:pt idx="5">
                  <c:v>6.8788533604947173E-4</c:v>
                </c:pt>
                <c:pt idx="6">
                  <c:v>8.4181711682371034E-4</c:v>
                </c:pt>
                <c:pt idx="7">
                  <c:v>1.0244802223261726E-3</c:v>
                </c:pt>
                <c:pt idx="8">
                  <c:v>1.2398625191162513E-3</c:v>
                </c:pt>
                <c:pt idx="9">
                  <c:v>1.4922019755667084E-3</c:v>
                </c:pt>
                <c:pt idx="10">
                  <c:v>1.785935689429698E-3</c:v>
                </c:pt>
                <c:pt idx="11">
                  <c:v>2.1256323361010365E-3</c:v>
                </c:pt>
                <c:pt idx="12">
                  <c:v>2.5159071350824985E-3</c:v>
                </c:pt>
                <c:pt idx="13">
                  <c:v>2.9613189935235457E-3</c:v>
                </c:pt>
                <c:pt idx="14">
                  <c:v>3.4662501736575334E-3</c:v>
                </c:pt>
                <c:pt idx="15">
                  <c:v>4.0347696324824073E-3</c:v>
                </c:pt>
                <c:pt idx="16">
                  <c:v>4.6704820749334935E-3</c:v>
                </c:pt>
                <c:pt idx="17">
                  <c:v>5.3763657142783701E-3</c:v>
                </c:pt>
                <c:pt idx="18">
                  <c:v>6.1546027045870644E-3</c:v>
                </c:pt>
                <c:pt idx="19">
                  <c:v>7.0064071508982861E-3</c:v>
                </c:pt>
                <c:pt idx="20">
                  <c:v>7.9318564579238804E-3</c:v>
                </c:pt>
                <c:pt idx="21">
                  <c:v>8.9297324890349611E-3</c:v>
                </c:pt>
                <c:pt idx="22">
                  <c:v>9.9973795147880601E-3</c:v>
                </c:pt>
                <c:pt idx="23">
                  <c:v>1.1130586178782209E-2</c:v>
                </c:pt>
                <c:pt idx="24">
                  <c:v>1.2323498650178052E-2</c:v>
                </c:pt>
                <c:pt idx="25">
                  <c:v>1.3568571730428386E-2</c:v>
                </c:pt>
                <c:pt idx="26">
                  <c:v>1.4856563915866566E-2</c:v>
                </c:pt>
                <c:pt idx="27">
                  <c:v>1.617658128573965E-2</c:v>
                </c:pt>
                <c:pt idx="28">
                  <c:v>1.7516173606053592E-2</c:v>
                </c:pt>
                <c:pt idx="29">
                  <c:v>1.8861484254416583E-2</c:v>
                </c:pt>
                <c:pt idx="30">
                  <c:v>2.0197453542892985E-2</c:v>
                </c:pt>
                <c:pt idx="31">
                  <c:v>2.1508072827701452E-2</c:v>
                </c:pt>
                <c:pt idx="32">
                  <c:v>2.2776684545883025E-2</c:v>
                </c:pt>
                <c:pt idx="33">
                  <c:v>2.3986321120997911E-2</c:v>
                </c:pt>
                <c:pt idx="34">
                  <c:v>2.5120073649258612E-2</c:v>
                </c:pt>
                <c:pt idx="35">
                  <c:v>2.6161479529706599E-2</c:v>
                </c:pt>
                <c:pt idx="36">
                  <c:v>2.7094916843935613E-2</c:v>
                </c:pt>
                <c:pt idx="37">
                  <c:v>2.7905992413453484E-2</c:v>
                </c:pt>
                <c:pt idx="38">
                  <c:v>2.8581910134706123E-2</c:v>
                </c:pt>
                <c:pt idx="39">
                  <c:v>2.9111806453955114E-2</c:v>
                </c:pt>
                <c:pt idx="40">
                  <c:v>2.9487040706017764E-2</c:v>
                </c:pt>
                <c:pt idx="41">
                  <c:v>2.9701429478468877E-2</c:v>
                </c:pt>
                <c:pt idx="42">
                  <c:v>2.9751416119483842E-2</c:v>
                </c:pt>
                <c:pt idx="43">
                  <c:v>2.9636168895994075E-2</c:v>
                </c:pt>
                <c:pt idx="44">
                  <c:v>2.9357604016534977E-2</c:v>
                </c:pt>
                <c:pt idx="45">
                  <c:v>2.8920332628230461E-2</c:v>
                </c:pt>
                <c:pt idx="46">
                  <c:v>2.8331533836646328E-2</c:v>
                </c:pt>
                <c:pt idx="47">
                  <c:v>2.7600758634883316E-2</c:v>
                </c:pt>
                <c:pt idx="48">
                  <c:v>2.6739672224635691E-2</c:v>
                </c:pt>
                <c:pt idx="49">
                  <c:v>2.5761744441802903E-2</c:v>
                </c:pt>
                <c:pt idx="50">
                  <c:v>2.4681899759426584E-2</c:v>
                </c:pt>
                <c:pt idx="51">
                  <c:v>2.3516139555617155E-2</c:v>
                </c:pt>
                <c:pt idx="52">
                  <c:v>2.2281149959837432E-2</c:v>
                </c:pt>
                <c:pt idx="53">
                  <c:v>2.099390861674133E-2</c:v>
                </c:pt>
                <c:pt idx="54">
                  <c:v>1.9671303154942366E-2</c:v>
                </c:pt>
                <c:pt idx="55">
                  <c:v>1.832977307101713E-2</c:v>
                </c:pt>
                <c:pt idx="56">
                  <c:v>1.6984985214931081E-2</c:v>
                </c:pt>
                <c:pt idx="57">
                  <c:v>1.5651551190024149E-2</c:v>
                </c:pt>
                <c:pt idx="58">
                  <c:v>1.4342792869799337E-2</c:v>
                </c:pt>
                <c:pt idx="59">
                  <c:v>1.3070560001875342E-2</c:v>
                </c:pt>
                <c:pt idx="60">
                  <c:v>1.1845101631934418E-2</c:v>
                </c:pt>
                <c:pt idx="61">
                  <c:v>1.0674990944509299E-2</c:v>
                </c:pt>
                <c:pt idx="62">
                  <c:v>9.5671011765071645E-3</c:v>
                </c:pt>
                <c:pt idx="63">
                  <c:v>8.5266285888242477E-3</c:v>
                </c:pt>
                <c:pt idx="64">
                  <c:v>7.5571571357810896E-3</c:v>
                </c:pt>
                <c:pt idx="65">
                  <c:v>6.6607584837727885E-3</c:v>
                </c:pt>
                <c:pt idx="66">
                  <c:v>5.8381204099561268E-3</c:v>
                </c:pt>
                <c:pt idx="67">
                  <c:v>5.0886963492000614E-3</c:v>
                </c:pt>
                <c:pt idx="68">
                  <c:v>4.4108689255408784E-3</c:v>
                </c:pt>
                <c:pt idx="69">
                  <c:v>3.8021206615779235E-3</c:v>
                </c:pt>
                <c:pt idx="70">
                  <c:v>3.2592056541093095E-3</c:v>
                </c:pt>
                <c:pt idx="71">
                  <c:v>2.7783167793997698E-3</c:v>
                </c:pt>
                <c:pt idx="72">
                  <c:v>2.3552438874184789E-3</c:v>
                </c:pt>
                <c:pt idx="73">
                  <c:v>1.9855194034511525E-3</c:v>
                </c:pt>
                <c:pt idx="74">
                  <c:v>1.6645487246910173E-3</c:v>
                </c:pt>
                <c:pt idx="75">
                  <c:v>1.3877237327349912E-3</c:v>
                </c:pt>
                <c:pt idx="76">
                  <c:v>1.1505186029467929E-3</c:v>
                </c:pt>
                <c:pt idx="77">
                  <c:v>9.4856785039976188E-4</c:v>
                </c:pt>
                <c:pt idx="78">
                  <c:v>7.7772719105240196E-4</c:v>
                </c:pt>
                <c:pt idx="79">
                  <c:v>6.3411830648640866E-4</c:v>
                </c:pt>
                <c:pt idx="80">
                  <c:v>5.141589795536472E-4</c:v>
                </c:pt>
                <c:pt idx="81">
                  <c:v>4.14580322047442E-4</c:v>
                </c:pt>
              </c:numCache>
            </c:numRef>
          </c:val>
          <c:extLst>
            <c:ext xmlns:c16="http://schemas.microsoft.com/office/drawing/2014/chart" uri="{C3380CC4-5D6E-409C-BE32-E72D297353CC}">
              <c16:uniqueId val="{00000003-F085-442F-8AC3-2C38ADE33C4F}"/>
            </c:ext>
          </c:extLst>
        </c:ser>
        <c:dLbls>
          <c:showLegendKey val="0"/>
          <c:showVal val="0"/>
          <c:showCatName val="0"/>
          <c:showSerName val="0"/>
          <c:showPercent val="0"/>
          <c:showBubbleSize val="0"/>
        </c:dLbls>
        <c:gapWidth val="0"/>
        <c:overlap val="-27"/>
        <c:axId val="534953991"/>
        <c:axId val="534956039"/>
      </c:barChart>
      <c:catAx>
        <c:axId val="534953991"/>
        <c:scaling>
          <c:orientation val="minMax"/>
        </c:scaling>
        <c:delete val="1"/>
        <c:axPos val="b"/>
        <c:numFmt formatCode="General" sourceLinked="1"/>
        <c:majorTickMark val="none"/>
        <c:minorTickMark val="none"/>
        <c:tickLblPos val="nextTo"/>
        <c:crossAx val="534956039"/>
        <c:crosses val="autoZero"/>
        <c:auto val="1"/>
        <c:lblAlgn val="ctr"/>
        <c:lblOffset val="100"/>
        <c:noMultiLvlLbl val="0"/>
      </c:catAx>
      <c:valAx>
        <c:axId val="534956039"/>
        <c:scaling>
          <c:orientation val="minMax"/>
        </c:scaling>
        <c:delete val="1"/>
        <c:axPos val="l"/>
        <c:numFmt formatCode="0.0%" sourceLinked="1"/>
        <c:majorTickMark val="none"/>
        <c:minorTickMark val="none"/>
        <c:tickLblPos val="nextTo"/>
        <c:crossAx val="534953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'Other visuals'!$C$1</c:f>
              <c:strCache>
                <c:ptCount val="1"/>
                <c:pt idx="0">
                  <c:v>Net Sales (L)</c:v>
                </c:pt>
              </c:strCache>
            </c:strRef>
          </c:tx>
          <c:spPr>
            <a:solidFill>
              <a:srgbClr val="275185"/>
            </a:solidFill>
            <a:ln>
              <a:solidFill>
                <a:srgbClr val="000000"/>
              </a:solidFill>
              <a:prstDash val="solid"/>
            </a:ln>
            <a:effectLst/>
          </c:spPr>
          <c:invertIfNegative val="0"/>
          <c:cat>
            <c:strRef>
              <c:f>'Other visuals'!$B$2:$B$17</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LTM</c:v>
                </c:pt>
              </c:strCache>
            </c:strRef>
          </c:cat>
          <c:val>
            <c:numRef>
              <c:f>'Other visuals'!$C$2:$C$17</c:f>
              <c:numCache>
                <c:formatCode>General</c:formatCode>
                <c:ptCount val="16"/>
                <c:pt idx="0">
                  <c:v>357.93599999999998</c:v>
                </c:pt>
                <c:pt idx="1">
                  <c:v>342.233</c:v>
                </c:pt>
                <c:pt idx="2">
                  <c:v>411.99700000000001</c:v>
                </c:pt>
                <c:pt idx="3">
                  <c:v>587.51400000000001</c:v>
                </c:pt>
                <c:pt idx="4">
                  <c:v>626.62</c:v>
                </c:pt>
                <c:pt idx="5">
                  <c:v>551.86199999999997</c:v>
                </c:pt>
                <c:pt idx="6">
                  <c:v>722.90800000000002</c:v>
                </c:pt>
                <c:pt idx="7">
                  <c:v>903.18799999999999</c:v>
                </c:pt>
                <c:pt idx="8">
                  <c:v>606.85</c:v>
                </c:pt>
                <c:pt idx="9">
                  <c:v>481.33600000000001</c:v>
                </c:pt>
                <c:pt idx="10">
                  <c:v>529.61800000000005</c:v>
                </c:pt>
                <c:pt idx="11">
                  <c:v>1059.1949999999999</c:v>
                </c:pt>
                <c:pt idx="12">
                  <c:v>854.12599999999998</c:v>
                </c:pt>
                <c:pt idx="13">
                  <c:v>479.24200000000002</c:v>
                </c:pt>
                <c:pt idx="14">
                  <c:v>535.83299999999997</c:v>
                </c:pt>
                <c:pt idx="15">
                  <c:v>514.64499999999998</c:v>
                </c:pt>
              </c:numCache>
            </c:numRef>
          </c:val>
          <c:extLst>
            <c:ext xmlns:c16="http://schemas.microsoft.com/office/drawing/2014/chart" uri="{C3380CC4-5D6E-409C-BE32-E72D297353CC}">
              <c16:uniqueId val="{00000001-9538-47E6-84BE-C93F21D5A706}"/>
            </c:ext>
          </c:extLst>
        </c:ser>
        <c:dLbls>
          <c:showLegendKey val="0"/>
          <c:showVal val="0"/>
          <c:showCatName val="0"/>
          <c:showSerName val="0"/>
          <c:showPercent val="0"/>
          <c:showBubbleSize val="0"/>
        </c:dLbls>
        <c:gapWidth val="75"/>
        <c:axId val="373305352"/>
        <c:axId val="373307400"/>
      </c:barChart>
      <c:lineChart>
        <c:grouping val="standard"/>
        <c:varyColors val="0"/>
        <c:ser>
          <c:idx val="2"/>
          <c:order val="1"/>
          <c:tx>
            <c:strRef>
              <c:f>'Other visuals'!$E$1</c:f>
              <c:strCache>
                <c:ptCount val="1"/>
                <c:pt idx="0">
                  <c:v>EBITDA Margin (R)</c:v>
                </c:pt>
              </c:strCache>
            </c:strRef>
          </c:tx>
          <c:spPr>
            <a:ln w="28575" cap="rnd">
              <a:solidFill>
                <a:schemeClr val="tx1"/>
              </a:solidFill>
              <a:prstDash val="solid"/>
              <a:round/>
            </a:ln>
            <a:effectLst/>
          </c:spPr>
          <c:marker>
            <c:symbol val="none"/>
          </c:marker>
          <c:cat>
            <c:strRef>
              <c:f>'Other visuals'!$B$2:$B$17</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LTM</c:v>
                </c:pt>
              </c:strCache>
            </c:strRef>
          </c:cat>
          <c:val>
            <c:numRef>
              <c:f>'Other visuals'!$E$2:$E$17</c:f>
              <c:numCache>
                <c:formatCode>0.0%</c:formatCode>
                <c:ptCount val="16"/>
                <c:pt idx="0">
                  <c:v>0.15001285145947879</c:v>
                </c:pt>
                <c:pt idx="1">
                  <c:v>9.5624910514181857E-2</c:v>
                </c:pt>
                <c:pt idx="2">
                  <c:v>0.14962487590929058</c:v>
                </c:pt>
                <c:pt idx="3">
                  <c:v>0.25457095490490439</c:v>
                </c:pt>
                <c:pt idx="4">
                  <c:v>0.27559286329833071</c:v>
                </c:pt>
                <c:pt idx="5">
                  <c:v>0.21838974236312703</c:v>
                </c:pt>
                <c:pt idx="6">
                  <c:v>0.27649438102773793</c:v>
                </c:pt>
                <c:pt idx="7">
                  <c:v>0.27696559298839224</c:v>
                </c:pt>
                <c:pt idx="8">
                  <c:v>0.13038312597841312</c:v>
                </c:pt>
                <c:pt idx="9">
                  <c:v>0.15075331992620539</c:v>
                </c:pt>
                <c:pt idx="10">
                  <c:v>0.15535159303497992</c:v>
                </c:pt>
                <c:pt idx="11">
                  <c:v>0.33157917097418321</c:v>
                </c:pt>
                <c:pt idx="12">
                  <c:v>0.32984126463777008</c:v>
                </c:pt>
                <c:pt idx="13">
                  <c:v>0.16660267672699802</c:v>
                </c:pt>
                <c:pt idx="14">
                  <c:v>0.14433041637973026</c:v>
                </c:pt>
                <c:pt idx="15">
                  <c:v>0.14235832467040388</c:v>
                </c:pt>
              </c:numCache>
            </c:numRef>
          </c:val>
          <c:smooth val="0"/>
          <c:extLst>
            <c:ext xmlns:c16="http://schemas.microsoft.com/office/drawing/2014/chart" uri="{C3380CC4-5D6E-409C-BE32-E72D297353CC}">
              <c16:uniqueId val="{00000005-9538-47E6-84BE-C93F21D5A706}"/>
            </c:ext>
          </c:extLst>
        </c:ser>
        <c:dLbls>
          <c:showLegendKey val="0"/>
          <c:showVal val="0"/>
          <c:showCatName val="0"/>
          <c:showSerName val="0"/>
          <c:showPercent val="0"/>
          <c:showBubbleSize val="0"/>
        </c:dLbls>
        <c:marker val="1"/>
        <c:smooth val="0"/>
        <c:axId val="1154406407"/>
        <c:axId val="1154391047"/>
      </c:lineChart>
      <c:catAx>
        <c:axId val="373305352"/>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373307400"/>
        <c:crosses val="autoZero"/>
        <c:auto val="1"/>
        <c:lblAlgn val="ctr"/>
        <c:lblOffset val="100"/>
        <c:noMultiLvlLbl val="0"/>
      </c:catAx>
      <c:valAx>
        <c:axId val="373307400"/>
        <c:scaling>
          <c:orientation val="minMax"/>
        </c:scaling>
        <c:delete val="0"/>
        <c:axPos val="l"/>
        <c:numFmt formatCode="&quot;$&quot;#,##0\k;\-#,##0\k"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373305352"/>
        <c:crosses val="autoZero"/>
        <c:crossBetween val="between"/>
      </c:valAx>
      <c:valAx>
        <c:axId val="1154391047"/>
        <c:scaling>
          <c:orientation val="minMax"/>
        </c:scaling>
        <c:delete val="0"/>
        <c:axPos val="r"/>
        <c:numFmt formatCode="0.0%" sourceLinked="1"/>
        <c:majorTickMark val="out"/>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1154406407"/>
        <c:crosses val="max"/>
        <c:crossBetween val="between"/>
      </c:valAx>
      <c:catAx>
        <c:axId val="1154406407"/>
        <c:scaling>
          <c:orientation val="minMax"/>
        </c:scaling>
        <c:delete val="1"/>
        <c:axPos val="b"/>
        <c:numFmt formatCode="General" sourceLinked="1"/>
        <c:majorTickMark val="out"/>
        <c:minorTickMark val="none"/>
        <c:tickLblPos val="nextTo"/>
        <c:crossAx val="1154391047"/>
        <c:crosses val="autoZero"/>
        <c:auto val="1"/>
        <c:lblAlgn val="ctr"/>
        <c:lblOffset val="100"/>
        <c:noMultiLvlLbl val="0"/>
      </c:catAx>
      <c:spPr>
        <a:noFill/>
        <a:ln>
          <a:noFill/>
        </a:ln>
        <a:effectLst/>
      </c:spPr>
    </c:plotArea>
    <c:legend>
      <c:legendPos val="t"/>
      <c:layout>
        <c:manualLayout>
          <c:xMode val="edge"/>
          <c:yMode val="edge"/>
          <c:x val="7.4130881290845357E-2"/>
          <c:y val="0.19463087248322147"/>
          <c:w val="0.28797970723458227"/>
          <c:h val="5.0335922774753836E-2"/>
        </c:manualLayout>
      </c:layout>
      <c:overlay val="0"/>
      <c:spPr>
        <a:noFill/>
        <a:ln>
          <a:solidFill>
            <a:srgbClr val="FFFFFF"/>
          </a:solidFill>
          <a:prstDash val="solid"/>
        </a:ln>
        <a:effectLst/>
      </c:spPr>
      <c:txPr>
        <a:bodyPr rot="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F8-43A3-9679-E8969FCD04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F8-43A3-9679-E8969FCD04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F8-43A3-9679-E8969FCD04CA}"/>
              </c:ext>
            </c:extLst>
          </c:dPt>
          <c:val>
            <c:numRef>
              <c:f>'Other visuals'!$AO$3:$AO$5</c:f>
              <c:numCache>
                <c:formatCode>0%</c:formatCode>
                <c:ptCount val="3"/>
                <c:pt idx="0">
                  <c:v>0.34</c:v>
                </c:pt>
                <c:pt idx="1">
                  <c:v>0.37</c:v>
                </c:pt>
                <c:pt idx="2">
                  <c:v>0.28999999999999998</c:v>
                </c:pt>
              </c:numCache>
            </c:numRef>
          </c:val>
          <c:extLst>
            <c:ext xmlns:c16="http://schemas.microsoft.com/office/drawing/2014/chart" uri="{C3380CC4-5D6E-409C-BE32-E72D297353CC}">
              <c16:uniqueId val="{00000001-0A5B-43E9-839A-1E7B88D6D4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'Other visuals'!$N$1</c:f>
              <c:strCache>
                <c:ptCount val="1"/>
                <c:pt idx="0">
                  <c:v>ROIC</c:v>
                </c:pt>
              </c:strCache>
            </c:strRef>
          </c:tx>
          <c:spPr>
            <a:solidFill>
              <a:schemeClr val="accent1"/>
            </a:solidFill>
            <a:ln>
              <a:noFill/>
            </a:ln>
            <a:effectLst/>
          </c:spPr>
          <c:invertIfNegative val="0"/>
          <c:cat>
            <c:strRef>
              <c:f>'Other visuals'!$B$2:$B$16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visuals'!$N$2:$N$16</c:f>
              <c:numCache>
                <c:formatCode>0.0%</c:formatCode>
                <c:ptCount val="15"/>
                <c:pt idx="0">
                  <c:v>0.37663778032595818</c:v>
                </c:pt>
                <c:pt idx="1">
                  <c:v>0.20828894222326291</c:v>
                </c:pt>
                <c:pt idx="2">
                  <c:v>0.40399352401511057</c:v>
                </c:pt>
                <c:pt idx="3">
                  <c:v>0.99974410693319693</c:v>
                </c:pt>
                <c:pt idx="4">
                  <c:v>0.7617654181465936</c:v>
                </c:pt>
                <c:pt idx="5">
                  <c:v>0.43155325080529838</c:v>
                </c:pt>
                <c:pt idx="6">
                  <c:v>1.025057345006946</c:v>
                </c:pt>
                <c:pt idx="7">
                  <c:v>0.78305500289818741</c:v>
                </c:pt>
                <c:pt idx="8">
                  <c:v>0.10484818178646603</c:v>
                </c:pt>
                <c:pt idx="9">
                  <c:v>0.14961082002832898</c:v>
                </c:pt>
                <c:pt idx="10">
                  <c:v>0.19414309586936979</c:v>
                </c:pt>
                <c:pt idx="11">
                  <c:v>2.4140113438111284</c:v>
                </c:pt>
                <c:pt idx="12">
                  <c:v>1.1656916014693144</c:v>
                </c:pt>
                <c:pt idx="13">
                  <c:v>0.14916492049796617</c:v>
                </c:pt>
                <c:pt idx="14">
                  <c:v>0.12883522073378448</c:v>
                </c:pt>
              </c:numCache>
            </c:numRef>
          </c:val>
          <c:extLst>
            <c:ext xmlns:c16="http://schemas.microsoft.com/office/drawing/2014/chart" uri="{C3380CC4-5D6E-409C-BE32-E72D297353CC}">
              <c16:uniqueId val="{00000001-E598-449C-884E-E0E058949A03}"/>
            </c:ext>
          </c:extLst>
        </c:ser>
        <c:dLbls>
          <c:showLegendKey val="0"/>
          <c:showVal val="0"/>
          <c:showCatName val="0"/>
          <c:showSerName val="0"/>
          <c:showPercent val="0"/>
          <c:showBubbleSize val="0"/>
        </c:dLbls>
        <c:gapWidth val="50"/>
        <c:overlap val="-27"/>
        <c:axId val="1483101191"/>
        <c:axId val="1483103751"/>
      </c:barChart>
      <c:catAx>
        <c:axId val="1483101191"/>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mn-lt"/>
                <a:ea typeface="+mn-ea"/>
                <a:cs typeface="+mn-cs"/>
              </a:defRPr>
            </a:pPr>
            <a:endParaRPr lang="en-US"/>
          </a:p>
        </c:txPr>
        <c:crossAx val="1483103751"/>
        <c:crosses val="autoZero"/>
        <c:auto val="1"/>
        <c:lblAlgn val="ctr"/>
        <c:lblOffset val="100"/>
        <c:noMultiLvlLbl val="0"/>
      </c:catAx>
      <c:valAx>
        <c:axId val="1483103751"/>
        <c:scaling>
          <c:orientation val="minMax"/>
        </c:scaling>
        <c:delete val="0"/>
        <c:axPos val="l"/>
        <c:numFmt formatCode="0%"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mn-lt"/>
                <a:ea typeface="+mn-ea"/>
                <a:cs typeface="+mn-cs"/>
              </a:defRPr>
            </a:pPr>
            <a:endParaRPr lang="en-US"/>
          </a:p>
        </c:txPr>
        <c:crossAx val="1483101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'Other visuals'!$BC$5:$BC$7</c:f>
              <c:strCache>
                <c:ptCount val="3"/>
                <c:pt idx="0">
                  <c:v>Sell-Side</c:v>
                </c:pt>
                <c:pt idx="1">
                  <c:v>Guidance</c:v>
                </c:pt>
                <c:pt idx="2">
                  <c:v>Our Model</c:v>
                </c:pt>
              </c:strCache>
            </c:strRef>
          </c:cat>
          <c:val>
            <c:numRef>
              <c:f>'Other visuals'!$BD$5:$BD$7</c:f>
              <c:numCache>
                <c:formatCode>0.000</c:formatCode>
                <c:ptCount val="3"/>
                <c:pt idx="0" formatCode="General">
                  <c:v>119330000</c:v>
                </c:pt>
                <c:pt idx="1">
                  <c:v>116958625</c:v>
                </c:pt>
                <c:pt idx="2" formatCode="General">
                  <c:v>136302288.65288472</c:v>
                </c:pt>
              </c:numCache>
            </c:numRef>
          </c:val>
          <c:extLst>
            <c:ext xmlns:c16="http://schemas.microsoft.com/office/drawing/2014/chart" uri="{C3380CC4-5D6E-409C-BE32-E72D297353CC}">
              <c16:uniqueId val="{00000001-B704-45ED-BF5E-8A5CAD042240}"/>
            </c:ext>
          </c:extLst>
        </c:ser>
        <c:dLbls>
          <c:showLegendKey val="0"/>
          <c:showVal val="0"/>
          <c:showCatName val="0"/>
          <c:showSerName val="0"/>
          <c:showPercent val="0"/>
          <c:showBubbleSize val="0"/>
        </c:dLbls>
        <c:gapWidth val="182"/>
        <c:axId val="641635336"/>
        <c:axId val="641646600"/>
      </c:barChart>
      <c:catAx>
        <c:axId val="641635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641646600"/>
        <c:crosses val="autoZero"/>
        <c:auto val="1"/>
        <c:lblAlgn val="ctr"/>
        <c:lblOffset val="100"/>
        <c:noMultiLvlLbl val="0"/>
      </c:catAx>
      <c:valAx>
        <c:axId val="641646600"/>
        <c:scaling>
          <c:orientation val="minMax"/>
          <c:min val="75000000"/>
        </c:scaling>
        <c:delete val="0"/>
        <c:axPos val="b"/>
        <c:numFmt formatCode="#,##0,,&quot;M&quot;"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641635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'Other visuals'!$BU$10</c:f>
              <c:strCache>
                <c:ptCount val="1"/>
                <c:pt idx="0">
                  <c:v>Smith &amp; Wesson</c:v>
                </c:pt>
              </c:strCache>
            </c:strRef>
          </c:tx>
          <c:spPr>
            <a:solidFill>
              <a:schemeClr val="accent3"/>
            </a:solidFill>
            <a:ln>
              <a:noFill/>
            </a:ln>
            <a:effectLst/>
          </c:spPr>
          <c:invertIfNegative val="0"/>
          <c:cat>
            <c:strRef>
              <c:f>'Other visuals'!$BV$7:$BZ$7</c:f>
              <c:strCache>
                <c:ptCount val="5"/>
                <c:pt idx="0">
                  <c:v>Current</c:v>
                </c:pt>
                <c:pt idx="1">
                  <c:v>2025</c:v>
                </c:pt>
                <c:pt idx="2">
                  <c:v>2026</c:v>
                </c:pt>
                <c:pt idx="3">
                  <c:v>2027</c:v>
                </c:pt>
                <c:pt idx="4">
                  <c:v>2028</c:v>
                </c:pt>
              </c:strCache>
            </c:strRef>
          </c:cat>
          <c:val>
            <c:numRef>
              <c:f>'Other visuals'!$BV$10:$BZ$10</c:f>
              <c:numCache>
                <c:formatCode>0.00</c:formatCode>
                <c:ptCount val="5"/>
                <c:pt idx="0">
                  <c:v>0.5</c:v>
                </c:pt>
                <c:pt idx="1">
                  <c:v>0.75</c:v>
                </c:pt>
                <c:pt idx="2">
                  <c:v>1</c:v>
                </c:pt>
                <c:pt idx="3">
                  <c:v>1.25</c:v>
                </c:pt>
                <c:pt idx="4">
                  <c:v>1.5</c:v>
                </c:pt>
              </c:numCache>
            </c:numRef>
          </c:val>
          <c:extLst>
            <c:ext xmlns:c16="http://schemas.microsoft.com/office/drawing/2014/chart" uri="{C3380CC4-5D6E-409C-BE32-E72D297353CC}">
              <c16:uniqueId val="{00000005-532E-4E36-ADDE-DFA2106FA6F8}"/>
            </c:ext>
          </c:extLst>
        </c:ser>
        <c:dLbls>
          <c:showLegendKey val="0"/>
          <c:showVal val="0"/>
          <c:showCatName val="0"/>
          <c:showSerName val="0"/>
          <c:showPercent val="0"/>
          <c:showBubbleSize val="0"/>
        </c:dLbls>
        <c:gapWidth val="150"/>
        <c:axId val="1633329159"/>
        <c:axId val="1641580551"/>
      </c:barChart>
      <c:lineChart>
        <c:grouping val="standard"/>
        <c:varyColors val="0"/>
        <c:ser>
          <c:idx val="0"/>
          <c:order val="0"/>
          <c:tx>
            <c:strRef>
              <c:f>'Other visuals'!$BU$8</c:f>
              <c:strCache>
                <c:ptCount val="1"/>
                <c:pt idx="0">
                  <c:v>Marlin</c:v>
                </c:pt>
              </c:strCache>
            </c:strRef>
          </c:tx>
          <c:spPr>
            <a:ln w="28575" cap="rnd">
              <a:solidFill>
                <a:schemeClr val="accent1"/>
              </a:solidFill>
              <a:round/>
            </a:ln>
            <a:effectLst/>
          </c:spPr>
          <c:marker>
            <c:symbol val="none"/>
          </c:marker>
          <c:cat>
            <c:strRef>
              <c:f>'Other visuals'!$BV$7:$BZ$7</c:f>
              <c:strCache>
                <c:ptCount val="5"/>
                <c:pt idx="0">
                  <c:v>Current</c:v>
                </c:pt>
                <c:pt idx="1">
                  <c:v>2025</c:v>
                </c:pt>
                <c:pt idx="2">
                  <c:v>2026</c:v>
                </c:pt>
                <c:pt idx="3">
                  <c:v>2027</c:v>
                </c:pt>
                <c:pt idx="4">
                  <c:v>2028</c:v>
                </c:pt>
              </c:strCache>
            </c:strRef>
          </c:cat>
          <c:val>
            <c:numRef>
              <c:f>'Other visuals'!$BV$8:$BZ$8</c:f>
              <c:numCache>
                <c:formatCode>0.00</c:formatCode>
                <c:ptCount val="5"/>
                <c:pt idx="0">
                  <c:v>2.6470588235294117</c:v>
                </c:pt>
                <c:pt idx="1">
                  <c:v>2.6470588235294117</c:v>
                </c:pt>
                <c:pt idx="2">
                  <c:v>2.6470588235294117</c:v>
                </c:pt>
                <c:pt idx="3">
                  <c:v>2.6470588235294117</c:v>
                </c:pt>
                <c:pt idx="4">
                  <c:v>2.6470588235294117</c:v>
                </c:pt>
              </c:numCache>
            </c:numRef>
          </c:val>
          <c:smooth val="0"/>
          <c:extLst>
            <c:ext xmlns:c16="http://schemas.microsoft.com/office/drawing/2014/chart" uri="{C3380CC4-5D6E-409C-BE32-E72D297353CC}">
              <c16:uniqueId val="{00000001-532E-4E36-ADDE-DFA2106FA6F8}"/>
            </c:ext>
          </c:extLst>
        </c:ser>
        <c:ser>
          <c:idx val="1"/>
          <c:order val="1"/>
          <c:tx>
            <c:strRef>
              <c:f>'Other visuals'!$BU$9</c:f>
              <c:strCache>
                <c:ptCount val="1"/>
                <c:pt idx="0">
                  <c:v>Henry</c:v>
                </c:pt>
              </c:strCache>
            </c:strRef>
          </c:tx>
          <c:spPr>
            <a:ln w="28575" cap="rnd">
              <a:solidFill>
                <a:schemeClr val="accent2"/>
              </a:solidFill>
              <a:round/>
            </a:ln>
            <a:effectLst/>
          </c:spPr>
          <c:marker>
            <c:symbol val="none"/>
          </c:marker>
          <c:cat>
            <c:strRef>
              <c:f>'Other visuals'!$BV$7:$BZ$7</c:f>
              <c:strCache>
                <c:ptCount val="5"/>
                <c:pt idx="0">
                  <c:v>Current</c:v>
                </c:pt>
                <c:pt idx="1">
                  <c:v>2025</c:v>
                </c:pt>
                <c:pt idx="2">
                  <c:v>2026</c:v>
                </c:pt>
                <c:pt idx="3">
                  <c:v>2027</c:v>
                </c:pt>
                <c:pt idx="4">
                  <c:v>2028</c:v>
                </c:pt>
              </c:strCache>
            </c:strRef>
          </c:cat>
          <c:val>
            <c:numRef>
              <c:f>'Other visuals'!$BV$9:$BZ$9</c:f>
              <c:numCache>
                <c:formatCode>0.00</c:formatCode>
                <c:ptCount val="5"/>
                <c:pt idx="0">
                  <c:v>1.6176470588235294</c:v>
                </c:pt>
                <c:pt idx="1">
                  <c:v>1.6176470588235294</c:v>
                </c:pt>
                <c:pt idx="2">
                  <c:v>1.6176470588235294</c:v>
                </c:pt>
                <c:pt idx="3">
                  <c:v>1.6176470588235294</c:v>
                </c:pt>
                <c:pt idx="4">
                  <c:v>1.6176470588235294</c:v>
                </c:pt>
              </c:numCache>
            </c:numRef>
          </c:val>
          <c:smooth val="0"/>
          <c:extLst>
            <c:ext xmlns:c16="http://schemas.microsoft.com/office/drawing/2014/chart" uri="{C3380CC4-5D6E-409C-BE32-E72D297353CC}">
              <c16:uniqueId val="{00000003-532E-4E36-ADDE-DFA2106FA6F8}"/>
            </c:ext>
          </c:extLst>
        </c:ser>
        <c:dLbls>
          <c:showLegendKey val="0"/>
          <c:showVal val="0"/>
          <c:showCatName val="0"/>
          <c:showSerName val="0"/>
          <c:showPercent val="0"/>
          <c:showBubbleSize val="0"/>
        </c:dLbls>
        <c:marker val="1"/>
        <c:smooth val="0"/>
        <c:axId val="1633329159"/>
        <c:axId val="1641580551"/>
      </c:lineChart>
      <c:catAx>
        <c:axId val="1633329159"/>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200" b="1" i="0" u="none" strike="noStrike" kern="1200" baseline="0">
                <a:solidFill>
                  <a:srgbClr val="000000"/>
                </a:solidFill>
                <a:latin typeface="Garamond"/>
                <a:ea typeface="Garamond"/>
                <a:cs typeface="Garamond"/>
              </a:defRPr>
            </a:pPr>
            <a:endParaRPr lang="en-US"/>
          </a:p>
        </c:txPr>
        <c:crossAx val="1641580551"/>
        <c:crosses val="autoZero"/>
        <c:auto val="1"/>
        <c:lblAlgn val="ctr"/>
        <c:lblOffset val="100"/>
        <c:noMultiLvlLbl val="0"/>
      </c:catAx>
      <c:valAx>
        <c:axId val="1641580551"/>
        <c:scaling>
          <c:orientation val="minMax"/>
        </c:scaling>
        <c:delete val="0"/>
        <c:axPos val="l"/>
        <c:numFmt formatCode="0.00"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1200" b="1" i="0" u="none" strike="noStrike" kern="1200" baseline="0">
                <a:solidFill>
                  <a:srgbClr val="000000"/>
                </a:solidFill>
                <a:latin typeface="Garamond"/>
                <a:ea typeface="Garamond"/>
                <a:cs typeface="Garamond"/>
              </a:defRPr>
            </a:pPr>
            <a:endParaRPr lang="en-US"/>
          </a:p>
        </c:txPr>
        <c:crossAx val="1633329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spPr>
            <a:solidFill>
              <a:schemeClr val="accent2"/>
            </a:solidFill>
            <a:ln>
              <a:noFill/>
            </a:ln>
            <a:effectLst/>
          </c:spPr>
          <c:invertIfNegative val="0"/>
          <c:cat>
            <c:strRef>
              <c:f>'Other visuals'!$BV$3:$BZ$3</c:f>
              <c:strCache>
                <c:ptCount val="5"/>
                <c:pt idx="0">
                  <c:v>Current</c:v>
                </c:pt>
                <c:pt idx="1">
                  <c:v>2025</c:v>
                </c:pt>
                <c:pt idx="2">
                  <c:v>2026</c:v>
                </c:pt>
                <c:pt idx="3">
                  <c:v>2027</c:v>
                </c:pt>
                <c:pt idx="4">
                  <c:v>2028</c:v>
                </c:pt>
              </c:strCache>
            </c:strRef>
          </c:cat>
          <c:val>
            <c:numRef>
              <c:f>'Other visuals'!$BV$4:$BZ$4</c:f>
              <c:numCache>
                <c:formatCode>0%</c:formatCode>
                <c:ptCount val="5"/>
                <c:pt idx="0">
                  <c:v>0.4</c:v>
                </c:pt>
                <c:pt idx="1">
                  <c:v>0.4</c:v>
                </c:pt>
                <c:pt idx="2">
                  <c:v>0.6</c:v>
                </c:pt>
                <c:pt idx="3">
                  <c:v>0.75</c:v>
                </c:pt>
                <c:pt idx="4">
                  <c:v>0.85</c:v>
                </c:pt>
              </c:numCache>
            </c:numRef>
          </c:val>
          <c:extLst>
            <c:ext xmlns:c16="http://schemas.microsoft.com/office/drawing/2014/chart" uri="{C3380CC4-5D6E-409C-BE32-E72D297353CC}">
              <c16:uniqueId val="{00000003-B83A-456F-BE92-CE6FF10BEF15}"/>
            </c:ext>
          </c:extLst>
        </c:ser>
        <c:dLbls>
          <c:showLegendKey val="0"/>
          <c:showVal val="0"/>
          <c:showCatName val="0"/>
          <c:showSerName val="0"/>
          <c:showPercent val="0"/>
          <c:showBubbleSize val="0"/>
        </c:dLbls>
        <c:gapWidth val="219"/>
        <c:overlap val="-27"/>
        <c:axId val="1472913928"/>
        <c:axId val="1113347080"/>
      </c:barChart>
      <c:catAx>
        <c:axId val="1472913928"/>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200" b="1" i="0" u="none" strike="noStrike" kern="1200" baseline="0">
                <a:solidFill>
                  <a:srgbClr val="000000"/>
                </a:solidFill>
                <a:latin typeface="Garamond"/>
                <a:ea typeface="Garamond"/>
                <a:cs typeface="Garamond"/>
              </a:defRPr>
            </a:pPr>
            <a:endParaRPr lang="en-US"/>
          </a:p>
        </c:txPr>
        <c:crossAx val="1113347080"/>
        <c:crosses val="autoZero"/>
        <c:auto val="1"/>
        <c:lblAlgn val="ctr"/>
        <c:lblOffset val="100"/>
        <c:noMultiLvlLbl val="0"/>
      </c:catAx>
      <c:valAx>
        <c:axId val="1113347080"/>
        <c:scaling>
          <c:orientation val="minMax"/>
        </c:scaling>
        <c:delete val="0"/>
        <c:axPos val="l"/>
        <c:numFmt formatCode="0%"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1200" b="1" i="0" u="none" strike="noStrike" kern="1200" baseline="0">
                <a:solidFill>
                  <a:srgbClr val="000000"/>
                </a:solidFill>
                <a:latin typeface="Garamond"/>
                <a:ea typeface="Garamond"/>
                <a:cs typeface="Garamond"/>
              </a:defRPr>
            </a:pPr>
            <a:endParaRPr lang="en-US"/>
          </a:p>
        </c:txPr>
        <c:crossAx val="1472913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'Other visuals'!$U$1</c:f>
              <c:strCache>
                <c:ptCount val="1"/>
                <c:pt idx="0">
                  <c:v>FCF</c:v>
                </c:pt>
              </c:strCache>
            </c:strRef>
          </c:tx>
          <c:spPr>
            <a:solidFill>
              <a:schemeClr val="accent1"/>
            </a:solidFill>
            <a:ln>
              <a:noFill/>
            </a:ln>
            <a:effectLst/>
          </c:spPr>
          <c:invertIfNegative val="0"/>
          <c:val>
            <c:numRef>
              <c:f>'Other visuals'!$U$2:$U$16</c:f>
              <c:numCache>
                <c:formatCode>General</c:formatCode>
                <c:ptCount val="15"/>
                <c:pt idx="0">
                  <c:v>6.1849999999999996</c:v>
                </c:pt>
                <c:pt idx="1">
                  <c:v>22.672999999999995</c:v>
                </c:pt>
                <c:pt idx="2">
                  <c:v>18.637</c:v>
                </c:pt>
                <c:pt idx="3">
                  <c:v>77.294999999999987</c:v>
                </c:pt>
                <c:pt idx="4">
                  <c:v>60.290000000000006</c:v>
                </c:pt>
                <c:pt idx="5">
                  <c:v>78.105999999999995</c:v>
                </c:pt>
                <c:pt idx="6">
                  <c:v>120.848</c:v>
                </c:pt>
                <c:pt idx="7">
                  <c:v>64.772999999999996</c:v>
                </c:pt>
                <c:pt idx="8">
                  <c:v>1.7529999999999974</c:v>
                </c:pt>
                <c:pt idx="9">
                  <c:v>15.105</c:v>
                </c:pt>
                <c:pt idx="10">
                  <c:v>46.505999999999993</c:v>
                </c:pt>
                <c:pt idx="11">
                  <c:v>280.97899999999998</c:v>
                </c:pt>
                <c:pt idx="12">
                  <c:v>103.20499999999998</c:v>
                </c:pt>
                <c:pt idx="13">
                  <c:v>-19.806000000000001</c:v>
                </c:pt>
                <c:pt idx="14">
                  <c:v>68.498000000000019</c:v>
                </c:pt>
              </c:numCache>
            </c:numRef>
          </c:val>
          <c:extLst>
            <c:ext xmlns:c16="http://schemas.microsoft.com/office/drawing/2014/chart" uri="{C3380CC4-5D6E-409C-BE32-E72D297353CC}">
              <c16:uniqueId val="{00000001-C89F-4EAF-A2CF-A23C3DC1985C}"/>
            </c:ext>
          </c:extLst>
        </c:ser>
        <c:dLbls>
          <c:showLegendKey val="0"/>
          <c:showVal val="0"/>
          <c:showCatName val="0"/>
          <c:showSerName val="0"/>
          <c:showPercent val="0"/>
          <c:showBubbleSize val="0"/>
        </c:dLbls>
        <c:gapWidth val="219"/>
        <c:overlap val="-27"/>
        <c:axId val="1471771656"/>
        <c:axId val="932860423"/>
      </c:barChart>
      <c:catAx>
        <c:axId val="1471771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860423"/>
        <c:crosses val="autoZero"/>
        <c:auto val="1"/>
        <c:lblAlgn val="ctr"/>
        <c:lblOffset val="100"/>
        <c:noMultiLvlLbl val="0"/>
      </c:catAx>
      <c:valAx>
        <c:axId val="932860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771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'Other visuals'!$R$1</c:f>
              <c:strCache>
                <c:ptCount val="1"/>
                <c:pt idx="0">
                  <c:v>CFO</c:v>
                </c:pt>
              </c:strCache>
            </c:strRef>
          </c:tx>
          <c:spPr>
            <a:solidFill>
              <a:schemeClr val="accent1"/>
            </a:solidFill>
            <a:ln>
              <a:noFill/>
            </a:ln>
            <a:effectLst/>
          </c:spPr>
          <c:invertIfNegative val="0"/>
          <c:val>
            <c:numRef>
              <c:f>'Other visuals'!$R$2:$R$16</c:f>
              <c:numCache>
                <c:formatCode>General</c:formatCode>
                <c:ptCount val="15"/>
                <c:pt idx="0">
                  <c:v>23.091999999999999</c:v>
                </c:pt>
                <c:pt idx="1">
                  <c:v>39.287999999999997</c:v>
                </c:pt>
                <c:pt idx="2">
                  <c:v>37.85</c:v>
                </c:pt>
                <c:pt idx="3">
                  <c:v>98.097999999999999</c:v>
                </c:pt>
                <c:pt idx="4">
                  <c:v>90.206000000000003</c:v>
                </c:pt>
                <c:pt idx="5">
                  <c:v>114.807</c:v>
                </c:pt>
                <c:pt idx="6">
                  <c:v>168.55699999999999</c:v>
                </c:pt>
                <c:pt idx="7">
                  <c:v>123.57599999999999</c:v>
                </c:pt>
                <c:pt idx="8">
                  <c:v>61.643000000000001</c:v>
                </c:pt>
                <c:pt idx="9">
                  <c:v>51.097999999999999</c:v>
                </c:pt>
                <c:pt idx="10">
                  <c:v>80.834999999999994</c:v>
                </c:pt>
                <c:pt idx="11">
                  <c:v>317.26</c:v>
                </c:pt>
                <c:pt idx="12">
                  <c:v>137.81399999999999</c:v>
                </c:pt>
                <c:pt idx="13">
                  <c:v>16.731999999999999</c:v>
                </c:pt>
                <c:pt idx="14">
                  <c:v>106.739</c:v>
                </c:pt>
              </c:numCache>
            </c:numRef>
          </c:val>
          <c:extLst>
            <c:ext xmlns:c16="http://schemas.microsoft.com/office/drawing/2014/chart" uri="{C3380CC4-5D6E-409C-BE32-E72D297353CC}">
              <c16:uniqueId val="{00000001-C51D-4D8F-ADF1-D9171D1CF7CF}"/>
            </c:ext>
          </c:extLst>
        </c:ser>
        <c:dLbls>
          <c:showLegendKey val="0"/>
          <c:showVal val="0"/>
          <c:showCatName val="0"/>
          <c:showSerName val="0"/>
          <c:showPercent val="0"/>
          <c:showBubbleSize val="0"/>
        </c:dLbls>
        <c:gapWidth val="219"/>
        <c:overlap val="-27"/>
        <c:axId val="1370429960"/>
        <c:axId val="1370436104"/>
      </c:barChart>
      <c:catAx>
        <c:axId val="13704299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436104"/>
        <c:crosses val="autoZero"/>
        <c:auto val="1"/>
        <c:lblAlgn val="ctr"/>
        <c:lblOffset val="100"/>
        <c:noMultiLvlLbl val="0"/>
      </c:catAx>
      <c:valAx>
        <c:axId val="1370436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429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'Other visuals'!$CZ$1</c:f>
              <c:strCache>
                <c:ptCount val="1"/>
                <c:pt idx="0">
                  <c:v>CCC</c:v>
                </c:pt>
              </c:strCache>
            </c:strRef>
          </c:tx>
          <c:spPr>
            <a:solidFill>
              <a:schemeClr val="accent1"/>
            </a:solidFill>
            <a:ln>
              <a:noFill/>
            </a:ln>
            <a:effectLst/>
          </c:spPr>
          <c:invertIfNegative val="0"/>
          <c:cat>
            <c:strRef>
              <c:f>'Other visuals'!$CQ$2:$CQ$16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visuals'!$CZ$2:$CZ$16</c:f>
              <c:numCache>
                <c:formatCode>General</c:formatCode>
                <c:ptCount val="15"/>
                <c:pt idx="0">
                  <c:v>109.39702288674036</c:v>
                </c:pt>
                <c:pt idx="1">
                  <c:v>87.143345260551811</c:v>
                </c:pt>
                <c:pt idx="2">
                  <c:v>77.545112512154219</c:v>
                </c:pt>
                <c:pt idx="3">
                  <c:v>60.658535527328468</c:v>
                </c:pt>
                <c:pt idx="4">
                  <c:v>83.545175189871742</c:v>
                </c:pt>
                <c:pt idx="5">
                  <c:v>81.164384262647502</c:v>
                </c:pt>
                <c:pt idx="6">
                  <c:v>56.714761381874659</c:v>
                </c:pt>
                <c:pt idx="7">
                  <c:v>101.33931365934052</c:v>
                </c:pt>
                <c:pt idx="8">
                  <c:v>141.89287695186218</c:v>
                </c:pt>
                <c:pt idx="9">
                  <c:v>205.19803637722958</c:v>
                </c:pt>
                <c:pt idx="10">
                  <c:v>189.80004767354393</c:v>
                </c:pt>
                <c:pt idx="11">
                  <c:v>30.280818068700128</c:v>
                </c:pt>
                <c:pt idx="12">
                  <c:v>108.35166254751219</c:v>
                </c:pt>
                <c:pt idx="13">
                  <c:v>204.32487671168673</c:v>
                </c:pt>
                <c:pt idx="14">
                  <c:v>153.04474399628663</c:v>
                </c:pt>
              </c:numCache>
            </c:numRef>
          </c:val>
          <c:extLst>
            <c:ext xmlns:c16="http://schemas.microsoft.com/office/drawing/2014/chart" uri="{C3380CC4-5D6E-409C-BE32-E72D297353CC}">
              <c16:uniqueId val="{00000001-65BA-49C6-8877-3548D13D886A}"/>
            </c:ext>
          </c:extLst>
        </c:ser>
        <c:dLbls>
          <c:showLegendKey val="0"/>
          <c:showVal val="0"/>
          <c:showCatName val="0"/>
          <c:showSerName val="0"/>
          <c:showPercent val="0"/>
          <c:showBubbleSize val="0"/>
        </c:dLbls>
        <c:gapWidth val="50"/>
        <c:overlap val="-27"/>
        <c:axId val="1213282311"/>
        <c:axId val="1213288455"/>
      </c:barChart>
      <c:catAx>
        <c:axId val="1213282311"/>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1213288455"/>
        <c:crosses val="autoZero"/>
        <c:auto val="1"/>
        <c:lblAlgn val="ctr"/>
        <c:lblOffset val="100"/>
        <c:noMultiLvlLbl val="0"/>
      </c:catAx>
      <c:valAx>
        <c:axId val="1213288455"/>
        <c:scaling>
          <c:orientation val="minMax"/>
        </c:scaling>
        <c:delete val="0"/>
        <c:axPos val="l"/>
        <c:numFmt formatCode="General"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1200" b="1" i="0" u="none" strike="noStrike" kern="1200" baseline="0">
                <a:solidFill>
                  <a:srgbClr val="000000"/>
                </a:solidFill>
                <a:latin typeface="Garamond"/>
                <a:ea typeface="Garamond"/>
                <a:cs typeface="Garamond"/>
              </a:defRPr>
            </a:pPr>
            <a:endParaRPr lang="en-US"/>
          </a:p>
        </c:txPr>
        <c:crossAx val="1213282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'Other visuals'!$C$1</c:f>
              <c:strCache>
                <c:ptCount val="1"/>
                <c:pt idx="0">
                  <c:v>Net Sales (L)</c:v>
                </c:pt>
              </c:strCache>
            </c:strRef>
          </c:tx>
          <c:spPr>
            <a:solidFill>
              <a:schemeClr val="accent1"/>
            </a:solidFill>
            <a:ln>
              <a:noFill/>
            </a:ln>
            <a:effectLst/>
          </c:spPr>
          <c:invertIfNegative val="0"/>
          <c:cat>
            <c:strRef>
              <c:f>'Other visuals'!$B$2:$B$16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visuals'!$C$2:$C$16</c:f>
              <c:numCache>
                <c:formatCode>General</c:formatCode>
                <c:ptCount val="15"/>
                <c:pt idx="0">
                  <c:v>357.93599999999998</c:v>
                </c:pt>
                <c:pt idx="1">
                  <c:v>342.233</c:v>
                </c:pt>
                <c:pt idx="2">
                  <c:v>411.99700000000001</c:v>
                </c:pt>
                <c:pt idx="3">
                  <c:v>587.51400000000001</c:v>
                </c:pt>
                <c:pt idx="4">
                  <c:v>626.62</c:v>
                </c:pt>
                <c:pt idx="5">
                  <c:v>551.86199999999997</c:v>
                </c:pt>
                <c:pt idx="6">
                  <c:v>722.90800000000002</c:v>
                </c:pt>
                <c:pt idx="7">
                  <c:v>903.18799999999999</c:v>
                </c:pt>
                <c:pt idx="8">
                  <c:v>606.85</c:v>
                </c:pt>
                <c:pt idx="9">
                  <c:v>481.33600000000001</c:v>
                </c:pt>
                <c:pt idx="10">
                  <c:v>529.61800000000005</c:v>
                </c:pt>
                <c:pt idx="11">
                  <c:v>1059.1949999999999</c:v>
                </c:pt>
                <c:pt idx="12">
                  <c:v>854.12599999999998</c:v>
                </c:pt>
                <c:pt idx="13">
                  <c:v>479.24200000000002</c:v>
                </c:pt>
                <c:pt idx="14">
                  <c:v>535.83299999999997</c:v>
                </c:pt>
              </c:numCache>
            </c:numRef>
          </c:val>
          <c:extLst>
            <c:ext xmlns:c16="http://schemas.microsoft.com/office/drawing/2014/chart" uri="{C3380CC4-5D6E-409C-BE32-E72D297353CC}">
              <c16:uniqueId val="{00000001-40BE-4A5C-BFC9-6AD211825819}"/>
            </c:ext>
          </c:extLst>
        </c:ser>
        <c:dLbls>
          <c:showLegendKey val="0"/>
          <c:showVal val="0"/>
          <c:showCatName val="0"/>
          <c:showSerName val="0"/>
          <c:showPercent val="0"/>
          <c:showBubbleSize val="0"/>
        </c:dLbls>
        <c:gapWidth val="50"/>
        <c:axId val="892941319"/>
        <c:axId val="892943367"/>
      </c:barChart>
      <c:lineChart>
        <c:grouping val="standard"/>
        <c:varyColors val="0"/>
        <c:ser>
          <c:idx val="1"/>
          <c:order val="1"/>
          <c:tx>
            <c:strRef>
              <c:f>'Other visuals'!$E$1</c:f>
              <c:strCache>
                <c:ptCount val="1"/>
                <c:pt idx="0">
                  <c:v>EBITDA Margin (R)</c:v>
                </c:pt>
              </c:strCache>
            </c:strRef>
          </c:tx>
          <c:spPr>
            <a:ln w="28575" cap="rnd">
              <a:solidFill>
                <a:schemeClr val="accent2"/>
              </a:solidFill>
              <a:round/>
            </a:ln>
            <a:effectLst/>
          </c:spPr>
          <c:marker>
            <c:symbol val="none"/>
          </c:marker>
          <c:cat>
            <c:strRef>
              <c:f>'Other visuals'!$B$2:$B$16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visuals'!$E$2:$E$16</c:f>
              <c:numCache>
                <c:formatCode>0.0%</c:formatCode>
                <c:ptCount val="15"/>
                <c:pt idx="0">
                  <c:v>0.15001285145947879</c:v>
                </c:pt>
                <c:pt idx="1">
                  <c:v>9.5624910514181857E-2</c:v>
                </c:pt>
                <c:pt idx="2">
                  <c:v>0.14962487590929058</c:v>
                </c:pt>
                <c:pt idx="3">
                  <c:v>0.25457095490490439</c:v>
                </c:pt>
                <c:pt idx="4">
                  <c:v>0.27559286329833071</c:v>
                </c:pt>
                <c:pt idx="5">
                  <c:v>0.21838974236312703</c:v>
                </c:pt>
                <c:pt idx="6">
                  <c:v>0.27649438102773793</c:v>
                </c:pt>
                <c:pt idx="7">
                  <c:v>0.27696559298839224</c:v>
                </c:pt>
                <c:pt idx="8">
                  <c:v>0.13038312597841312</c:v>
                </c:pt>
                <c:pt idx="9">
                  <c:v>0.15075331992620539</c:v>
                </c:pt>
                <c:pt idx="10">
                  <c:v>0.15535159303497992</c:v>
                </c:pt>
                <c:pt idx="11">
                  <c:v>0.33157917097418321</c:v>
                </c:pt>
                <c:pt idx="12">
                  <c:v>0.32984126463777008</c:v>
                </c:pt>
                <c:pt idx="13">
                  <c:v>0.16660267672699802</c:v>
                </c:pt>
                <c:pt idx="14">
                  <c:v>0.14433041637973026</c:v>
                </c:pt>
              </c:numCache>
            </c:numRef>
          </c:val>
          <c:smooth val="0"/>
          <c:extLst>
            <c:ext xmlns:c16="http://schemas.microsoft.com/office/drawing/2014/chart" uri="{C3380CC4-5D6E-409C-BE32-E72D297353CC}">
              <c16:uniqueId val="{00000003-40BE-4A5C-BFC9-6AD211825819}"/>
            </c:ext>
          </c:extLst>
        </c:ser>
        <c:dLbls>
          <c:showLegendKey val="0"/>
          <c:showVal val="0"/>
          <c:showCatName val="0"/>
          <c:showSerName val="0"/>
          <c:showPercent val="0"/>
          <c:showBubbleSize val="0"/>
        </c:dLbls>
        <c:marker val="1"/>
        <c:smooth val="0"/>
        <c:axId val="1106489864"/>
        <c:axId val="1106454024"/>
      </c:lineChart>
      <c:catAx>
        <c:axId val="892941319"/>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mn-lt"/>
                <a:ea typeface="+mn-ea"/>
                <a:cs typeface="+mn-cs"/>
              </a:defRPr>
            </a:pPr>
            <a:endParaRPr lang="en-US"/>
          </a:p>
        </c:txPr>
        <c:crossAx val="892943367"/>
        <c:crosses val="autoZero"/>
        <c:auto val="1"/>
        <c:lblAlgn val="ctr"/>
        <c:lblOffset val="100"/>
        <c:noMultiLvlLbl val="0"/>
      </c:catAx>
      <c:valAx>
        <c:axId val="892943367"/>
        <c:scaling>
          <c:orientation val="minMax"/>
        </c:scaling>
        <c:delete val="0"/>
        <c:axPos val="l"/>
        <c:numFmt formatCode="&quot;$&quot;##,##0.00,&quot;M&quot;"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mn-lt"/>
                <a:ea typeface="+mn-ea"/>
                <a:cs typeface="+mn-cs"/>
              </a:defRPr>
            </a:pPr>
            <a:endParaRPr lang="en-US"/>
          </a:p>
        </c:txPr>
        <c:crossAx val="892941319"/>
        <c:crosses val="autoZero"/>
        <c:crossBetween val="between"/>
        <c:majorUnit val="250"/>
        <c:minorUnit val="50"/>
      </c:valAx>
      <c:valAx>
        <c:axId val="1106454024"/>
        <c:scaling>
          <c:orientation val="minMax"/>
        </c:scaling>
        <c:delete val="0"/>
        <c:axPos val="r"/>
        <c:numFmt formatCode="0%" sourceLinked="0"/>
        <c:majorTickMark val="out"/>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mn-lt"/>
                <a:ea typeface="+mn-ea"/>
                <a:cs typeface="+mn-cs"/>
              </a:defRPr>
            </a:pPr>
            <a:endParaRPr lang="en-US"/>
          </a:p>
        </c:txPr>
        <c:crossAx val="1106489864"/>
        <c:crosses val="max"/>
        <c:crossBetween val="between"/>
      </c:valAx>
      <c:catAx>
        <c:axId val="1106489864"/>
        <c:scaling>
          <c:orientation val="minMax"/>
        </c:scaling>
        <c:delete val="1"/>
        <c:axPos val="b"/>
        <c:numFmt formatCode="General" sourceLinked="1"/>
        <c:majorTickMark val="out"/>
        <c:minorTickMark val="none"/>
        <c:tickLblPos val="nextTo"/>
        <c:crossAx val="1106454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'Other visuals'!$L$1</c:f>
              <c:strCache>
                <c:ptCount val="1"/>
                <c:pt idx="0">
                  <c:v>NFA</c:v>
                </c:pt>
              </c:strCache>
            </c:strRef>
          </c:tx>
          <c:spPr>
            <a:solidFill>
              <a:schemeClr val="accent1"/>
            </a:solidFill>
            <a:ln>
              <a:noFill/>
            </a:ln>
            <a:effectLst/>
          </c:spPr>
          <c:invertIfNegative val="0"/>
          <c:cat>
            <c:strRef>
              <c:f>'Other visuals'!$B$2:$B$16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visuals'!$L$2:$L$16</c:f>
              <c:numCache>
                <c:formatCode>General</c:formatCode>
                <c:ptCount val="15"/>
                <c:pt idx="0">
                  <c:v>58.718000000000004</c:v>
                </c:pt>
                <c:pt idx="1">
                  <c:v>62.39</c:v>
                </c:pt>
                <c:pt idx="2">
                  <c:v>60.527999999999999</c:v>
                </c:pt>
                <c:pt idx="3">
                  <c:v>86.382000000000005</c:v>
                </c:pt>
                <c:pt idx="4">
                  <c:v>120.44</c:v>
                </c:pt>
                <c:pt idx="5">
                  <c:v>133.84399999999999</c:v>
                </c:pt>
                <c:pt idx="6">
                  <c:v>135.405</c:v>
                </c:pt>
                <c:pt idx="7">
                  <c:v>149.685</c:v>
                </c:pt>
                <c:pt idx="8">
                  <c:v>137.15100000000001</c:v>
                </c:pt>
                <c:pt idx="9">
                  <c:v>144.482</c:v>
                </c:pt>
                <c:pt idx="10">
                  <c:v>118.631</c:v>
                </c:pt>
                <c:pt idx="11">
                  <c:v>102.82599999999999</c:v>
                </c:pt>
                <c:pt idx="12">
                  <c:v>97.963000000000008</c:v>
                </c:pt>
                <c:pt idx="13">
                  <c:v>173.36900000000003</c:v>
                </c:pt>
                <c:pt idx="14">
                  <c:v>217.22900000000001</c:v>
                </c:pt>
              </c:numCache>
            </c:numRef>
          </c:val>
          <c:extLst>
            <c:ext xmlns:c16="http://schemas.microsoft.com/office/drawing/2014/chart" uri="{C3380CC4-5D6E-409C-BE32-E72D297353CC}">
              <c16:uniqueId val="{00000001-D47D-460C-9E9D-B17F1C3F8048}"/>
            </c:ext>
          </c:extLst>
        </c:ser>
        <c:ser>
          <c:idx val="1"/>
          <c:order val="1"/>
          <c:tx>
            <c:strRef>
              <c:f>'Other visuals'!$M$1</c:f>
              <c:strCache>
                <c:ptCount val="1"/>
                <c:pt idx="0">
                  <c:v>NWC</c:v>
                </c:pt>
              </c:strCache>
            </c:strRef>
          </c:tx>
          <c:spPr>
            <a:solidFill>
              <a:schemeClr val="accent2"/>
            </a:solidFill>
            <a:ln>
              <a:noFill/>
            </a:ln>
            <a:effectLst/>
          </c:spPr>
          <c:invertIfNegative val="0"/>
          <c:cat>
            <c:strRef>
              <c:f>'Other visuals'!$B$2:$B$16</c:f>
              <c:strCache>
                <c:ptCount val="15"/>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strCache>
            </c:strRef>
          </c:cat>
          <c:val>
            <c:numRef>
              <c:f>'Other visuals'!$M$2:$M$16</c:f>
              <c:numCache>
                <c:formatCode>General</c:formatCode>
                <c:ptCount val="15"/>
                <c:pt idx="0">
                  <c:v>47.676000000000016</c:v>
                </c:pt>
                <c:pt idx="1">
                  <c:v>23.024999999999991</c:v>
                </c:pt>
                <c:pt idx="2">
                  <c:v>50.652000000000015</c:v>
                </c:pt>
                <c:pt idx="3">
                  <c:v>46.486000000000004</c:v>
                </c:pt>
                <c:pt idx="4">
                  <c:v>77.767999999999972</c:v>
                </c:pt>
                <c:pt idx="5">
                  <c:v>73.842999999999989</c:v>
                </c:pt>
                <c:pt idx="6">
                  <c:v>19.36</c:v>
                </c:pt>
                <c:pt idx="7">
                  <c:v>105.64699999999999</c:v>
                </c:pt>
                <c:pt idx="8">
                  <c:v>120.82199999999996</c:v>
                </c:pt>
                <c:pt idx="9">
                  <c:v>146.38600000000002</c:v>
                </c:pt>
                <c:pt idx="10">
                  <c:v>140.48199999999997</c:v>
                </c:pt>
                <c:pt idx="11">
                  <c:v>29.580999999999989</c:v>
                </c:pt>
                <c:pt idx="12">
                  <c:v>117.91999999999997</c:v>
                </c:pt>
                <c:pt idx="13">
                  <c:v>151.15100000000004</c:v>
                </c:pt>
                <c:pt idx="14">
                  <c:v>130.339</c:v>
                </c:pt>
              </c:numCache>
            </c:numRef>
          </c:val>
          <c:extLst>
            <c:ext xmlns:c16="http://schemas.microsoft.com/office/drawing/2014/chart" uri="{C3380CC4-5D6E-409C-BE32-E72D297353CC}">
              <c16:uniqueId val="{00000003-D47D-460C-9E9D-B17F1C3F8048}"/>
            </c:ext>
          </c:extLst>
        </c:ser>
        <c:dLbls>
          <c:showLegendKey val="0"/>
          <c:showVal val="0"/>
          <c:showCatName val="0"/>
          <c:showSerName val="0"/>
          <c:showPercent val="0"/>
          <c:showBubbleSize val="0"/>
        </c:dLbls>
        <c:gapWidth val="150"/>
        <c:overlap val="100"/>
        <c:axId val="343860232"/>
        <c:axId val="343862280"/>
      </c:barChart>
      <c:catAx>
        <c:axId val="343860232"/>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343862280"/>
        <c:crosses val="autoZero"/>
        <c:auto val="1"/>
        <c:lblAlgn val="ctr"/>
        <c:lblOffset val="100"/>
        <c:noMultiLvlLbl val="0"/>
      </c:catAx>
      <c:valAx>
        <c:axId val="343862280"/>
        <c:scaling>
          <c:orientation val="minMax"/>
        </c:scaling>
        <c:delete val="0"/>
        <c:axPos val="l"/>
        <c:numFmt formatCode="General"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343860232"/>
        <c:crosses val="autoZero"/>
        <c:crossBetween val="between"/>
      </c:valAx>
      <c:spPr>
        <a:noFill/>
        <a:ln>
          <a:noFill/>
        </a:ln>
        <a:effectLst/>
      </c:spPr>
    </c:plotArea>
    <c:legend>
      <c:legendPos val="t"/>
      <c:layout>
        <c:manualLayout>
          <c:xMode val="edge"/>
          <c:yMode val="edge"/>
          <c:x val="0.10317265694952807"/>
          <c:y val="0.16435199313693577"/>
          <c:w val="0.1783770778652668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'Other visuals'!$BD$45</c:f>
              <c:strCache>
                <c:ptCount val="1"/>
                <c:pt idx="0">
                  <c:v>Model 1854 revenue</c:v>
                </c:pt>
              </c:strCache>
            </c:strRef>
          </c:tx>
          <c:spPr>
            <a:solidFill>
              <a:schemeClr val="accent2"/>
            </a:solidFill>
            <a:ln>
              <a:noFill/>
            </a:ln>
            <a:effectLst/>
          </c:spPr>
          <c:invertIfNegative val="0"/>
          <c:cat>
            <c:numRef>
              <c:f>'Other visuals'!$BE$43:$BI$43</c:f>
              <c:numCache>
                <c:formatCode>General</c:formatCode>
                <c:ptCount val="5"/>
                <c:pt idx="0">
                  <c:v>2024</c:v>
                </c:pt>
                <c:pt idx="1">
                  <c:v>2025</c:v>
                </c:pt>
                <c:pt idx="2">
                  <c:v>2026</c:v>
                </c:pt>
                <c:pt idx="3">
                  <c:v>2027</c:v>
                </c:pt>
                <c:pt idx="4">
                  <c:v>2028</c:v>
                </c:pt>
              </c:numCache>
            </c:numRef>
          </c:cat>
          <c:val>
            <c:numRef>
              <c:f>'Other visuals'!$BE$45:$BI$45</c:f>
              <c:numCache>
                <c:formatCode>_(* #,##0.00_);_(* \(#,##0.00\);_(* "-"??_);_(@_)</c:formatCode>
                <c:ptCount val="5"/>
                <c:pt idx="0" formatCode="General">
                  <c:v>0</c:v>
                </c:pt>
                <c:pt idx="1">
                  <c:v>6.0278400000000012</c:v>
                </c:pt>
                <c:pt idx="2">
                  <c:v>12.055680000000001</c:v>
                </c:pt>
                <c:pt idx="3">
                  <c:v>22.704864000000004</c:v>
                </c:pt>
                <c:pt idx="4">
                  <c:v>27.245836799999999</c:v>
                </c:pt>
              </c:numCache>
            </c:numRef>
          </c:val>
          <c:extLst>
            <c:ext xmlns:c16="http://schemas.microsoft.com/office/drawing/2014/chart" uri="{C3380CC4-5D6E-409C-BE32-E72D297353CC}">
              <c16:uniqueId val="{00000001-95CC-4752-845D-F728FE7143BC}"/>
            </c:ext>
          </c:extLst>
        </c:ser>
        <c:ser>
          <c:idx val="2"/>
          <c:order val="2"/>
          <c:tx>
            <c:strRef>
              <c:f>'Other visuals'!$BD$44</c:f>
              <c:strCache>
                <c:ptCount val="1"/>
                <c:pt idx="0">
                  <c:v>Total revenue</c:v>
                </c:pt>
              </c:strCache>
            </c:strRef>
          </c:tx>
          <c:spPr>
            <a:solidFill>
              <a:schemeClr val="accent3"/>
            </a:solidFill>
            <a:ln>
              <a:noFill/>
            </a:ln>
            <a:effectLst/>
          </c:spPr>
          <c:invertIfNegative val="0"/>
          <c:cat>
            <c:numRef>
              <c:f>'Other visuals'!$BE$43:$BI$43</c:f>
              <c:numCache>
                <c:formatCode>General</c:formatCode>
                <c:ptCount val="5"/>
                <c:pt idx="0">
                  <c:v>2024</c:v>
                </c:pt>
                <c:pt idx="1">
                  <c:v>2025</c:v>
                </c:pt>
                <c:pt idx="2">
                  <c:v>2026</c:v>
                </c:pt>
                <c:pt idx="3">
                  <c:v>2027</c:v>
                </c:pt>
                <c:pt idx="4">
                  <c:v>2028</c:v>
                </c:pt>
              </c:numCache>
            </c:numRef>
          </c:cat>
          <c:val>
            <c:numRef>
              <c:f>'Other visuals'!$BE$44:$BI$44</c:f>
              <c:numCache>
                <c:formatCode>_(* #,##0_);_(* \(#,##0\);_(* "-"??_);_(@_)</c:formatCode>
                <c:ptCount val="5"/>
                <c:pt idx="0">
                  <c:v>535.83299999999997</c:v>
                </c:pt>
                <c:pt idx="1">
                  <c:v>509.28990741254461</c:v>
                </c:pt>
                <c:pt idx="2">
                  <c:v>534.88881222762018</c:v>
                </c:pt>
                <c:pt idx="3">
                  <c:v>562.34649445162631</c:v>
                </c:pt>
                <c:pt idx="4">
                  <c:v>591.10274264281327</c:v>
                </c:pt>
              </c:numCache>
            </c:numRef>
          </c:val>
          <c:extLst>
            <c:ext xmlns:c16="http://schemas.microsoft.com/office/drawing/2014/chart" uri="{C3380CC4-5D6E-409C-BE32-E72D297353CC}">
              <c16:uniqueId val="{00000002-95CC-4752-845D-F728FE7143BC}"/>
            </c:ext>
          </c:extLst>
        </c:ser>
        <c:dLbls>
          <c:showLegendKey val="0"/>
          <c:showVal val="0"/>
          <c:showCatName val="0"/>
          <c:showSerName val="0"/>
          <c:showPercent val="0"/>
          <c:showBubbleSize val="0"/>
        </c:dLbls>
        <c:gapWidth val="150"/>
        <c:overlap val="100"/>
        <c:axId val="467607840"/>
        <c:axId val="467608320"/>
        <c:extLst>
          <c:ext xmlns:c15="http://schemas.microsoft.com/office/drawing/2012/chart" uri="{02D57815-91ED-43cb-92C2-25804820EDAC}">
            <c15:filteredBarSeries>
              <c15:ser>
                <c:idx val="0"/>
                <c:order val="0"/>
                <c:tx>
                  <c:strRef>
                    <c:extLst>
                      <c:ext uri="{02D57815-91ED-43cb-92C2-25804820EDAC}">
                        <c15:formulaRef>
                          <c15:sqref>'Other visuals'!$BD$42</c15:sqref>
                        </c15:formulaRef>
                      </c:ext>
                    </c:extLst>
                    <c:strCache>
                      <c:ptCount val="1"/>
                    </c:strCache>
                  </c:strRef>
                </c:tx>
                <c:spPr>
                  <a:solidFill>
                    <a:schemeClr val="accent1"/>
                  </a:solidFill>
                  <a:ln>
                    <a:noFill/>
                  </a:ln>
                  <a:effectLst/>
                </c:spPr>
                <c:invertIfNegative val="0"/>
                <c:cat>
                  <c:numRef>
                    <c:extLst>
                      <c:ext uri="{02D57815-91ED-43cb-92C2-25804820EDAC}">
                        <c15:formulaRef>
                          <c15:sqref>'Other visuals'!$BE$43:$BI$43</c15:sqref>
                        </c15:formulaRef>
                      </c:ext>
                    </c:extLst>
                    <c:numCache>
                      <c:formatCode>General</c:formatCode>
                      <c:ptCount val="5"/>
                      <c:pt idx="0">
                        <c:v>2024</c:v>
                      </c:pt>
                      <c:pt idx="1">
                        <c:v>2025</c:v>
                      </c:pt>
                      <c:pt idx="2">
                        <c:v>2026</c:v>
                      </c:pt>
                      <c:pt idx="3">
                        <c:v>2027</c:v>
                      </c:pt>
                      <c:pt idx="4">
                        <c:v>2028</c:v>
                      </c:pt>
                    </c:numCache>
                  </c:numRef>
                </c:cat>
                <c:val>
                  <c:numRef>
                    <c:extLst>
                      <c:ext uri="{02D57815-91ED-43cb-92C2-25804820EDAC}">
                        <c15:formulaRef>
                          <c15:sqref>'Other visuals'!$BE$42:$BI$42</c15:sqref>
                        </c15:formulaRef>
                      </c:ext>
                    </c:extLst>
                    <c:numCache>
                      <c:formatCode>General</c:formatCode>
                      <c:ptCount val="5"/>
                    </c:numCache>
                  </c:numRef>
                </c:val>
                <c:extLst>
                  <c:ext xmlns:c16="http://schemas.microsoft.com/office/drawing/2014/chart" uri="{C3380CC4-5D6E-409C-BE32-E72D297353CC}">
                    <c16:uniqueId val="{00000000-95CC-4752-845D-F728FE7143BC}"/>
                  </c:ext>
                </c:extLst>
              </c15:ser>
            </c15:filteredBarSeries>
          </c:ext>
        </c:extLst>
      </c:barChart>
      <c:catAx>
        <c:axId val="46760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608320"/>
        <c:crosses val="autoZero"/>
        <c:auto val="1"/>
        <c:lblAlgn val="ctr"/>
        <c:lblOffset val="100"/>
        <c:noMultiLvlLbl val="0"/>
      </c:catAx>
      <c:valAx>
        <c:axId val="46760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607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'Other visuals'!$BD$44</c:f>
              <c:strCache>
                <c:ptCount val="1"/>
                <c:pt idx="0">
                  <c:v>Total revenue</c:v>
                </c:pt>
              </c:strCache>
            </c:strRef>
          </c:tx>
          <c:spPr>
            <a:solidFill>
              <a:schemeClr val="accent1"/>
            </a:solidFill>
            <a:ln>
              <a:noFill/>
            </a:ln>
            <a:effectLst/>
          </c:spPr>
          <c:invertIfNegative val="0"/>
          <c:cat>
            <c:numRef>
              <c:f>'Other visuals'!$BE$43:$BI$43</c:f>
              <c:numCache>
                <c:formatCode>General</c:formatCode>
                <c:ptCount val="5"/>
                <c:pt idx="0">
                  <c:v>2024</c:v>
                </c:pt>
                <c:pt idx="1">
                  <c:v>2025</c:v>
                </c:pt>
                <c:pt idx="2">
                  <c:v>2026</c:v>
                </c:pt>
                <c:pt idx="3">
                  <c:v>2027</c:v>
                </c:pt>
                <c:pt idx="4">
                  <c:v>2028</c:v>
                </c:pt>
              </c:numCache>
            </c:numRef>
          </c:cat>
          <c:val>
            <c:numRef>
              <c:f>'Other visuals'!$BE$44:$BI$44</c:f>
              <c:numCache>
                <c:formatCode>_(* #,##0_);_(* \(#,##0\);_(* "-"??_);_(@_)</c:formatCode>
                <c:ptCount val="5"/>
                <c:pt idx="0">
                  <c:v>535.83299999999997</c:v>
                </c:pt>
                <c:pt idx="1">
                  <c:v>509.28990741254461</c:v>
                </c:pt>
                <c:pt idx="2">
                  <c:v>534.88881222762018</c:v>
                </c:pt>
                <c:pt idx="3">
                  <c:v>562.34649445162631</c:v>
                </c:pt>
                <c:pt idx="4">
                  <c:v>591.10274264281327</c:v>
                </c:pt>
              </c:numCache>
            </c:numRef>
          </c:val>
          <c:extLst>
            <c:ext xmlns:c16="http://schemas.microsoft.com/office/drawing/2014/chart" uri="{C3380CC4-5D6E-409C-BE32-E72D297353CC}">
              <c16:uniqueId val="{00000000-4FBE-4AAB-9948-4DBD2FA3ACA3}"/>
            </c:ext>
          </c:extLst>
        </c:ser>
        <c:ser>
          <c:idx val="1"/>
          <c:order val="1"/>
          <c:tx>
            <c:strRef>
              <c:f>'Other visuals'!$BD$45</c:f>
              <c:strCache>
                <c:ptCount val="1"/>
                <c:pt idx="0">
                  <c:v>Model 1854 revenue</c:v>
                </c:pt>
              </c:strCache>
            </c:strRef>
          </c:tx>
          <c:spPr>
            <a:solidFill>
              <a:schemeClr val="accent2"/>
            </a:solidFill>
            <a:ln>
              <a:noFill/>
            </a:ln>
            <a:effectLst/>
          </c:spPr>
          <c:invertIfNegative val="0"/>
          <c:cat>
            <c:numRef>
              <c:f>'Other visuals'!$BE$43:$BI$43</c:f>
              <c:numCache>
                <c:formatCode>General</c:formatCode>
                <c:ptCount val="5"/>
                <c:pt idx="0">
                  <c:v>2024</c:v>
                </c:pt>
                <c:pt idx="1">
                  <c:v>2025</c:v>
                </c:pt>
                <c:pt idx="2">
                  <c:v>2026</c:v>
                </c:pt>
                <c:pt idx="3">
                  <c:v>2027</c:v>
                </c:pt>
                <c:pt idx="4">
                  <c:v>2028</c:v>
                </c:pt>
              </c:numCache>
            </c:numRef>
          </c:cat>
          <c:val>
            <c:numRef>
              <c:f>'Other visuals'!$BE$45:$BI$45</c:f>
              <c:numCache>
                <c:formatCode>_(* #,##0.00_);_(* \(#,##0.00\);_(* "-"??_);_(@_)</c:formatCode>
                <c:ptCount val="5"/>
                <c:pt idx="0" formatCode="General">
                  <c:v>0</c:v>
                </c:pt>
                <c:pt idx="1">
                  <c:v>6.0278400000000012</c:v>
                </c:pt>
                <c:pt idx="2">
                  <c:v>12.055680000000001</c:v>
                </c:pt>
                <c:pt idx="3">
                  <c:v>22.704864000000004</c:v>
                </c:pt>
                <c:pt idx="4">
                  <c:v>27.245836799999999</c:v>
                </c:pt>
              </c:numCache>
            </c:numRef>
          </c:val>
          <c:extLst>
            <c:ext xmlns:c16="http://schemas.microsoft.com/office/drawing/2014/chart" uri="{C3380CC4-5D6E-409C-BE32-E72D297353CC}">
              <c16:uniqueId val="{00000001-4FBE-4AAB-9948-4DBD2FA3ACA3}"/>
            </c:ext>
          </c:extLst>
        </c:ser>
        <c:dLbls>
          <c:showLegendKey val="0"/>
          <c:showVal val="0"/>
          <c:showCatName val="0"/>
          <c:showSerName val="0"/>
          <c:showPercent val="0"/>
          <c:showBubbleSize val="0"/>
        </c:dLbls>
        <c:gapWidth val="150"/>
        <c:overlap val="100"/>
        <c:axId val="401200032"/>
        <c:axId val="484623968"/>
      </c:barChart>
      <c:catAx>
        <c:axId val="40120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623968"/>
        <c:crosses val="autoZero"/>
        <c:auto val="1"/>
        <c:lblAlgn val="ctr"/>
        <c:lblOffset val="100"/>
        <c:noMultiLvlLbl val="0"/>
      </c:catAx>
      <c:valAx>
        <c:axId val="484623968"/>
        <c:scaling>
          <c:orientation val="minMax"/>
          <c:min val="25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20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'Capital Allocation'!$H$1:$I$1</c:f>
              <c:strCache>
                <c:ptCount val="2"/>
                <c:pt idx="0">
                  <c:v>R&amp;D</c:v>
                </c:pt>
                <c:pt idx="1">
                  <c:v>New Product Sales</c:v>
                </c:pt>
              </c:strCache>
            </c:strRef>
          </c:cat>
          <c:val>
            <c:numRef>
              <c:f>'Capital Allocation'!$H$2:$I$2</c:f>
              <c:numCache>
                <c:formatCode>_(* #,##0_);_(* \(#,##0\);_(* "-"??_);_(@_)</c:formatCode>
                <c:ptCount val="2"/>
                <c:pt idx="0">
                  <c:v>37897</c:v>
                </c:pt>
                <c:pt idx="1">
                  <c:v>758616.60899999994</c:v>
                </c:pt>
              </c:numCache>
            </c:numRef>
          </c:val>
          <c:extLst>
            <c:ext xmlns:c16="http://schemas.microsoft.com/office/drawing/2014/chart" uri="{C3380CC4-5D6E-409C-BE32-E72D297353CC}">
              <c16:uniqueId val="{00000001-43B7-4F72-B252-A130009CB6C6}"/>
            </c:ext>
          </c:extLst>
        </c:ser>
        <c:dLbls>
          <c:showLegendKey val="0"/>
          <c:showVal val="0"/>
          <c:showCatName val="0"/>
          <c:showSerName val="0"/>
          <c:showPercent val="0"/>
          <c:showBubbleSize val="0"/>
        </c:dLbls>
        <c:gapWidth val="219"/>
        <c:overlap val="-27"/>
        <c:axId val="2713608"/>
        <c:axId val="2750984"/>
      </c:barChart>
      <c:catAx>
        <c:axId val="2713608"/>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2750984"/>
        <c:crosses val="autoZero"/>
        <c:auto val="1"/>
        <c:lblAlgn val="ctr"/>
        <c:lblOffset val="100"/>
        <c:noMultiLvlLbl val="0"/>
      </c:catAx>
      <c:valAx>
        <c:axId val="2750984"/>
        <c:scaling>
          <c:orientation val="minMax"/>
        </c:scaling>
        <c:delete val="0"/>
        <c:axPos val="l"/>
        <c:numFmt formatCode="&quot;$&quot;#,##0,&quot;M&quot;"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271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'Capital Allocation'!$V$1:$W$1</c:f>
              <c:strCache>
                <c:ptCount val="2"/>
                <c:pt idx="0">
                  <c:v>R&amp;D</c:v>
                </c:pt>
                <c:pt idx="1">
                  <c:v>New Product Sales</c:v>
                </c:pt>
              </c:strCache>
            </c:strRef>
          </c:cat>
          <c:val>
            <c:numRef>
              <c:f>'Capital Allocation'!$V$2:$W$2</c:f>
              <c:numCache>
                <c:formatCode>_(* #,##0_);_(* \(#,##0\);_(* "-"??_);_(@_)</c:formatCode>
                <c:ptCount val="2"/>
                <c:pt idx="0">
                  <c:v>47300</c:v>
                </c:pt>
                <c:pt idx="1">
                  <c:v>623400</c:v>
                </c:pt>
              </c:numCache>
            </c:numRef>
          </c:val>
          <c:extLst>
            <c:ext xmlns:c16="http://schemas.microsoft.com/office/drawing/2014/chart" uri="{C3380CC4-5D6E-409C-BE32-E72D297353CC}">
              <c16:uniqueId val="{00000000-9635-4026-8FEE-7419C3682B2E}"/>
            </c:ext>
          </c:extLst>
        </c:ser>
        <c:dLbls>
          <c:showLegendKey val="0"/>
          <c:showVal val="0"/>
          <c:showCatName val="0"/>
          <c:showSerName val="0"/>
          <c:showPercent val="0"/>
          <c:showBubbleSize val="0"/>
        </c:dLbls>
        <c:gapWidth val="219"/>
        <c:overlap val="-27"/>
        <c:axId val="2713608"/>
        <c:axId val="2750984"/>
      </c:barChart>
      <c:catAx>
        <c:axId val="2713608"/>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2750984"/>
        <c:crosses val="autoZero"/>
        <c:auto val="1"/>
        <c:lblAlgn val="ctr"/>
        <c:lblOffset val="100"/>
        <c:noMultiLvlLbl val="0"/>
      </c:catAx>
      <c:valAx>
        <c:axId val="2750984"/>
        <c:scaling>
          <c:orientation val="minMax"/>
        </c:scaling>
        <c:delete val="0"/>
        <c:axPos val="l"/>
        <c:numFmt formatCode="&quot;$&quot;#,##0,&quot;M&quot;"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00000"/>
                </a:solidFill>
                <a:latin typeface="Garamond"/>
                <a:ea typeface="Garamond"/>
                <a:cs typeface="Garamond"/>
              </a:defRPr>
            </a:pPr>
            <a:endParaRPr lang="en-US"/>
          </a:p>
        </c:txPr>
        <c:crossAx val="271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aramond" panose="02020404030301010803" pitchFamily="18" charset="0"/>
                <a:ea typeface="+mn-ea"/>
                <a:cs typeface="+mn-cs"/>
              </a:defRPr>
            </a:pPr>
            <a:r>
              <a:rPr lang="en-US" sz="1400" b="0" i="0" u="none" strike="noStrike" baseline="0">
                <a:solidFill>
                  <a:schemeClr val="tx1"/>
                </a:solidFill>
                <a:effectLst/>
                <a:latin typeface="Garamond" panose="02020404030301010803" pitchFamily="18" charset="0"/>
              </a:rPr>
              <a:t>RGR 5Y Cumulative Return Breakdown</a:t>
            </a:r>
            <a:r>
              <a:rPr lang="en-US" sz="1400" b="0" i="0" u="none" strike="noStrike" baseline="0">
                <a:solidFill>
                  <a:schemeClr val="tx1"/>
                </a:solidFill>
                <a:latin typeface="Garamond" panose="02020404030301010803" pitchFamily="18" charset="0"/>
              </a:rPr>
              <a:t> </a:t>
            </a:r>
            <a:endParaRPr lang="en-US">
              <a:solidFill>
                <a:schemeClr val="tx1"/>
              </a:solidFill>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aramond" panose="02020404030301010803" pitchFamily="18" charset="0"/>
              <a:ea typeface="+mn-ea"/>
              <a:cs typeface="+mn-cs"/>
            </a:defRPr>
          </a:pPr>
          <a:endParaRPr lang="en-US"/>
        </a:p>
      </c:txPr>
    </c:title>
    <c:autoTitleDeleted val="0"/>
    <c:plotArea>
      <c:layout/>
      <c:pieChart>
        <c:varyColors val="1"/>
        <c:ser>
          <c:idx val="0"/>
          <c:order val="0"/>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1-6A2A-467C-ADCA-082B105B669E}"/>
              </c:ext>
            </c:extLst>
          </c:dPt>
          <c:dPt>
            <c:idx val="1"/>
            <c:bubble3D val="0"/>
            <c:spPr>
              <a:solidFill>
                <a:srgbClr val="275185"/>
              </a:solidFill>
              <a:ln w="19050">
                <a:solidFill>
                  <a:schemeClr val="lt1"/>
                </a:solidFill>
              </a:ln>
              <a:effectLst/>
            </c:spPr>
            <c:extLst>
              <c:ext xmlns:c16="http://schemas.microsoft.com/office/drawing/2014/chart" uri="{C3380CC4-5D6E-409C-BE32-E72D297353CC}">
                <c16:uniqueId val="{00000002-6A2A-467C-ADCA-082B105B669E}"/>
              </c:ext>
            </c:extLst>
          </c:dPt>
          <c:cat>
            <c:strRef>
              <c:f>'Capital Allocation'!$AE$31:$AE$32</c:f>
              <c:strCache>
                <c:ptCount val="2"/>
                <c:pt idx="0">
                  <c:v>Dividend</c:v>
                </c:pt>
                <c:pt idx="1">
                  <c:v>Buyback</c:v>
                </c:pt>
              </c:strCache>
            </c:strRef>
          </c:cat>
          <c:val>
            <c:numRef>
              <c:f>'Capital Allocation'!$AF$31:$AF$32</c:f>
              <c:numCache>
                <c:formatCode>0%</c:formatCode>
                <c:ptCount val="2"/>
                <c:pt idx="0">
                  <c:v>0.87930411641028439</c:v>
                </c:pt>
                <c:pt idx="1">
                  <c:v>0.12069588358971561</c:v>
                </c:pt>
              </c:numCache>
            </c:numRef>
          </c:val>
          <c:extLst>
            <c:ext xmlns:c16="http://schemas.microsoft.com/office/drawing/2014/chart" uri="{C3380CC4-5D6E-409C-BE32-E72D297353CC}">
              <c16:uniqueId val="{00000000-6A2A-467C-ADCA-082B105B669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aramond" panose="02020404030301010803" pitchFamily="18" charset="0"/>
                <a:ea typeface="+mn-ea"/>
                <a:cs typeface="+mn-cs"/>
              </a:defRPr>
            </a:pPr>
            <a:r>
              <a:rPr lang="en-US" sz="1400" b="0" i="0" u="none" strike="noStrike" baseline="0">
                <a:solidFill>
                  <a:schemeClr val="tx1"/>
                </a:solidFill>
                <a:effectLst/>
                <a:latin typeface="Garamond" panose="02020404030301010803" pitchFamily="18" charset="0"/>
              </a:rPr>
              <a:t>SWBI 5Y Cumulative Return Breakdown</a:t>
            </a:r>
            <a:r>
              <a:rPr lang="en-US" sz="1400" b="0" i="0" u="none" strike="noStrike" baseline="0">
                <a:solidFill>
                  <a:schemeClr val="tx1"/>
                </a:solidFill>
                <a:latin typeface="Garamond" panose="02020404030301010803" pitchFamily="18" charset="0"/>
              </a:rPr>
              <a:t> </a:t>
            </a:r>
            <a:endParaRPr lang="en-US">
              <a:solidFill>
                <a:schemeClr val="tx1"/>
              </a:solidFill>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aramond" panose="02020404030301010803" pitchFamily="18" charset="0"/>
              <a:ea typeface="+mn-ea"/>
              <a:cs typeface="+mn-cs"/>
            </a:defRPr>
          </a:pPr>
          <a:endParaRPr lang="en-US"/>
        </a:p>
      </c:txPr>
    </c:title>
    <c:autoTitleDeleted val="0"/>
    <c:plotArea>
      <c:layout/>
      <c:pieChart>
        <c:varyColors val="1"/>
        <c:ser>
          <c:idx val="0"/>
          <c:order val="0"/>
          <c:spPr>
            <a:solidFill>
              <a:srgbClr val="275185"/>
            </a:solidFill>
          </c:spPr>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1-11CB-4F19-AB6E-489AD38242C4}"/>
              </c:ext>
            </c:extLst>
          </c:dPt>
          <c:dPt>
            <c:idx val="1"/>
            <c:bubble3D val="0"/>
            <c:spPr>
              <a:solidFill>
                <a:srgbClr val="275185"/>
              </a:solidFill>
              <a:ln w="19050">
                <a:solidFill>
                  <a:schemeClr val="lt1"/>
                </a:solidFill>
              </a:ln>
              <a:effectLst/>
            </c:spPr>
            <c:extLst>
              <c:ext xmlns:c16="http://schemas.microsoft.com/office/drawing/2014/chart" uri="{C3380CC4-5D6E-409C-BE32-E72D297353CC}">
                <c16:uniqueId val="{00000003-4F58-4CCC-9F51-5F83DBC6C8F7}"/>
              </c:ext>
            </c:extLst>
          </c:dPt>
          <c:cat>
            <c:strRef>
              <c:f>'Capital Allocation'!$AE$27:$AE$28</c:f>
              <c:strCache>
                <c:ptCount val="2"/>
                <c:pt idx="0">
                  <c:v>Dividend</c:v>
                </c:pt>
                <c:pt idx="1">
                  <c:v>Buyback</c:v>
                </c:pt>
              </c:strCache>
            </c:strRef>
          </c:cat>
          <c:val>
            <c:numRef>
              <c:f>'Capital Allocation'!$AF$27:$AF$28</c:f>
              <c:numCache>
                <c:formatCode>0%</c:formatCode>
                <c:ptCount val="2"/>
                <c:pt idx="0">
                  <c:v>0.23225007669719946</c:v>
                </c:pt>
                <c:pt idx="1">
                  <c:v>0.76774992330280056</c:v>
                </c:pt>
              </c:numCache>
            </c:numRef>
          </c:val>
          <c:extLst>
            <c:ext xmlns:c16="http://schemas.microsoft.com/office/drawing/2014/chart" uri="{C3380CC4-5D6E-409C-BE32-E72D297353CC}">
              <c16:uniqueId val="{00000000-11CB-4F19-AB6E-489AD38242C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'Capital Allocation'!$AG$10</c:f>
              <c:strCache>
                <c:ptCount val="1"/>
                <c:pt idx="0">
                  <c:v>SWBI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AF-4BBA-B784-306F7D6162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AF-4BBA-B784-306F7D6162E5}"/>
              </c:ext>
            </c:extLst>
          </c:dPt>
          <c:val>
            <c:numRef>
              <c:f>'Capital Allocation'!$AG$11:$AG$12</c:f>
              <c:numCache>
                <c:formatCode>0%</c:formatCode>
                <c:ptCount val="2"/>
                <c:pt idx="0">
                  <c:v>0.23225007669719946</c:v>
                </c:pt>
                <c:pt idx="1">
                  <c:v>0.76774992330280056</c:v>
                </c:pt>
              </c:numCache>
            </c:numRef>
          </c:val>
          <c:extLst>
            <c:ext xmlns:c16="http://schemas.microsoft.com/office/drawing/2014/chart" uri="{C3380CC4-5D6E-409C-BE32-E72D297353CC}">
              <c16:uniqueId val="{00000001-5289-4782-829D-F25278CEE9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'Capital Allocation'!$AH$10</c:f>
              <c:strCache>
                <c:ptCount val="1"/>
                <c:pt idx="0">
                  <c:v>RGR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0E-4507-B908-4C18829084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0E-4507-B908-4C18829084E2}"/>
              </c:ext>
            </c:extLst>
          </c:dPt>
          <c:val>
            <c:numRef>
              <c:f>'Capital Allocation'!$AH$11:$AH$12</c:f>
              <c:numCache>
                <c:formatCode>0%</c:formatCode>
                <c:ptCount val="2"/>
                <c:pt idx="0">
                  <c:v>0.87930411641028439</c:v>
                </c:pt>
                <c:pt idx="1">
                  <c:v>0.1206958835897156</c:v>
                </c:pt>
              </c:numCache>
            </c:numRef>
          </c:val>
          <c:extLst>
            <c:ext xmlns:c16="http://schemas.microsoft.com/office/drawing/2014/chart" uri="{C3380CC4-5D6E-409C-BE32-E72D297353CC}">
              <c16:uniqueId val="{00000001-3CDE-4385-9B57-A2A505D56A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22-48B6-8D1C-9EAE4BE533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22-48B6-8D1C-9EAE4BE533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22-48B6-8D1C-9EAE4BE533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Sheet1!$X$9:$X$11</c:f>
              <c:strCache>
                <c:ptCount val="3"/>
                <c:pt idx="0">
                  <c:v>Handgun</c:v>
                </c:pt>
                <c:pt idx="1">
                  <c:v>Long Gun</c:v>
                </c:pt>
                <c:pt idx="2">
                  <c:v>Other</c:v>
                </c:pt>
              </c:strCache>
            </c:strRef>
          </c:cat>
          <c:val>
            <c:numRef>
              <c:f>Sheet1!$Y$9:$Y$11</c:f>
              <c:numCache>
                <c:formatCode>0.0%</c:formatCode>
                <c:ptCount val="3"/>
                <c:pt idx="0">
                  <c:v>0.68888651400479939</c:v>
                </c:pt>
                <c:pt idx="1">
                  <c:v>0.23208619533853433</c:v>
                </c:pt>
                <c:pt idx="2">
                  <c:v>7.9027290656666249E-2</c:v>
                </c:pt>
              </c:numCache>
            </c:numRef>
          </c:val>
          <c:extLst>
            <c:ext xmlns:c16="http://schemas.microsoft.com/office/drawing/2014/chart" uri="{C3380CC4-5D6E-409C-BE32-E72D297353CC}">
              <c16:uniqueId val="{00000001-9B14-4879-9B87-2AD6887B7DE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Sheet1!$V$22:$W$22</c:f>
              <c:strCache>
                <c:ptCount val="2"/>
                <c:pt idx="0">
                  <c:v>LTM</c:v>
                </c:pt>
                <c:pt idx="1">
                  <c:v>F28 E</c:v>
                </c:pt>
              </c:strCache>
            </c:strRef>
          </c:cat>
          <c:val>
            <c:numRef>
              <c:f>Sheet1!$V$23:$W$23</c:f>
              <c:numCache>
                <c:formatCode>0%</c:formatCode>
                <c:ptCount val="2"/>
                <c:pt idx="0">
                  <c:v>0.23208619533853433</c:v>
                </c:pt>
                <c:pt idx="1">
                  <c:v>0.29761708426754629</c:v>
                </c:pt>
              </c:numCache>
            </c:numRef>
          </c:val>
          <c:extLst>
            <c:ext xmlns:c16="http://schemas.microsoft.com/office/drawing/2014/chart" uri="{C3380CC4-5D6E-409C-BE32-E72D297353CC}">
              <c16:uniqueId val="{00000001-251A-4D07-88F5-36B7AB238B1D}"/>
            </c:ext>
          </c:extLst>
        </c:ser>
        <c:dLbls>
          <c:showLegendKey val="0"/>
          <c:showVal val="0"/>
          <c:showCatName val="0"/>
          <c:showSerName val="0"/>
          <c:showPercent val="0"/>
          <c:showBubbleSize val="0"/>
        </c:dLbls>
        <c:gapWidth val="75"/>
        <c:overlap val="-27"/>
        <c:axId val="1138570248"/>
        <c:axId val="1138572296"/>
      </c:barChart>
      <c:catAx>
        <c:axId val="1138570248"/>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1138572296"/>
        <c:crosses val="autoZero"/>
        <c:auto val="1"/>
        <c:lblAlgn val="ctr"/>
        <c:lblOffset val="100"/>
        <c:noMultiLvlLbl val="0"/>
      </c:catAx>
      <c:valAx>
        <c:axId val="1138572296"/>
        <c:scaling>
          <c:orientation val="minMax"/>
        </c:scaling>
        <c:delete val="0"/>
        <c:axPos val="l"/>
        <c:numFmt formatCode="0%"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1138570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Sheet1!$U$13:$Y$13</c:f>
              <c:strCache>
                <c:ptCount val="5"/>
                <c:pt idx="0">
                  <c:v>LTM</c:v>
                </c:pt>
                <c:pt idx="1">
                  <c:v>F25 E</c:v>
                </c:pt>
                <c:pt idx="2">
                  <c:v>F26 E</c:v>
                </c:pt>
                <c:pt idx="3">
                  <c:v>F27 E</c:v>
                </c:pt>
                <c:pt idx="4">
                  <c:v>F28 E</c:v>
                </c:pt>
              </c:strCache>
            </c:strRef>
          </c:cat>
          <c:val>
            <c:numRef>
              <c:f>Sheet1!$U$14:$Y$14</c:f>
              <c:numCache>
                <c:formatCode>"$"#,##0</c:formatCode>
                <c:ptCount val="5"/>
                <c:pt idx="0">
                  <c:v>119442</c:v>
                </c:pt>
                <c:pt idx="1">
                  <c:v>127590.30650000001</c:v>
                </c:pt>
                <c:pt idx="2">
                  <c:v>142707.20601411996</c:v>
                </c:pt>
                <c:pt idx="3">
                  <c:v>158836.54526665984</c:v>
                </c:pt>
                <c:pt idx="4">
                  <c:v>175922.27476790387</c:v>
                </c:pt>
              </c:numCache>
            </c:numRef>
          </c:val>
          <c:extLst>
            <c:ext xmlns:c16="http://schemas.microsoft.com/office/drawing/2014/chart" uri="{C3380CC4-5D6E-409C-BE32-E72D297353CC}">
              <c16:uniqueId val="{00000001-CCB2-4D17-83D9-EAB06D9E1002}"/>
            </c:ext>
          </c:extLst>
        </c:ser>
        <c:dLbls>
          <c:showLegendKey val="0"/>
          <c:showVal val="0"/>
          <c:showCatName val="0"/>
          <c:showSerName val="0"/>
          <c:showPercent val="0"/>
          <c:showBubbleSize val="0"/>
        </c:dLbls>
        <c:gapWidth val="219"/>
        <c:overlap val="-27"/>
        <c:axId val="2129720328"/>
        <c:axId val="2129722376"/>
      </c:barChart>
      <c:catAx>
        <c:axId val="2129720328"/>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2129722376"/>
        <c:crosses val="autoZero"/>
        <c:auto val="1"/>
        <c:lblAlgn val="ctr"/>
        <c:lblOffset val="100"/>
        <c:noMultiLvlLbl val="0"/>
      </c:catAx>
      <c:valAx>
        <c:axId val="2129722376"/>
        <c:scaling>
          <c:orientation val="minMax"/>
        </c:scaling>
        <c:delete val="0"/>
        <c:axPos val="l"/>
        <c:numFmt formatCode="&quot;$&quot;#,##0"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2129720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Sheet2!$D$1</c:f>
              <c:strCache>
                <c:ptCount val="1"/>
                <c:pt idx="0">
                  <c:v>SWBI</c:v>
                </c:pt>
              </c:strCache>
            </c:strRef>
          </c:tx>
          <c:spPr>
            <a:ln w="28575" cap="rnd">
              <a:solidFill>
                <a:srgbClr val="145F82"/>
              </a:solidFill>
              <a:prstDash val="solid"/>
              <a:round/>
            </a:ln>
            <a:effectLst/>
          </c:spPr>
          <c:marker>
            <c:symbol val="none"/>
          </c:marker>
          <c:cat>
            <c:strRef>
              <c:f>Sheet2!$C$2:$C$11</c:f>
              <c:strCache>
                <c:ptCount val="10"/>
                <c:pt idx="0">
                  <c:v>F15</c:v>
                </c:pt>
                <c:pt idx="1">
                  <c:v>F16</c:v>
                </c:pt>
                <c:pt idx="2">
                  <c:v>F17</c:v>
                </c:pt>
                <c:pt idx="3">
                  <c:v>F18</c:v>
                </c:pt>
                <c:pt idx="4">
                  <c:v>F19</c:v>
                </c:pt>
                <c:pt idx="5">
                  <c:v>F20</c:v>
                </c:pt>
                <c:pt idx="6">
                  <c:v>F21</c:v>
                </c:pt>
                <c:pt idx="7">
                  <c:v>F22</c:v>
                </c:pt>
                <c:pt idx="8">
                  <c:v>F23</c:v>
                </c:pt>
                <c:pt idx="9">
                  <c:v>F24</c:v>
                </c:pt>
              </c:strCache>
            </c:strRef>
          </c:cat>
          <c:val>
            <c:numRef>
              <c:f>Sheet2!$D$2:$D$11</c:f>
              <c:numCache>
                <c:formatCode>General</c:formatCode>
                <c:ptCount val="10"/>
                <c:pt idx="0">
                  <c:v>120521</c:v>
                </c:pt>
                <c:pt idx="1">
                  <c:v>199880</c:v>
                </c:pt>
                <c:pt idx="2">
                  <c:v>250152</c:v>
                </c:pt>
                <c:pt idx="3">
                  <c:v>79123</c:v>
                </c:pt>
                <c:pt idx="4">
                  <c:v>72563</c:v>
                </c:pt>
                <c:pt idx="5">
                  <c:v>82277</c:v>
                </c:pt>
                <c:pt idx="6">
                  <c:v>351207</c:v>
                </c:pt>
                <c:pt idx="7">
                  <c:v>281726</c:v>
                </c:pt>
                <c:pt idx="8">
                  <c:v>79843</c:v>
                </c:pt>
                <c:pt idx="9">
                  <c:v>77337</c:v>
                </c:pt>
              </c:numCache>
            </c:numRef>
          </c:val>
          <c:smooth val="0"/>
          <c:extLst>
            <c:ext xmlns:c16="http://schemas.microsoft.com/office/drawing/2014/chart" uri="{C3380CC4-5D6E-409C-BE32-E72D297353CC}">
              <c16:uniqueId val="{00000001-3EE7-46A3-88C5-D733B7EC31F8}"/>
            </c:ext>
          </c:extLst>
        </c:ser>
        <c:ser>
          <c:idx val="1"/>
          <c:order val="1"/>
          <c:tx>
            <c:strRef>
              <c:f>Sheet2!$E$1</c:f>
              <c:strCache>
                <c:ptCount val="1"/>
                <c:pt idx="0">
                  <c:v>RGR</c:v>
                </c:pt>
              </c:strCache>
            </c:strRef>
          </c:tx>
          <c:spPr>
            <a:ln w="28575" cap="rnd">
              <a:solidFill>
                <a:srgbClr val="FFC000"/>
              </a:solidFill>
              <a:prstDash val="solid"/>
              <a:round/>
            </a:ln>
            <a:effectLst/>
          </c:spPr>
          <c:marker>
            <c:symbol val="none"/>
          </c:marker>
          <c:cat>
            <c:strRef>
              <c:f>Sheet2!$C$2:$C$11</c:f>
              <c:strCache>
                <c:ptCount val="10"/>
                <c:pt idx="0">
                  <c:v>F15</c:v>
                </c:pt>
                <c:pt idx="1">
                  <c:v>F16</c:v>
                </c:pt>
                <c:pt idx="2">
                  <c:v>F17</c:v>
                </c:pt>
                <c:pt idx="3">
                  <c:v>F18</c:v>
                </c:pt>
                <c:pt idx="4">
                  <c:v>F19</c:v>
                </c:pt>
                <c:pt idx="5">
                  <c:v>F20</c:v>
                </c:pt>
                <c:pt idx="6">
                  <c:v>F21</c:v>
                </c:pt>
                <c:pt idx="7">
                  <c:v>F22</c:v>
                </c:pt>
                <c:pt idx="8">
                  <c:v>F23</c:v>
                </c:pt>
                <c:pt idx="9">
                  <c:v>F24</c:v>
                </c:pt>
              </c:strCache>
            </c:strRef>
          </c:cat>
          <c:val>
            <c:numRef>
              <c:f>Sheet2!$E$2:$E$11</c:f>
              <c:numCache>
                <c:formatCode>General</c:formatCode>
                <c:ptCount val="10"/>
                <c:pt idx="0">
                  <c:v>130870</c:v>
                </c:pt>
                <c:pt idx="1">
                  <c:v>169764</c:v>
                </c:pt>
                <c:pt idx="2">
                  <c:v>110613</c:v>
                </c:pt>
                <c:pt idx="3">
                  <c:v>98981</c:v>
                </c:pt>
                <c:pt idx="4">
                  <c:v>68706</c:v>
                </c:pt>
                <c:pt idx="5">
                  <c:v>146724</c:v>
                </c:pt>
                <c:pt idx="6">
                  <c:v>229288</c:v>
                </c:pt>
                <c:pt idx="7">
                  <c:v>129245</c:v>
                </c:pt>
                <c:pt idx="8">
                  <c:v>74467</c:v>
                </c:pt>
                <c:pt idx="9">
                  <c:v>53717</c:v>
                </c:pt>
              </c:numCache>
            </c:numRef>
          </c:val>
          <c:smooth val="0"/>
          <c:extLst>
            <c:ext xmlns:c16="http://schemas.microsoft.com/office/drawing/2014/chart" uri="{C3380CC4-5D6E-409C-BE32-E72D297353CC}">
              <c16:uniqueId val="{00000003-3EE7-46A3-88C5-D733B7EC31F8}"/>
            </c:ext>
          </c:extLst>
        </c:ser>
        <c:dLbls>
          <c:showLegendKey val="0"/>
          <c:showVal val="0"/>
          <c:showCatName val="0"/>
          <c:showSerName val="0"/>
          <c:showPercent val="0"/>
          <c:showBubbleSize val="0"/>
        </c:dLbls>
        <c:smooth val="0"/>
        <c:axId val="1148177927"/>
        <c:axId val="1345077767"/>
      </c:lineChart>
      <c:catAx>
        <c:axId val="1148177927"/>
        <c:scaling>
          <c:orientation val="minMax"/>
        </c:scaling>
        <c:delete val="0"/>
        <c:axPos val="b"/>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1345077767"/>
        <c:crosses val="autoZero"/>
        <c:auto val="1"/>
        <c:lblAlgn val="ctr"/>
        <c:lblOffset val="100"/>
        <c:noMultiLvlLbl val="0"/>
      </c:catAx>
      <c:valAx>
        <c:axId val="1345077767"/>
        <c:scaling>
          <c:orientation val="minMax"/>
        </c:scaling>
        <c:delete val="0"/>
        <c:axPos val="l"/>
        <c:numFmt formatCode="#,##0,&quot;M&quot;" sourceLinked="0"/>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crossAx val="1148177927"/>
        <c:crosses val="autoZero"/>
        <c:crossBetween val="between"/>
      </c:valAx>
      <c:spPr>
        <a:noFill/>
        <a:ln>
          <a:noFill/>
        </a:ln>
        <a:effectLst/>
      </c:spPr>
    </c:plotArea>
    <c:legend>
      <c:legendPos val="t"/>
      <c:layout>
        <c:manualLayout>
          <c:xMode val="edge"/>
          <c:yMode val="edge"/>
          <c:x val="0.12424125109361332"/>
          <c:y val="0.17013888888888887"/>
          <c:w val="0.29811701662292212"/>
          <c:h val="7.4183799941673942E-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0000"/>
              </a:solidFill>
              <a:latin typeface="Garamond"/>
              <a:ea typeface="Garamond"/>
              <a:cs typeface="Garamond"/>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C8D96BBD-C011-45A4-8B2C-9FBD9795BE66}">
          <cx:spPr>
            <a:solidFill>
              <a:srgbClr val="00B050"/>
            </a:solidFill>
            <a:ln w="12700">
              <a:solidFill>
                <a:srgbClr val="000000"/>
              </a:solidFill>
              <a:prstDash val="solid"/>
            </a:ln>
          </cx:spPr>
          <cx:dataPt idx="6">
            <cx:spPr>
              <a:solidFill>
                <a:srgbClr val="275185"/>
              </a:solidFill>
            </cx:spPr>
          </cx:dataPt>
          <cx:dataLabels>
            <cx:txPr>
              <a:bodyPr vertOverflow="overflow" horzOverflow="overflow" wrap="square" lIns="0" tIns="0" rIns="0" bIns="0"/>
              <a:lstStyle/>
              <a:p>
                <a:pPr algn="ctr" rtl="0">
                  <a:defRPr sz="1200" b="1" i="0">
                    <a:solidFill>
                      <a:srgbClr val="000000"/>
                    </a:solidFill>
                    <a:latin typeface="Garamond" panose="02020404030301010803" pitchFamily="18" charset="0"/>
                    <a:ea typeface="Garamond" panose="02020404030301010803" pitchFamily="18" charset="0"/>
                    <a:cs typeface="Garamond" panose="02020404030301010803" pitchFamily="18" charset="0"/>
                  </a:defRPr>
                </a:pPr>
                <a:endParaRPr b="1">
                  <a:solidFill>
                    <a:srgbClr val="000000"/>
                  </a:solidFill>
                  <a:latin typeface="Garamond" panose="02020404030301010803" pitchFamily="18" charset="0"/>
                </a:endParaRPr>
              </a:p>
            </cx:txPr>
            <cx:visibility seriesName="0" categoryName="0" value="1"/>
            <cx:dataLabel idx="6">
              <cx:txPr>
                <a:bodyPr vertOverflow="overflow" horzOverflow="overflow" wrap="square" lIns="0" tIns="0" rIns="0" bIns="0"/>
                <a:lstStyle/>
                <a:p>
                  <a:pPr algn="ctr" rtl="0">
                    <a:defRPr sz="900" b="0" i="0">
                      <a:solidFill>
                        <a:srgbClr val="275185"/>
                      </a:solidFill>
                      <a:latin typeface="Aptos Narrow" panose="020B0004020202020204" pitchFamily="34" charset="0"/>
                      <a:ea typeface="Aptos Narrow" panose="020B0004020202020204" pitchFamily="34" charset="0"/>
                      <a:cs typeface="Aptos Narrow" panose="020B0004020202020204" pitchFamily="34" charset="0"/>
                    </a:defRPr>
                  </a:pPr>
                  <a:r>
                    <a:rPr>
                      <a:solidFill>
                        <a:srgbClr val="275185"/>
                      </a:solidFill>
                    </a:rPr>
                    <a:t>-54.9%</a:t>
                  </a:r>
                </a:p>
              </cx:txPr>
              <cx:visibility seriesName="0" categoryName="0" value="1"/>
            </cx:dataLabel>
          </cx:dataLabels>
          <cx:dataId val="0"/>
          <cx:layoutPr>
            <cx:subtotals/>
          </cx:layoutPr>
        </cx:series>
      </cx:plotAreaRegion>
      <cx:axis id="0">
        <cx:catScaling gapWidth="0.25"/>
        <cx:tickLabels/>
        <cx:spPr>
          <a:ln w="12700">
            <a:solidFill>
              <a:srgbClr val="000000"/>
            </a:solidFill>
            <a:prstDash val="solid"/>
          </a:ln>
        </cx:spPr>
        <cx:txPr>
          <a:bodyPr vertOverflow="overflow" horzOverflow="overflow" wrap="square" lIns="0" tIns="0" rIns="0" bIns="0"/>
          <a:lstStyle/>
          <a:p>
            <a:pPr algn="ctr" rtl="0">
              <a:defRPr sz="900" b="1" i="0">
                <a:solidFill>
                  <a:srgbClr val="000000"/>
                </a:solidFill>
                <a:latin typeface="Garamond" panose="02020404030301010803" pitchFamily="18" charset="0"/>
                <a:ea typeface="Garamond" panose="02020404030301010803" pitchFamily="18" charset="0"/>
                <a:cs typeface="Garamond" panose="02020404030301010803" pitchFamily="18" charset="0"/>
              </a:defRPr>
            </a:pPr>
            <a:endParaRPr sz="900" b="1">
              <a:solidFill>
                <a:srgbClr val="000000"/>
              </a:solidFill>
              <a:latin typeface="Garamond" panose="02020404030301010803" pitchFamily="18" charset="0"/>
            </a:endParaRPr>
          </a:p>
        </cx:txPr>
      </cx:axis>
      <cx:axis id="1">
        <cx:valScaling/>
        <cx:tickLabels/>
        <cx:numFmt formatCode="0%" sourceLinked="0"/>
        <cx:spPr>
          <a:ln w="12700">
            <a:solidFill>
              <a:srgbClr val="000000"/>
            </a:solidFill>
            <a:prstDash val="solid"/>
          </a:ln>
        </cx:spPr>
        <cx:txPr>
          <a:bodyPr vertOverflow="overflow" horzOverflow="overflow" wrap="square" lIns="0" tIns="0" rIns="0" bIns="0"/>
          <a:lstStyle/>
          <a:p>
            <a:pPr algn="ctr" rtl="0">
              <a:defRPr sz="900" b="1" i="0">
                <a:solidFill>
                  <a:srgbClr val="000000"/>
                </a:solidFill>
                <a:latin typeface="Garamond" panose="02020404030301010803" pitchFamily="18" charset="0"/>
                <a:ea typeface="Garamond" panose="02020404030301010803" pitchFamily="18" charset="0"/>
                <a:cs typeface="Garamond" panose="02020404030301010803" pitchFamily="18" charset="0"/>
              </a:defRPr>
            </a:pPr>
            <a:endParaRPr sz="900" b="1">
              <a:solidFill>
                <a:srgbClr val="000000"/>
              </a:solidFill>
              <a:latin typeface="Garamond" panose="02020404030301010803" pitchFamily="18"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12</xdr:row>
      <xdr:rowOff>9525</xdr:rowOff>
    </xdr:from>
    <xdr:to>
      <xdr:col>91</xdr:col>
      <xdr:colOff>76200</xdr:colOff>
      <xdr:row>109</xdr:row>
      <xdr:rowOff>15875</xdr:rowOff>
    </xdr:to>
    <xdr:pic>
      <xdr:nvPicPr>
        <xdr:cNvPr id="2" name="Picture 1" descr="Smith&amp;Wesson – Logos Download">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2438400"/>
          <a:ext cx="47625000" cy="1825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66297</xdr:colOff>
      <xdr:row>0</xdr:row>
      <xdr:rowOff>180975</xdr:rowOff>
    </xdr:from>
    <xdr:to>
      <xdr:col>2</xdr:col>
      <xdr:colOff>1768475</xdr:colOff>
      <xdr:row>4</xdr:row>
      <xdr:rowOff>73492</xdr:rowOff>
    </xdr:to>
    <xdr:pic>
      <xdr:nvPicPr>
        <xdr:cNvPr id="3" name="Picture 2">
          <a:extLst>
            <a:ext uri="{FF2B5EF4-FFF2-40B4-BE49-F238E27FC236}">
              <a16:creationId xmlns:a16="http://schemas.microsoft.com/office/drawing/2014/main" id="{00000000-0008-0000-0000-000003000000}"/>
            </a:ext>
            <a:ext uri="{147F2762-F138-4A5C-976F-8EAC2B608ADB}">
              <a16:predDERef xmlns:a16="http://schemas.microsoft.com/office/drawing/2014/main" pred="{DD39E1B5-E27A-4194-8BED-C370E2CCA01B}"/>
            </a:ext>
          </a:extLst>
        </xdr:cNvPr>
        <xdr:cNvPicPr>
          <a:picLocks noChangeAspect="1"/>
        </xdr:cNvPicPr>
      </xdr:nvPicPr>
      <xdr:blipFill>
        <a:blip xmlns:r="http://schemas.openxmlformats.org/officeDocument/2006/relationships" r:embed="rId2"/>
        <a:stretch>
          <a:fillRect/>
        </a:stretch>
      </xdr:blipFill>
      <xdr:spPr>
        <a:xfrm>
          <a:off x="704472" y="180975"/>
          <a:ext cx="1692653" cy="6449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38090</xdr:colOff>
      <xdr:row>10</xdr:row>
      <xdr:rowOff>180975</xdr:rowOff>
    </xdr:from>
    <xdr:to>
      <xdr:col>8</xdr:col>
      <xdr:colOff>73015</xdr:colOff>
      <xdr:row>20</xdr:row>
      <xdr:rowOff>172068</xdr:rowOff>
    </xdr:to>
    <xdr:graphicFrame macro="">
      <xdr:nvGraphicFramePr>
        <xdr:cNvPr id="23" name="Chart 22">
          <a:extLst>
            <a:ext uri="{FF2B5EF4-FFF2-40B4-BE49-F238E27FC236}">
              <a16:creationId xmlns:a16="http://schemas.microsoft.com/office/drawing/2014/main" id="{00000000-0008-0000-0100-000017000000}"/>
            </a:ext>
            <a:ext uri="{147F2762-F138-4A5C-976F-8EAC2B608ADB}">
              <a16:predDERef xmlns:a16="http://schemas.microsoft.com/office/drawing/2014/main" pred="{669CD2C7-E7FA-E1B2-A00F-A0A7C711C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123825</xdr:colOff>
      <xdr:row>10</xdr:row>
      <xdr:rowOff>184281</xdr:rowOff>
    </xdr:from>
    <xdr:to>
      <xdr:col>12</xdr:col>
      <xdr:colOff>536575</xdr:colOff>
      <xdr:row>20</xdr:row>
      <xdr:rowOff>175374</xdr:rowOff>
    </xdr:to>
    <xdr:graphicFrame macro="">
      <xdr:nvGraphicFramePr>
        <xdr:cNvPr id="24" name="Chart 23">
          <a:extLst>
            <a:ext uri="{FF2B5EF4-FFF2-40B4-BE49-F238E27FC236}">
              <a16:creationId xmlns:a16="http://schemas.microsoft.com/office/drawing/2014/main" id="{00000000-0008-0000-0100-000018000000}"/>
            </a:ext>
            <a:ext uri="{147F2762-F138-4A5C-976F-8EAC2B608ADB}">
              <a16:predDERef xmlns:a16="http://schemas.microsoft.com/office/drawing/2014/main" pred="{00000000-0008-0000-01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152400</xdr:rowOff>
    </xdr:from>
    <xdr:to>
      <xdr:col>16</xdr:col>
      <xdr:colOff>314325</xdr:colOff>
      <xdr:row>21</xdr:row>
      <xdr:rowOff>142875</xdr:rowOff>
    </xdr:to>
    <mc:AlternateContent xmlns:mc="http://schemas.openxmlformats.org/markup-compatibility/2006">
      <mc:Choice xmlns:cx1="http://schemas.microsoft.com/office/drawing/2015/9/8/chartex" Requires="cx1">
        <xdr:graphicFrame macro="">
          <xdr:nvGraphicFramePr>
            <xdr:cNvPr id="3" name="Chart 1">
              <a:extLst>
                <a:ext uri="{FF2B5EF4-FFF2-40B4-BE49-F238E27FC236}">
                  <a16:creationId xmlns:a16="http://schemas.microsoft.com/office/drawing/2014/main" id="{39666D61-60D8-7645-7CE4-52E9BFB308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5525" y="342900"/>
              <a:ext cx="7019925" cy="3800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152400</xdr:colOff>
      <xdr:row>24</xdr:row>
      <xdr:rowOff>95250</xdr:rowOff>
    </xdr:from>
    <xdr:to>
      <xdr:col>8</xdr:col>
      <xdr:colOff>609600</xdr:colOff>
      <xdr:row>61</xdr:row>
      <xdr:rowOff>76200</xdr:rowOff>
    </xdr:to>
    <xdr:graphicFrame macro="">
      <xdr:nvGraphicFramePr>
        <xdr:cNvPr id="4" name="Chart 4">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180975</xdr:colOff>
      <xdr:row>43</xdr:row>
      <xdr:rowOff>66675</xdr:rowOff>
    </xdr:from>
    <xdr:to>
      <xdr:col>31</xdr:col>
      <xdr:colOff>581025</xdr:colOff>
      <xdr:row>83</xdr:row>
      <xdr:rowOff>38100</xdr:rowOff>
    </xdr:to>
    <xdr:graphicFrame macro="">
      <xdr:nvGraphicFramePr>
        <xdr:cNvPr id="3" name="Chart 1">
          <a:extLst>
            <a:ext uri="{FF2B5EF4-FFF2-40B4-BE49-F238E27FC236}">
              <a16:creationId xmlns:a16="http://schemas.microsoft.com/office/drawing/2014/main" id="{00000000-0008-0000-0800-000003000000}"/>
            </a:ext>
            <a:ext uri="{147F2762-F138-4A5C-976F-8EAC2B608ADB}">
              <a16:predDERef xmlns:a16="http://schemas.microsoft.com/office/drawing/2014/main" pre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43</xdr:col>
      <xdr:colOff>190500</xdr:colOff>
      <xdr:row>4</xdr:row>
      <xdr:rowOff>104775</xdr:rowOff>
    </xdr:from>
    <xdr:to>
      <xdr:col>50</xdr:col>
      <xdr:colOff>581025</xdr:colOff>
      <xdr:row>26</xdr:row>
      <xdr:rowOff>171450</xdr:rowOff>
    </xdr:to>
    <xdr:graphicFrame macro="">
      <xdr:nvGraphicFramePr>
        <xdr:cNvPr id="5" name="Chart 2">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381000</xdr:colOff>
      <xdr:row>6</xdr:row>
      <xdr:rowOff>161925</xdr:rowOff>
    </xdr:from>
    <xdr:to>
      <xdr:col>47</xdr:col>
      <xdr:colOff>485775</xdr:colOff>
      <xdr:row>20</xdr:row>
      <xdr:rowOff>123825</xdr:rowOff>
    </xdr:to>
    <xdr:graphicFrame macro="">
      <xdr:nvGraphicFramePr>
        <xdr:cNvPr id="6" name="Chart 7">
          <a:extLst>
            <a:ext uri="{FF2B5EF4-FFF2-40B4-BE49-F238E27FC236}">
              <a16:creationId xmlns:a16="http://schemas.microsoft.com/office/drawing/2014/main" id="{00000000-0008-0000-0900-000008000000}"/>
            </a:ext>
            <a:ext uri="{147F2762-F138-4A5C-976F-8EAC2B608ADB}">
              <a16:predDERef xmlns:a16="http://schemas.microsoft.com/office/drawing/2014/main" pre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600075</xdr:colOff>
      <xdr:row>17</xdr:row>
      <xdr:rowOff>171450</xdr:rowOff>
    </xdr:from>
    <xdr:to>
      <xdr:col>13</xdr:col>
      <xdr:colOff>590550</xdr:colOff>
      <xdr:row>40</xdr:row>
      <xdr:rowOff>152400</xdr:rowOff>
    </xdr:to>
    <xdr:graphicFrame macro="">
      <xdr:nvGraphicFramePr>
        <xdr:cNvPr id="3" name="Chart 2">
          <a:extLst>
            <a:ext uri="{FF2B5EF4-FFF2-40B4-BE49-F238E27FC236}">
              <a16:creationId xmlns:a16="http://schemas.microsoft.com/office/drawing/2014/main" id="{B441EC38-D753-7120-B5CF-9F7190E7FB83}"/>
            </a:ext>
            <a:ext uri="{147F2762-F138-4A5C-976F-8EAC2B608ADB}">
              <a16:predDERef xmlns:a16="http://schemas.microsoft.com/office/drawing/2014/main" pre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57</xdr:col>
      <xdr:colOff>381000</xdr:colOff>
      <xdr:row>8</xdr:row>
      <xdr:rowOff>76200</xdr:rowOff>
    </xdr:from>
    <xdr:to>
      <xdr:col>67</xdr:col>
      <xdr:colOff>219075</xdr:colOff>
      <xdr:row>22</xdr:row>
      <xdr:rowOff>152400</xdr:rowOff>
    </xdr:to>
    <xdr:graphicFrame macro="">
      <xdr:nvGraphicFramePr>
        <xdr:cNvPr id="33" name="Chart 1">
          <a:extLst>
            <a:ext uri="{FF2B5EF4-FFF2-40B4-BE49-F238E27FC236}">
              <a16:creationId xmlns:a16="http://schemas.microsoft.com/office/drawing/2014/main" id="{32639BCD-878B-029E-2880-62B75886FEA4}"/>
            </a:ext>
            <a:ext uri="{147F2762-F138-4A5C-976F-8EAC2B608ADB}">
              <a16:predDERef xmlns:a16="http://schemas.microsoft.com/office/drawing/2014/main" pred="{B441EC38-D753-7120-B5CF-9F7190E7F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73</xdr:col>
      <xdr:colOff>114300</xdr:colOff>
      <xdr:row>10</xdr:row>
      <xdr:rowOff>142875</xdr:rowOff>
    </xdr:from>
    <xdr:to>
      <xdr:col>80</xdr:col>
      <xdr:colOff>419100</xdr:colOff>
      <xdr:row>25</xdr:row>
      <xdr:rowOff>171450</xdr:rowOff>
    </xdr:to>
    <xdr:graphicFrame macro="">
      <xdr:nvGraphicFramePr>
        <xdr:cNvPr id="2" name="Chart 1">
          <a:extLst>
            <a:ext uri="{FF2B5EF4-FFF2-40B4-BE49-F238E27FC236}">
              <a16:creationId xmlns:a16="http://schemas.microsoft.com/office/drawing/2014/main" id="{581226B1-B5EC-6602-3729-39FA4F6B8205}"/>
            </a:ext>
            <a:ext uri="{147F2762-F138-4A5C-976F-8EAC2B608ADB}">
              <a16:predDERef xmlns:a16="http://schemas.microsoft.com/office/drawing/2014/main" pred="{32639BCD-878B-029E-2880-62B75886F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67</xdr:col>
      <xdr:colOff>180975</xdr:colOff>
      <xdr:row>5</xdr:row>
      <xdr:rowOff>104775</xdr:rowOff>
    </xdr:from>
    <xdr:to>
      <xdr:col>74</xdr:col>
      <xdr:colOff>485775</xdr:colOff>
      <xdr:row>20</xdr:row>
      <xdr:rowOff>133350</xdr:rowOff>
    </xdr:to>
    <xdr:graphicFrame macro="">
      <xdr:nvGraphicFramePr>
        <xdr:cNvPr id="4" name="Chart 3">
          <a:extLst>
            <a:ext uri="{FF2B5EF4-FFF2-40B4-BE49-F238E27FC236}">
              <a16:creationId xmlns:a16="http://schemas.microsoft.com/office/drawing/2014/main" id="{4DDC0018-099B-3D7B-54AD-D7A323E7F8C1}"/>
            </a:ext>
            <a:ext uri="{147F2762-F138-4A5C-976F-8EAC2B608ADB}">
              <a16:predDERef xmlns:a16="http://schemas.microsoft.com/office/drawing/2014/main" pred="{581226B1-B5EC-6602-3729-39FA4F6B8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485775</xdr:colOff>
      <xdr:row>13</xdr:row>
      <xdr:rowOff>114300</xdr:rowOff>
    </xdr:from>
    <xdr:to>
      <xdr:col>29</xdr:col>
      <xdr:colOff>180975</xdr:colOff>
      <xdr:row>30</xdr:row>
      <xdr:rowOff>142875</xdr:rowOff>
    </xdr:to>
    <xdr:graphicFrame macro="">
      <xdr:nvGraphicFramePr>
        <xdr:cNvPr id="7" name="Chart 6">
          <a:extLst>
            <a:ext uri="{FF2B5EF4-FFF2-40B4-BE49-F238E27FC236}">
              <a16:creationId xmlns:a16="http://schemas.microsoft.com/office/drawing/2014/main" id="{613D81F2-1A47-2C44-B4C2-53CC6A7FE706}"/>
            </a:ext>
            <a:ext uri="{147F2762-F138-4A5C-976F-8EAC2B608ADB}">
              <a16:predDERef xmlns:a16="http://schemas.microsoft.com/office/drawing/2014/main" pred="{4DDC0018-099B-3D7B-54AD-D7A323E7F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38100</xdr:colOff>
      <xdr:row>0</xdr:row>
      <xdr:rowOff>133350</xdr:rowOff>
    </xdr:from>
    <xdr:to>
      <xdr:col>35</xdr:col>
      <xdr:colOff>342900</xdr:colOff>
      <xdr:row>15</xdr:row>
      <xdr:rowOff>161925</xdr:rowOff>
    </xdr:to>
    <xdr:graphicFrame macro="">
      <xdr:nvGraphicFramePr>
        <xdr:cNvPr id="8" name="Chart 7">
          <a:extLst>
            <a:ext uri="{FF2B5EF4-FFF2-40B4-BE49-F238E27FC236}">
              <a16:creationId xmlns:a16="http://schemas.microsoft.com/office/drawing/2014/main" id="{39757ADB-5EAC-2B8F-C441-14706D768A63}"/>
            </a:ext>
            <a:ext uri="{147F2762-F138-4A5C-976F-8EAC2B608ADB}">
              <a16:predDERef xmlns:a16="http://schemas.microsoft.com/office/drawing/2014/main" pred="{613D81F2-1A47-2C44-B4C2-53CC6A7FE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84</xdr:col>
      <xdr:colOff>38100</xdr:colOff>
      <xdr:row>1</xdr:row>
      <xdr:rowOff>95250</xdr:rowOff>
    </xdr:from>
    <xdr:to>
      <xdr:col>93</xdr:col>
      <xdr:colOff>123825</xdr:colOff>
      <xdr:row>15</xdr:row>
      <xdr:rowOff>171450</xdr:rowOff>
    </xdr:to>
    <xdr:graphicFrame macro="">
      <xdr:nvGraphicFramePr>
        <xdr:cNvPr id="12" name="Chart 11">
          <a:extLst>
            <a:ext uri="{FF2B5EF4-FFF2-40B4-BE49-F238E27FC236}">
              <a16:creationId xmlns:a16="http://schemas.microsoft.com/office/drawing/2014/main" id="{63AB4CB0-14EF-6DB9-7ED9-6AF48861063E}"/>
            </a:ext>
            <a:ext uri="{147F2762-F138-4A5C-976F-8EAC2B608ADB}">
              <a16:predDERef xmlns:a16="http://schemas.microsoft.com/office/drawing/2014/main" pred="{39757ADB-5EAC-2B8F-C441-14706D76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533400</xdr:colOff>
      <xdr:row>1</xdr:row>
      <xdr:rowOff>152400</xdr:rowOff>
    </xdr:from>
    <xdr:to>
      <xdr:col>14</xdr:col>
      <xdr:colOff>228600</xdr:colOff>
      <xdr:row>16</xdr:row>
      <xdr:rowOff>38100</xdr:rowOff>
    </xdr:to>
    <xdr:graphicFrame macro="">
      <xdr:nvGraphicFramePr>
        <xdr:cNvPr id="9" name="Chart 8">
          <a:extLst>
            <a:ext uri="{FF2B5EF4-FFF2-40B4-BE49-F238E27FC236}">
              <a16:creationId xmlns:a16="http://schemas.microsoft.com/office/drawing/2014/main" id="{C0D68194-B166-82FC-A86D-FBA78E7FEB7F}"/>
            </a:ext>
            <a:ext uri="{147F2762-F138-4A5C-976F-8EAC2B608ADB}">
              <a16:predDERef xmlns:a16="http://schemas.microsoft.com/office/drawing/2014/main" pred="{63AB4CB0-14EF-6DB9-7ED9-6AF488610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95250</xdr:colOff>
      <xdr:row>6</xdr:row>
      <xdr:rowOff>104775</xdr:rowOff>
    </xdr:from>
    <xdr:to>
      <xdr:col>17</xdr:col>
      <xdr:colOff>400050</xdr:colOff>
      <xdr:row>20</xdr:row>
      <xdr:rowOff>180975</xdr:rowOff>
    </xdr:to>
    <xdr:graphicFrame macro="">
      <xdr:nvGraphicFramePr>
        <xdr:cNvPr id="13" name="Chart 12">
          <a:extLst>
            <a:ext uri="{FF2B5EF4-FFF2-40B4-BE49-F238E27FC236}">
              <a16:creationId xmlns:a16="http://schemas.microsoft.com/office/drawing/2014/main" id="{4B519C70-4A8B-DEF4-7558-F839DBD6CF72}"/>
            </a:ext>
            <a:ext uri="{147F2762-F138-4A5C-976F-8EAC2B608ADB}">
              <a16:predDERef xmlns:a16="http://schemas.microsoft.com/office/drawing/2014/main" pred="{C0D68194-B166-82FC-A86D-FBA78E7FE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65</xdr:col>
      <xdr:colOff>365125</xdr:colOff>
      <xdr:row>20</xdr:row>
      <xdr:rowOff>73025</xdr:rowOff>
    </xdr:from>
    <xdr:to>
      <xdr:col>73</xdr:col>
      <xdr:colOff>60325</xdr:colOff>
      <xdr:row>34</xdr:row>
      <xdr:rowOff>149225</xdr:rowOff>
    </xdr:to>
    <xdr:graphicFrame macro="">
      <xdr:nvGraphicFramePr>
        <xdr:cNvPr id="10" name="Chart 9">
          <a:extLst>
            <a:ext uri="{FF2B5EF4-FFF2-40B4-BE49-F238E27FC236}">
              <a16:creationId xmlns:a16="http://schemas.microsoft.com/office/drawing/2014/main" id="{E603A221-BF11-8A36-9095-3FE040AC8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66</xdr:col>
      <xdr:colOff>339725</xdr:colOff>
      <xdr:row>36</xdr:row>
      <xdr:rowOff>111125</xdr:rowOff>
    </xdr:from>
    <xdr:to>
      <xdr:col>74</xdr:col>
      <xdr:colOff>34925</xdr:colOff>
      <xdr:row>50</xdr:row>
      <xdr:rowOff>187325</xdr:rowOff>
    </xdr:to>
    <xdr:graphicFrame macro="">
      <xdr:nvGraphicFramePr>
        <xdr:cNvPr id="20" name="Chart 10">
          <a:extLst>
            <a:ext uri="{FF2B5EF4-FFF2-40B4-BE49-F238E27FC236}">
              <a16:creationId xmlns:a16="http://schemas.microsoft.com/office/drawing/2014/main" id="{395EFBA5-24B7-5F34-FA1B-B6D03A431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323850</xdr:colOff>
      <xdr:row>5</xdr:row>
      <xdr:rowOff>114300</xdr:rowOff>
    </xdr:from>
    <xdr:to>
      <xdr:col>13</xdr:col>
      <xdr:colOff>19050</xdr:colOff>
      <xdr:row>20</xdr:row>
      <xdr:rowOff>0</xdr:rowOff>
    </xdr:to>
    <xdr:graphicFrame macro="">
      <xdr:nvGraphicFramePr>
        <xdr:cNvPr id="2" name="Chart 1">
          <a:extLst>
            <a:ext uri="{FF2B5EF4-FFF2-40B4-BE49-F238E27FC236}">
              <a16:creationId xmlns:a16="http://schemas.microsoft.com/office/drawing/2014/main" id="{0210485C-9F7B-1748-D9C7-F8A72CC33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400050</xdr:colOff>
      <xdr:row>8</xdr:row>
      <xdr:rowOff>9525</xdr:rowOff>
    </xdr:from>
    <xdr:to>
      <xdr:col>22</xdr:col>
      <xdr:colOff>333375</xdr:colOff>
      <xdr:row>22</xdr:row>
      <xdr:rowOff>85725</xdr:rowOff>
    </xdr:to>
    <xdr:graphicFrame macro="">
      <xdr:nvGraphicFramePr>
        <xdr:cNvPr id="4" name="Chart 3">
          <a:extLst>
            <a:ext uri="{FF2B5EF4-FFF2-40B4-BE49-F238E27FC236}">
              <a16:creationId xmlns:a16="http://schemas.microsoft.com/office/drawing/2014/main" id="{1C5ADCA6-8DF5-4F29-994C-0F38EAEA9C6F}"/>
            </a:ext>
            <a:ext uri="{147F2762-F138-4A5C-976F-8EAC2B608ADB}">
              <a16:predDERef xmlns:a16="http://schemas.microsoft.com/office/drawing/2014/main" pred="{0210485C-9F7B-1748-D9C7-F8A72CC33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250452</xdr:colOff>
      <xdr:row>47</xdr:row>
      <xdr:rowOff>124104</xdr:rowOff>
    </xdr:from>
    <xdr:to>
      <xdr:col>30</xdr:col>
      <xdr:colOff>557493</xdr:colOff>
      <xdr:row>62</xdr:row>
      <xdr:rowOff>9804</xdr:rowOff>
    </xdr:to>
    <xdr:graphicFrame macro="">
      <xdr:nvGraphicFramePr>
        <xdr:cNvPr id="11" name="Chart 10">
          <a:extLst>
            <a:ext uri="{FF2B5EF4-FFF2-40B4-BE49-F238E27FC236}">
              <a16:creationId xmlns:a16="http://schemas.microsoft.com/office/drawing/2014/main" id="{1DB209E9-8AC9-BDB9-F184-B8F482F2C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323850</xdr:colOff>
      <xdr:row>31</xdr:row>
      <xdr:rowOff>176212</xdr:rowOff>
    </xdr:from>
    <xdr:to>
      <xdr:col>31</xdr:col>
      <xdr:colOff>19050</xdr:colOff>
      <xdr:row>46</xdr:row>
      <xdr:rowOff>61912</xdr:rowOff>
    </xdr:to>
    <xdr:graphicFrame macro="">
      <xdr:nvGraphicFramePr>
        <xdr:cNvPr id="12" name="Chart 11">
          <a:extLst>
            <a:ext uri="{FF2B5EF4-FFF2-40B4-BE49-F238E27FC236}">
              <a16:creationId xmlns:a16="http://schemas.microsoft.com/office/drawing/2014/main" id="{5AEA7EC4-4D94-7E3B-C8AA-8B5905AC4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66675</xdr:colOff>
      <xdr:row>26</xdr:row>
      <xdr:rowOff>0</xdr:rowOff>
    </xdr:from>
    <xdr:to>
      <xdr:col>38</xdr:col>
      <xdr:colOff>104775</xdr:colOff>
      <xdr:row>40</xdr:row>
      <xdr:rowOff>76200</xdr:rowOff>
    </xdr:to>
    <xdr:graphicFrame macro="">
      <xdr:nvGraphicFramePr>
        <xdr:cNvPr id="5" name="Chart 4">
          <a:extLst>
            <a:ext uri="{FF2B5EF4-FFF2-40B4-BE49-F238E27FC236}">
              <a16:creationId xmlns:a16="http://schemas.microsoft.com/office/drawing/2014/main" id="{0783DA26-3642-5DB4-61AA-669153ECC2BE}"/>
            </a:ext>
            <a:ext uri="{147F2762-F138-4A5C-976F-8EAC2B608ADB}">
              <a16:predDERef xmlns:a16="http://schemas.microsoft.com/office/drawing/2014/main" pred="{5AEA7EC4-4D94-7E3B-C8AA-8B5905AC4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57150</xdr:colOff>
      <xdr:row>26</xdr:row>
      <xdr:rowOff>76200</xdr:rowOff>
    </xdr:from>
    <xdr:to>
      <xdr:col>45</xdr:col>
      <xdr:colOff>361950</xdr:colOff>
      <xdr:row>40</xdr:row>
      <xdr:rowOff>152400</xdr:rowOff>
    </xdr:to>
    <xdr:graphicFrame macro="">
      <xdr:nvGraphicFramePr>
        <xdr:cNvPr id="6" name="Chart 5">
          <a:extLst>
            <a:ext uri="{FF2B5EF4-FFF2-40B4-BE49-F238E27FC236}">
              <a16:creationId xmlns:a16="http://schemas.microsoft.com/office/drawing/2014/main" id="{44903946-2083-2778-F84D-A4E3AB74C08D}"/>
            </a:ext>
            <a:ext uri="{147F2762-F138-4A5C-976F-8EAC2B608ADB}">
              <a16:predDERef xmlns:a16="http://schemas.microsoft.com/office/drawing/2014/main" pred="{0783DA26-3642-5DB4-61AA-669153ECC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311149</xdr:colOff>
      <xdr:row>14</xdr:row>
      <xdr:rowOff>161925</xdr:rowOff>
    </xdr:from>
    <xdr:to>
      <xdr:col>16</xdr:col>
      <xdr:colOff>539749</xdr:colOff>
      <xdr:row>36</xdr:row>
      <xdr:rowOff>146050</xdr:rowOff>
    </xdr:to>
    <xdr:graphicFrame macro="">
      <xdr:nvGraphicFramePr>
        <xdr:cNvPr id="2" name="Chart 1">
          <a:extLst>
            <a:ext uri="{FF2B5EF4-FFF2-40B4-BE49-F238E27FC236}">
              <a16:creationId xmlns:a16="http://schemas.microsoft.com/office/drawing/2014/main" id="{7B75CA49-4CA6-DB4A-0FE9-842B4B015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276225</xdr:colOff>
      <xdr:row>23</xdr:row>
      <xdr:rowOff>0</xdr:rowOff>
    </xdr:from>
    <xdr:to>
      <xdr:col>28</xdr:col>
      <xdr:colOff>600075</xdr:colOff>
      <xdr:row>34</xdr:row>
      <xdr:rowOff>38100</xdr:rowOff>
    </xdr:to>
    <xdr:graphicFrame macro="">
      <xdr:nvGraphicFramePr>
        <xdr:cNvPr id="3" name="Chart 2">
          <a:extLst>
            <a:ext uri="{FF2B5EF4-FFF2-40B4-BE49-F238E27FC236}">
              <a16:creationId xmlns:a16="http://schemas.microsoft.com/office/drawing/2014/main" id="{69CB9462-D6DB-25BD-3472-BA2C6DAF1BA7}"/>
            </a:ext>
            <a:ext uri="{147F2762-F138-4A5C-976F-8EAC2B608ADB}">
              <a16:predDERef xmlns:a16="http://schemas.microsoft.com/office/drawing/2014/main" pred="{7B75CA49-4CA6-DB4A-0FE9-842B4B015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38100</xdr:colOff>
      <xdr:row>18</xdr:row>
      <xdr:rowOff>47625</xdr:rowOff>
    </xdr:from>
    <xdr:to>
      <xdr:col>36</xdr:col>
      <xdr:colOff>342900</xdr:colOff>
      <xdr:row>34</xdr:row>
      <xdr:rowOff>47625</xdr:rowOff>
    </xdr:to>
    <xdr:graphicFrame macro="">
      <xdr:nvGraphicFramePr>
        <xdr:cNvPr id="4" name="Chart 3">
          <a:extLst>
            <a:ext uri="{FF2B5EF4-FFF2-40B4-BE49-F238E27FC236}">
              <a16:creationId xmlns:a16="http://schemas.microsoft.com/office/drawing/2014/main" id="{ABBF9D09-410B-789D-51EA-D0E496820FEC}"/>
            </a:ext>
            <a:ext uri="{147F2762-F138-4A5C-976F-8EAC2B608ADB}">
              <a16:predDERef xmlns:a16="http://schemas.microsoft.com/office/drawing/2014/main" pred="{69CB9462-D6DB-25BD-3472-BA2C6DAF1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95250</xdr:colOff>
      <xdr:row>11</xdr:row>
      <xdr:rowOff>76200</xdr:rowOff>
    </xdr:from>
    <xdr:to>
      <xdr:col>11</xdr:col>
      <xdr:colOff>400050</xdr:colOff>
      <xdr:row>25</xdr:row>
      <xdr:rowOff>152400</xdr:rowOff>
    </xdr:to>
    <xdr:graphicFrame macro="">
      <xdr:nvGraphicFramePr>
        <xdr:cNvPr id="3" name="Chart 2">
          <a:extLst>
            <a:ext uri="{FF2B5EF4-FFF2-40B4-BE49-F238E27FC236}">
              <a16:creationId xmlns:a16="http://schemas.microsoft.com/office/drawing/2014/main" id="{0E4FFC12-5C47-85D4-D467-35B725BD4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
  <rv s="0">
    <v>https://www.bing.com/financeapi/forcetrigger?t=a1nk27&amp;q=XNAS%3aSWBI&amp;form=skydnc</v>
    <v>Learn more on Bing</v>
  </rv>
  <rv s="1">
    <v>en-US</v>
    <v>a1nk27</v>
    <v>268435456</v>
    <v>1</v>
    <v>Powered by Refinitiv</v>
    <v>0</v>
    <v>SMITH &amp; WESSON BRANDS, INC. (XNAS:SWBI)</v>
    <v>2</v>
    <v>3</v>
    <v>Finance</v>
    <v>4</v>
    <v>18.05</v>
    <v>9.68</v>
    <v>1.0733999999999999</v>
    <v>2.4299999999999999E-2</v>
    <v>2.2599999999999999E-3</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1852 Proffitt Springs Road, MARYVILLE, TN, 37801 US</v>
    <v>10.84</v>
    <v>Aerospace &amp; Defense</v>
    <v>Stock</v>
    <v>45720.662965832809</v>
    <v>0</v>
    <v>10.47</v>
    <v>474098290</v>
    <v>SMITH &amp; WESSON BRANDS, INC.</v>
    <v>SMITH &amp; WESSON BRANDS, INC.</v>
    <v>10.6</v>
    <v>13.7471</v>
    <v>10.75</v>
    <v>10.7743</v>
    <v>44002700</v>
    <v>SWBI</v>
    <v>SMITH &amp; WESSON BRANDS, INC. (XNAS:SWBI)</v>
    <v>119194</v>
    <v>393398</v>
    <v>1991</v>
  </rv>
  <rv s="2">
    <v>1</v>
  </rv>
</rvData>
</file>

<file path=xl/richData/rdrichvaluestructure.xml><?xml version="1.0" encoding="utf-8"?>
<rvStructures xmlns="http://schemas.microsoft.com/office/spreadsheetml/2017/richdata" count="3">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5">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Data>
</supportingPropertyBags>
</file>

<file path=xl/richData/rdsupportingpropertybagstructure.xml><?xml version="1.0" encoding="utf-8"?>
<spbStructures xmlns="http://schemas.microsoft.com/office/spreadsheetml/2017/richdata2" count="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dxfs>
  <richProperties>
    <rPr n="NumberFormat" t="s"/>
    <rPr n="IsTitleField" t="b"/>
  </richProperties>
  <richStyles>
    <rSty dxfid="0">
      <rpv i="0">_([$$-en-US]* #,##0.00_);_([$$-en-US]* (#,##0.00);_([$$-en-US]* "-"??_);_(@_)</rpv>
    </rSty>
    <rSty dxfid="1">
      <rpv i="0">#,##0.00</rpv>
    </rSty>
    <rSty>
      <rpv i="1">1</rpv>
    </rSty>
    <rSty dxfid="2">
      <rpv i="0">#,##0</rpv>
    </rSty>
    <rSty dxfid="3"/>
    <rSty dxfid="0">
      <rpv i="0">_([$$-en-US]* #,##0_);_([$$-en-US]* (#,##0);_([$$-en-US]* "-"_);_(@_)</rpv>
    </rSty>
    <rSty dxfid="4"/>
    <rSty dxfid="5">
      <rpv i="0">0</rpv>
    </rSty>
    <rSty dxfid="6">
      <rpv i="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google.com/maps/place/?q=place_id:ChIJb7EjTeasbocRtYCjtKd3qgs" TargetMode="External"/><Relationship Id="rId3" Type="http://schemas.openxmlformats.org/officeDocument/2006/relationships/hyperlink" Target="https://www.google.com/maps/place/?q=place_id:ChIJb-AvcMzs0lQRTLUd7W94zDM" TargetMode="External"/><Relationship Id="rId7" Type="http://schemas.openxmlformats.org/officeDocument/2006/relationships/hyperlink" Target="https://www.google.com/maps/place/?q=place_id:ChIJ6cAlPcoCR4cRaiyl02tZ9Ho" TargetMode="External"/><Relationship Id="rId2" Type="http://schemas.openxmlformats.org/officeDocument/2006/relationships/hyperlink" Target="https://www.google.com/maps/place/?q=place_id:ChIJycqv0YPdmoARAqTesgegfMI" TargetMode="External"/><Relationship Id="rId1" Type="http://schemas.openxmlformats.org/officeDocument/2006/relationships/hyperlink" Target="tel:3076229100" TargetMode="External"/><Relationship Id="rId6" Type="http://schemas.openxmlformats.org/officeDocument/2006/relationships/hyperlink" Target="https://www.google.com/maps/place/?q=place_id:ChIJZ_FnCCSvK4cRK81Uuc5XGwI" TargetMode="External"/><Relationship Id="rId5" Type="http://schemas.openxmlformats.org/officeDocument/2006/relationships/hyperlink" Target="https://www.google.com/maps/place/?q=place_id:ChIJK-eRBKQ_K4cRDltKTsHo33Y" TargetMode="External"/><Relationship Id="rId4" Type="http://schemas.openxmlformats.org/officeDocument/2006/relationships/hyperlink" Target="https://www.google.com/maps/place/?q=place_id:ChIJycqv0YPdmoARAqTesgegfMI"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D828-0CFC-4867-8006-85C9BD993B5E}">
  <sheetPr>
    <tabColor rgb="FF0070C0"/>
  </sheetPr>
  <dimension ref="B7:M24"/>
  <sheetViews>
    <sheetView showGridLines="0" tabSelected="1" workbookViewId="0">
      <selection activeCell="G8" sqref="G8"/>
    </sheetView>
  </sheetViews>
  <sheetFormatPr defaultRowHeight="15" x14ac:dyDescent="0.25"/>
  <cols>
    <col min="2" max="2" width="0.42578125" customWidth="1"/>
    <col min="3" max="3" width="40.42578125" bestFit="1" customWidth="1"/>
    <col min="4" max="4" width="52.42578125" bestFit="1" customWidth="1"/>
    <col min="5" max="5" width="0.42578125" customWidth="1"/>
  </cols>
  <sheetData>
    <row r="7" spans="2:5" ht="26.25" x14ac:dyDescent="0.4">
      <c r="B7" s="2"/>
      <c r="C7" s="3" t="s">
        <v>0</v>
      </c>
      <c r="D7" s="4"/>
      <c r="E7" s="5"/>
    </row>
    <row r="8" spans="2:5" x14ac:dyDescent="0.25">
      <c r="B8" s="6"/>
      <c r="C8" s="7" t="s">
        <v>1</v>
      </c>
      <c r="D8" s="7"/>
      <c r="E8" s="8"/>
    </row>
    <row r="9" spans="2:5" x14ac:dyDescent="0.25">
      <c r="B9" s="6"/>
      <c r="C9" s="7" t="s">
        <v>419</v>
      </c>
      <c r="D9" s="9" t="s">
        <v>418</v>
      </c>
      <c r="E9" s="8"/>
    </row>
    <row r="10" spans="2:5" x14ac:dyDescent="0.25">
      <c r="B10" s="6"/>
      <c r="C10" s="7" t="s">
        <v>2</v>
      </c>
      <c r="D10" s="10" t="s">
        <v>3</v>
      </c>
      <c r="E10" s="8"/>
    </row>
    <row r="11" spans="2:5" x14ac:dyDescent="0.25">
      <c r="B11" s="11"/>
      <c r="C11" s="12" t="s">
        <v>4</v>
      </c>
      <c r="D11" s="13" t="s">
        <v>5</v>
      </c>
      <c r="E11" s="14"/>
    </row>
    <row r="14" spans="2:5" x14ac:dyDescent="0.25">
      <c r="B14" s="2"/>
      <c r="C14" s="4"/>
      <c r="D14" s="15"/>
      <c r="E14" s="16"/>
    </row>
    <row r="15" spans="2:5" x14ac:dyDescent="0.25">
      <c r="B15" s="6"/>
      <c r="C15" s="17" t="s">
        <v>6</v>
      </c>
      <c r="D15" s="18"/>
      <c r="E15" s="19"/>
    </row>
    <row r="16" spans="2:5" x14ac:dyDescent="0.25">
      <c r="B16" s="6"/>
      <c r="C16" s="20"/>
      <c r="D16" s="21"/>
      <c r="E16" s="19"/>
    </row>
    <row r="17" spans="2:13" x14ac:dyDescent="0.25">
      <c r="B17" s="6"/>
      <c r="C17" s="22" t="s">
        <v>7</v>
      </c>
      <c r="D17" s="23" t="s">
        <v>8</v>
      </c>
      <c r="E17" s="19"/>
      <c r="M17" s="24"/>
    </row>
    <row r="18" spans="2:13" x14ac:dyDescent="0.25">
      <c r="B18" s="6"/>
      <c r="C18" s="22" t="s">
        <v>9</v>
      </c>
      <c r="D18" s="25" t="e" vm="1">
        <v>#VALUE!</v>
      </c>
      <c r="E18" s="19"/>
      <c r="F18" s="1"/>
    </row>
    <row r="19" spans="2:13" ht="6" customHeight="1" x14ac:dyDescent="0.25">
      <c r="B19" s="6"/>
      <c r="C19" s="7"/>
      <c r="D19" s="7"/>
      <c r="E19" s="19"/>
    </row>
    <row r="20" spans="2:13" x14ac:dyDescent="0.25">
      <c r="B20" s="6"/>
      <c r="C20" s="17" t="s">
        <v>10</v>
      </c>
      <c r="D20" s="18"/>
      <c r="E20" s="19"/>
    </row>
    <row r="21" spans="2:13" x14ac:dyDescent="0.25">
      <c r="B21" s="6"/>
      <c r="C21" s="20"/>
      <c r="D21" s="21"/>
      <c r="E21" s="19"/>
    </row>
    <row r="22" spans="2:13" x14ac:dyDescent="0.25">
      <c r="B22" s="6"/>
      <c r="C22" s="22" t="s">
        <v>11</v>
      </c>
      <c r="D22" s="23">
        <v>2</v>
      </c>
      <c r="E22" s="19"/>
    </row>
    <row r="23" spans="2:13" x14ac:dyDescent="0.25">
      <c r="B23" s="6"/>
      <c r="C23" s="22" t="s">
        <v>12</v>
      </c>
      <c r="D23" s="26" cm="1">
        <f t="array" aca="1" ref="D23" ca="1">_FV(D18,"Price")</f>
        <v>10.7743</v>
      </c>
      <c r="E23" s="19"/>
    </row>
    <row r="24" spans="2:13" ht="6" customHeight="1" x14ac:dyDescent="0.25">
      <c r="B24" s="11"/>
      <c r="C24" s="12"/>
      <c r="D24" s="12"/>
      <c r="E24" s="2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13E-19BE-4CE9-B1F3-2FF525CBD66D}">
  <sheetPr>
    <tabColor rgb="FFFFC000"/>
  </sheetPr>
  <dimension ref="B2:N25"/>
  <sheetViews>
    <sheetView workbookViewId="0">
      <selection activeCell="C22" sqref="C22"/>
    </sheetView>
  </sheetViews>
  <sheetFormatPr defaultColWidth="8.7109375" defaultRowHeight="15" x14ac:dyDescent="0.25"/>
  <cols>
    <col min="2" max="3" width="27.28515625" customWidth="1"/>
    <col min="4" max="6" width="18.42578125" customWidth="1"/>
    <col min="8" max="8" width="40.42578125" customWidth="1"/>
    <col min="10" max="12" width="8.7109375" bestFit="1" customWidth="1"/>
  </cols>
  <sheetData>
    <row r="2" spans="2:14" ht="15.75" x14ac:dyDescent="0.25">
      <c r="B2" s="116" t="s">
        <v>13</v>
      </c>
      <c r="C2" s="117" t="s">
        <v>14</v>
      </c>
      <c r="D2" s="125" t="s">
        <v>15</v>
      </c>
      <c r="E2" s="125" t="s">
        <v>16</v>
      </c>
      <c r="F2" s="126" t="s">
        <v>17</v>
      </c>
      <c r="H2" s="127" t="s">
        <v>18</v>
      </c>
      <c r="I2" s="154" t="s">
        <v>19</v>
      </c>
      <c r="J2" s="154">
        <v>2025</v>
      </c>
      <c r="K2" s="155">
        <v>2026</v>
      </c>
      <c r="L2" s="156">
        <v>2027</v>
      </c>
      <c r="M2" s="156">
        <v>2028</v>
      </c>
    </row>
    <row r="3" spans="2:14" ht="15.75" x14ac:dyDescent="0.25">
      <c r="B3" s="119" t="s">
        <v>20</v>
      </c>
      <c r="C3" s="120" t="s">
        <v>21</v>
      </c>
      <c r="D3" s="133">
        <v>1</v>
      </c>
      <c r="E3" s="141" t="s">
        <v>22</v>
      </c>
      <c r="F3" s="142" t="s">
        <v>22</v>
      </c>
      <c r="H3" s="157" t="s">
        <v>23</v>
      </c>
      <c r="I3" s="129"/>
      <c r="J3" s="129">
        <v>145</v>
      </c>
      <c r="K3" s="163">
        <v>145</v>
      </c>
      <c r="L3" s="144">
        <v>145</v>
      </c>
      <c r="M3" s="144">
        <v>145</v>
      </c>
    </row>
    <row r="4" spans="2:14" ht="15.75" x14ac:dyDescent="0.25">
      <c r="B4" s="121" t="s">
        <v>24</v>
      </c>
      <c r="C4" s="122" t="s">
        <v>25</v>
      </c>
      <c r="D4" s="72">
        <v>0</v>
      </c>
      <c r="E4" s="142" t="s">
        <v>22</v>
      </c>
      <c r="F4" s="142" t="s">
        <v>22</v>
      </c>
      <c r="H4" s="158" t="s">
        <v>26</v>
      </c>
      <c r="I4" s="123"/>
      <c r="J4" s="123">
        <v>177</v>
      </c>
      <c r="K4" s="164">
        <v>177</v>
      </c>
      <c r="L4" s="145">
        <v>177</v>
      </c>
      <c r="M4" s="145">
        <v>177</v>
      </c>
    </row>
    <row r="5" spans="2:14" ht="15.75" x14ac:dyDescent="0.25">
      <c r="B5" s="121" t="s">
        <v>27</v>
      </c>
      <c r="C5" s="122" t="s">
        <v>28</v>
      </c>
      <c r="D5" s="72">
        <v>0.5</v>
      </c>
      <c r="E5" s="142" t="s">
        <v>22</v>
      </c>
      <c r="F5" s="142" t="s">
        <v>22</v>
      </c>
      <c r="H5" s="159" t="s">
        <v>29</v>
      </c>
      <c r="I5" s="46"/>
      <c r="J5" s="46">
        <f>SUM(J3:J4)</f>
        <v>322</v>
      </c>
      <c r="K5" s="165">
        <f>SUM(K3:K4)</f>
        <v>322</v>
      </c>
      <c r="L5" s="146">
        <f>SUM(L3:L4)</f>
        <v>322</v>
      </c>
      <c r="M5" s="146">
        <f>SUM(M3:M4)</f>
        <v>322</v>
      </c>
    </row>
    <row r="6" spans="2:14" ht="15.75" x14ac:dyDescent="0.25">
      <c r="B6" s="121" t="s">
        <v>30</v>
      </c>
      <c r="C6" s="122" t="s">
        <v>31</v>
      </c>
      <c r="D6" s="72">
        <v>0</v>
      </c>
      <c r="E6" s="135">
        <v>3</v>
      </c>
      <c r="F6" s="137">
        <v>2</v>
      </c>
      <c r="H6" s="160" t="s">
        <v>32</v>
      </c>
      <c r="I6" s="147">
        <v>0.4</v>
      </c>
      <c r="J6" s="147">
        <v>0.4</v>
      </c>
      <c r="K6" s="166">
        <v>0.6</v>
      </c>
      <c r="L6" s="148">
        <v>0.75</v>
      </c>
      <c r="M6" s="148">
        <v>0.85</v>
      </c>
    </row>
    <row r="7" spans="2:14" ht="15.75" x14ac:dyDescent="0.25">
      <c r="B7" s="121" t="s">
        <v>33</v>
      </c>
      <c r="C7" s="122" t="s">
        <v>34</v>
      </c>
      <c r="D7" s="72">
        <v>1</v>
      </c>
      <c r="E7" s="135">
        <v>2</v>
      </c>
      <c r="F7" s="137">
        <v>1</v>
      </c>
      <c r="H7" s="161" t="s">
        <v>35</v>
      </c>
      <c r="I7" s="143"/>
      <c r="J7" s="143">
        <f>J6*J5</f>
        <v>128.80000000000001</v>
      </c>
      <c r="K7" s="167">
        <f>K6*K5</f>
        <v>193.2</v>
      </c>
      <c r="L7" s="149">
        <v>291.08800000000002</v>
      </c>
      <c r="M7" s="149">
        <v>291.08800000000002</v>
      </c>
    </row>
    <row r="8" spans="2:14" ht="15.75" x14ac:dyDescent="0.25">
      <c r="B8" s="121" t="s">
        <v>36</v>
      </c>
      <c r="C8" s="122" t="s">
        <v>37</v>
      </c>
      <c r="D8" s="72">
        <v>0.5</v>
      </c>
      <c r="E8" s="135">
        <v>3.5</v>
      </c>
      <c r="F8" s="137">
        <v>2.5</v>
      </c>
      <c r="H8" s="158" t="s">
        <v>38</v>
      </c>
      <c r="I8" s="150">
        <v>0.5</v>
      </c>
      <c r="J8" s="150">
        <v>0.75</v>
      </c>
      <c r="K8" s="169">
        <v>1</v>
      </c>
      <c r="L8" s="151">
        <v>1.25</v>
      </c>
      <c r="M8" s="151">
        <v>1.5</v>
      </c>
      <c r="N8" s="150"/>
    </row>
    <row r="9" spans="2:14" ht="15.75" x14ac:dyDescent="0.25">
      <c r="B9" s="121" t="s">
        <v>39</v>
      </c>
      <c r="C9" s="122" t="s">
        <v>40</v>
      </c>
      <c r="D9" s="72">
        <v>0</v>
      </c>
      <c r="E9" s="135">
        <v>3.5</v>
      </c>
      <c r="F9" s="137">
        <v>2.5</v>
      </c>
      <c r="H9" s="162" t="s">
        <v>41</v>
      </c>
      <c r="I9" s="152"/>
      <c r="J9" s="152">
        <f>J7*J8*52</f>
        <v>5023.2000000000007</v>
      </c>
      <c r="K9" s="168">
        <f>K7*K8*52</f>
        <v>10046.4</v>
      </c>
      <c r="L9" s="153">
        <f>L7*L8*52</f>
        <v>18920.72</v>
      </c>
      <c r="M9" s="153">
        <f>M7*M8*52</f>
        <v>22704.864000000001</v>
      </c>
    </row>
    <row r="10" spans="2:14" ht="15.75" x14ac:dyDescent="0.25">
      <c r="B10" s="121" t="s">
        <v>20</v>
      </c>
      <c r="C10" s="122" t="s">
        <v>21</v>
      </c>
      <c r="D10" s="72">
        <v>1</v>
      </c>
      <c r="E10" s="135">
        <v>2</v>
      </c>
      <c r="F10" s="137">
        <v>1</v>
      </c>
      <c r="H10" s="206" t="s">
        <v>42</v>
      </c>
      <c r="J10" s="67">
        <f>J9/Assumptions!V31/1000</f>
        <v>2.2360115735588697E-2</v>
      </c>
      <c r="K10" s="67">
        <f>K9/Assumptions!W31/1000</f>
        <v>4.362949411822184E-2</v>
      </c>
      <c r="L10" s="67">
        <f>L9/Assumptions!X31/1000</f>
        <v>8.0557726067958635E-2</v>
      </c>
      <c r="M10" s="67">
        <f>M9/Assumptions!Y31/1000</f>
        <v>9.5240661361133377E-2</v>
      </c>
    </row>
    <row r="11" spans="2:14" x14ac:dyDescent="0.25">
      <c r="B11" s="121" t="s">
        <v>43</v>
      </c>
      <c r="C11" s="122" t="s">
        <v>44</v>
      </c>
      <c r="D11" s="72">
        <v>0</v>
      </c>
      <c r="E11" s="135">
        <v>1</v>
      </c>
      <c r="F11" s="137">
        <v>1</v>
      </c>
    </row>
    <row r="12" spans="2:14" x14ac:dyDescent="0.25">
      <c r="B12" s="121" t="s">
        <v>45</v>
      </c>
      <c r="C12" s="122" t="s">
        <v>46</v>
      </c>
      <c r="D12" s="72">
        <v>1</v>
      </c>
      <c r="E12" s="135">
        <v>3.5</v>
      </c>
      <c r="F12" s="137">
        <v>1.5</v>
      </c>
    </row>
    <row r="13" spans="2:14" ht="15.75" x14ac:dyDescent="0.25">
      <c r="B13" s="121" t="s">
        <v>47</v>
      </c>
      <c r="C13" s="122" t="s">
        <v>48</v>
      </c>
      <c r="D13" s="72">
        <v>2</v>
      </c>
      <c r="E13" s="135">
        <v>4</v>
      </c>
      <c r="F13" s="137">
        <v>2</v>
      </c>
      <c r="H13" s="118"/>
      <c r="J13" s="131"/>
      <c r="K13" s="131"/>
      <c r="L13" s="131"/>
    </row>
    <row r="14" spans="2:14" ht="15.75" x14ac:dyDescent="0.25">
      <c r="B14" s="121" t="s">
        <v>49</v>
      </c>
      <c r="C14" s="122" t="s">
        <v>50</v>
      </c>
      <c r="D14" s="72">
        <v>1</v>
      </c>
      <c r="E14" s="135">
        <v>2</v>
      </c>
      <c r="F14" s="137">
        <v>1</v>
      </c>
      <c r="H14" s="118"/>
      <c r="J14" s="131"/>
      <c r="K14" s="131"/>
      <c r="L14" s="131"/>
    </row>
    <row r="15" spans="2:14" ht="15.75" x14ac:dyDescent="0.25">
      <c r="B15" s="121" t="s">
        <v>51</v>
      </c>
      <c r="C15" s="122" t="s">
        <v>52</v>
      </c>
      <c r="D15" s="72">
        <v>0</v>
      </c>
      <c r="E15" s="135">
        <v>2.5</v>
      </c>
      <c r="F15" s="137">
        <v>2</v>
      </c>
      <c r="H15" s="128"/>
      <c r="J15" s="131"/>
      <c r="K15" s="130"/>
      <c r="L15" s="130"/>
    </row>
    <row r="16" spans="2:14" ht="15.75" x14ac:dyDescent="0.25">
      <c r="B16" s="121" t="s">
        <v>53</v>
      </c>
      <c r="C16" s="122" t="s">
        <v>54</v>
      </c>
      <c r="D16" s="72">
        <v>0</v>
      </c>
      <c r="E16" s="135">
        <v>1.5</v>
      </c>
      <c r="F16" s="137">
        <v>0</v>
      </c>
      <c r="H16" s="115"/>
      <c r="J16" s="130"/>
      <c r="K16" s="130"/>
      <c r="L16" s="130"/>
    </row>
    <row r="17" spans="2:6" x14ac:dyDescent="0.25">
      <c r="B17" s="121" t="s">
        <v>55</v>
      </c>
      <c r="C17" s="122" t="s">
        <v>56</v>
      </c>
      <c r="D17" s="72">
        <v>1.5</v>
      </c>
      <c r="E17" s="135">
        <v>1.5</v>
      </c>
      <c r="F17" s="137">
        <v>1.5</v>
      </c>
    </row>
    <row r="18" spans="2:6" x14ac:dyDescent="0.25">
      <c r="B18" s="121" t="s">
        <v>57</v>
      </c>
      <c r="C18" s="122" t="s">
        <v>58</v>
      </c>
      <c r="D18" s="72">
        <v>0</v>
      </c>
      <c r="E18" s="135">
        <v>2.5</v>
      </c>
      <c r="F18" s="137">
        <v>2.5</v>
      </c>
    </row>
    <row r="19" spans="2:6" x14ac:dyDescent="0.25">
      <c r="B19" s="121" t="s">
        <v>59</v>
      </c>
      <c r="C19" s="122" t="s">
        <v>60</v>
      </c>
      <c r="D19" s="72">
        <v>0</v>
      </c>
      <c r="E19" s="135">
        <v>4</v>
      </c>
      <c r="F19" s="137">
        <v>3</v>
      </c>
    </row>
    <row r="20" spans="2:6" x14ac:dyDescent="0.25">
      <c r="B20" s="121" t="s">
        <v>61</v>
      </c>
      <c r="C20" s="122" t="s">
        <v>62</v>
      </c>
      <c r="D20" s="72">
        <v>0</v>
      </c>
      <c r="E20" s="135">
        <v>4.5</v>
      </c>
      <c r="F20" s="137">
        <v>2</v>
      </c>
    </row>
    <row r="21" spans="2:6" x14ac:dyDescent="0.25">
      <c r="B21" s="121" t="s">
        <v>63</v>
      </c>
      <c r="C21" s="122" t="s">
        <v>64</v>
      </c>
      <c r="D21" s="72">
        <v>0</v>
      </c>
      <c r="E21" s="135">
        <v>1</v>
      </c>
      <c r="F21" s="137">
        <v>0</v>
      </c>
    </row>
    <row r="22" spans="2:6" x14ac:dyDescent="0.25">
      <c r="B22" s="121" t="s">
        <v>65</v>
      </c>
      <c r="C22" s="124" t="s">
        <v>66</v>
      </c>
      <c r="D22" s="134">
        <v>0</v>
      </c>
      <c r="E22" s="136">
        <v>3</v>
      </c>
      <c r="F22" s="138">
        <v>2</v>
      </c>
    </row>
    <row r="23" spans="2:6" ht="14.45" customHeight="1" x14ac:dyDescent="0.25">
      <c r="B23" s="222" t="s">
        <v>67</v>
      </c>
      <c r="C23" s="223"/>
      <c r="D23" s="139">
        <f>AVERAGE(D3:D22)</f>
        <v>0.47499999999999998</v>
      </c>
      <c r="E23" s="139">
        <f>AVERAGE(E3:E22)</f>
        <v>2.6470588235294117</v>
      </c>
      <c r="F23" s="140">
        <f>AVERAGE(F3:F22)</f>
        <v>1.6176470588235294</v>
      </c>
    </row>
    <row r="24" spans="2:6" x14ac:dyDescent="0.25">
      <c r="F24" s="132"/>
    </row>
    <row r="25" spans="2:6" x14ac:dyDescent="0.25">
      <c r="B25" s="46"/>
    </row>
  </sheetData>
  <mergeCells count="1">
    <mergeCell ref="B23:C23"/>
  </mergeCells>
  <hyperlinks>
    <hyperlink ref="B16" r:id="rId1" xr:uid="{2A0CAF51-E6D5-47A9-95D9-D22115D5C708}"/>
    <hyperlink ref="C3" r:id="rId2" xr:uid="{BCB80ED8-5462-44EB-A301-212D3751D92F}"/>
    <hyperlink ref="C4" r:id="rId3" xr:uid="{F2F5C1B0-7F82-4C33-8868-DD888FDAE2C3}"/>
    <hyperlink ref="C10" r:id="rId4" xr:uid="{B94E9B1D-9138-4F5B-BC2C-F49CCD7E563D}"/>
    <hyperlink ref="C11" r:id="rId5" xr:uid="{52A6005C-CDD4-4780-8B39-58912E7E316C}"/>
    <hyperlink ref="C13" r:id="rId6" xr:uid="{2A865DA4-D0E0-495D-9BEA-74B25D2E93BF}"/>
    <hyperlink ref="C14" r:id="rId7" xr:uid="{FA46D7AB-59A1-4A14-A478-20C7858E270B}"/>
    <hyperlink ref="C15" r:id="rId8" xr:uid="{1552F80B-EF14-4259-9DE8-5F2834FA5147}"/>
  </hyperlink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1327-3853-4C80-8C52-5BFFADC23F96}">
  <sheetPr>
    <tabColor rgb="FFFFC000"/>
  </sheetPr>
  <dimension ref="B2:P76"/>
  <sheetViews>
    <sheetView showGridLines="0" topLeftCell="C4" workbookViewId="0">
      <selection activeCell="I25" sqref="I25"/>
    </sheetView>
  </sheetViews>
  <sheetFormatPr defaultRowHeight="15" x14ac:dyDescent="0.25"/>
  <cols>
    <col min="2" max="9" width="18.42578125" style="49" customWidth="1"/>
    <col min="11" max="16" width="18.28515625" customWidth="1"/>
  </cols>
  <sheetData>
    <row r="2" spans="2:16" x14ac:dyDescent="0.25">
      <c r="B2" s="50" t="s">
        <v>68</v>
      </c>
      <c r="C2" s="224" t="s">
        <v>69</v>
      </c>
      <c r="D2" s="224"/>
      <c r="E2" s="224"/>
      <c r="F2" s="225"/>
      <c r="G2" s="227" t="s">
        <v>70</v>
      </c>
      <c r="H2" s="224"/>
      <c r="I2" s="228"/>
    </row>
    <row r="3" spans="2:16" x14ac:dyDescent="0.25">
      <c r="B3" s="76" t="s">
        <v>71</v>
      </c>
      <c r="C3" s="73" t="s">
        <v>72</v>
      </c>
      <c r="D3" s="73" t="s">
        <v>73</v>
      </c>
      <c r="E3" s="73" t="s">
        <v>74</v>
      </c>
      <c r="F3" s="77" t="s">
        <v>75</v>
      </c>
      <c r="G3" s="73" t="s">
        <v>76</v>
      </c>
      <c r="H3" s="73" t="s">
        <v>77</v>
      </c>
      <c r="I3" s="75" t="s">
        <v>78</v>
      </c>
      <c r="K3" s="58" t="s">
        <v>79</v>
      </c>
      <c r="L3" s="55" t="s">
        <v>80</v>
      </c>
      <c r="M3" s="55" t="s">
        <v>72</v>
      </c>
      <c r="N3" s="55" t="s">
        <v>73</v>
      </c>
      <c r="O3" s="55" t="s">
        <v>74</v>
      </c>
      <c r="P3" s="55" t="s">
        <v>75</v>
      </c>
    </row>
    <row r="4" spans="2:16" x14ac:dyDescent="0.25">
      <c r="B4" s="80">
        <v>274609</v>
      </c>
      <c r="C4" s="88">
        <v>200072</v>
      </c>
      <c r="D4" s="74">
        <v>3.1064139586243411</v>
      </c>
      <c r="E4" s="74">
        <v>29.928570000000001</v>
      </c>
      <c r="F4" s="78">
        <v>46.071428570000002</v>
      </c>
      <c r="G4" s="82">
        <f>$L$5+SUMPRODUCT(C4:F4,$M$5:$P$5)</f>
        <v>272223.19408997701</v>
      </c>
      <c r="H4" s="82">
        <f t="shared" ref="H4:H17" si="0">B4-G4</f>
        <v>2385.8059100229875</v>
      </c>
      <c r="I4" s="51">
        <f t="shared" ref="I4:I17" si="1">H4/G4</f>
        <v>8.7641536864577936E-3</v>
      </c>
      <c r="J4" s="45"/>
      <c r="K4" s="54" t="s">
        <v>81</v>
      </c>
      <c r="L4" s="56">
        <v>1</v>
      </c>
      <c r="M4" s="56">
        <v>2</v>
      </c>
      <c r="N4" s="56">
        <v>3</v>
      </c>
      <c r="O4" s="56">
        <v>4</v>
      </c>
      <c r="P4" s="56">
        <v>5</v>
      </c>
    </row>
    <row r="5" spans="2:16" x14ac:dyDescent="0.25">
      <c r="B5" s="80">
        <v>230479</v>
      </c>
      <c r="C5" s="88">
        <v>178246</v>
      </c>
      <c r="D5" s="74">
        <v>2.5555394036785755</v>
      </c>
      <c r="E5" s="74">
        <v>29.615379999999998</v>
      </c>
      <c r="F5" s="78">
        <v>42.69230769</v>
      </c>
      <c r="G5" s="82">
        <f t="shared" ref="G5:G18" si="2">$L$5+SUMPRODUCT(C5:F5,$M$5:$P$5)</f>
        <v>229715.23917224031</v>
      </c>
      <c r="H5" s="82">
        <f t="shared" si="0"/>
        <v>763.76082775968825</v>
      </c>
      <c r="I5" s="51">
        <f t="shared" si="1"/>
        <v>3.3248156740137776E-3</v>
      </c>
      <c r="J5" s="45"/>
      <c r="K5" s="54" t="s">
        <v>82</v>
      </c>
      <c r="L5" s="85">
        <v>-150216.29999999999</v>
      </c>
      <c r="M5" s="90">
        <v>1.1691800000000001</v>
      </c>
      <c r="N5" s="85">
        <v>36900.31</v>
      </c>
      <c r="O5" s="85">
        <v>4653.5309999999999</v>
      </c>
      <c r="P5" s="85">
        <v>-1419.1410000000001</v>
      </c>
    </row>
    <row r="6" spans="2:16" x14ac:dyDescent="0.25">
      <c r="B6" s="80">
        <v>177738</v>
      </c>
      <c r="C6" s="88">
        <v>168041</v>
      </c>
      <c r="D6" s="74">
        <v>2.5334319726859231</v>
      </c>
      <c r="E6" s="74">
        <v>30.23077</v>
      </c>
      <c r="F6" s="78">
        <v>74.07692308</v>
      </c>
      <c r="G6" s="82">
        <f t="shared" si="2"/>
        <v>175292.52818821778</v>
      </c>
      <c r="H6" s="82">
        <f t="shared" si="0"/>
        <v>2445.4718117822194</v>
      </c>
      <c r="I6" s="51">
        <f t="shared" si="1"/>
        <v>1.395080461818903E-2</v>
      </c>
      <c r="J6" s="45"/>
      <c r="K6" s="54" t="s">
        <v>83</v>
      </c>
      <c r="L6" s="85">
        <v>26417.53</v>
      </c>
      <c r="M6" s="90">
        <v>0.27622999999999998</v>
      </c>
      <c r="N6" s="85">
        <v>10169.31</v>
      </c>
      <c r="O6" s="85">
        <v>1640.163</v>
      </c>
      <c r="P6" s="85">
        <v>311.16019999999997</v>
      </c>
    </row>
    <row r="7" spans="2:16" x14ac:dyDescent="0.25">
      <c r="B7" s="80">
        <v>181300</v>
      </c>
      <c r="C7" s="88">
        <v>166575</v>
      </c>
      <c r="D7" s="74">
        <v>2.8943915562913909</v>
      </c>
      <c r="E7" s="74">
        <v>28.153849999999998</v>
      </c>
      <c r="F7" s="78">
        <v>73.07692308</v>
      </c>
      <c r="G7" s="82">
        <f t="shared" si="2"/>
        <v>178652.1602362105</v>
      </c>
      <c r="H7" s="82">
        <f t="shared" si="0"/>
        <v>2647.8397637894959</v>
      </c>
      <c r="I7" s="51">
        <f t="shared" si="1"/>
        <v>1.4821202051453351E-2</v>
      </c>
      <c r="J7" s="45"/>
      <c r="K7" s="54" t="s">
        <v>84</v>
      </c>
      <c r="L7" s="92">
        <f>L5/L6</f>
        <v>-5.6862356170315698</v>
      </c>
      <c r="M7" s="92">
        <f t="shared" ref="M7:P7" si="3">M5/M6</f>
        <v>4.2326322267675494</v>
      </c>
      <c r="N7" s="92">
        <f t="shared" si="3"/>
        <v>3.628595253758613</v>
      </c>
      <c r="O7" s="92">
        <f t="shared" si="3"/>
        <v>2.8372369087706528</v>
      </c>
      <c r="P7" s="92">
        <f t="shared" si="3"/>
        <v>-4.5608050129804525</v>
      </c>
    </row>
    <row r="8" spans="2:16" x14ac:dyDescent="0.25">
      <c r="B8" s="80">
        <v>84394</v>
      </c>
      <c r="C8" s="88">
        <v>140653</v>
      </c>
      <c r="D8" s="74">
        <v>1.9284663571916285</v>
      </c>
      <c r="E8" s="74">
        <v>23.692309999999999</v>
      </c>
      <c r="F8" s="78">
        <v>67.769230769999993</v>
      </c>
      <c r="G8" s="82">
        <f t="shared" si="2"/>
        <v>99472.186067383271</v>
      </c>
      <c r="H8" s="82">
        <f t="shared" si="0"/>
        <v>-15078.186067383271</v>
      </c>
      <c r="I8" s="51">
        <f t="shared" si="1"/>
        <v>-0.15158193122617397</v>
      </c>
      <c r="J8" s="45"/>
      <c r="K8" s="54" t="s">
        <v>85</v>
      </c>
      <c r="L8" s="91">
        <v>3.0000000000000001E-3</v>
      </c>
      <c r="M8" s="91">
        <v>2.2000000000000001E-3</v>
      </c>
      <c r="N8" s="91">
        <v>4.8999999999999998E-3</v>
      </c>
      <c r="O8" s="91">
        <v>2.3699999999999999E-2</v>
      </c>
      <c r="P8" s="91">
        <v>8.9999999999999998E-4</v>
      </c>
    </row>
    <row r="9" spans="2:16" x14ac:dyDescent="0.25">
      <c r="B9" s="80">
        <v>121035</v>
      </c>
      <c r="C9" s="88">
        <v>139390</v>
      </c>
      <c r="D9" s="74">
        <v>2.1352684838424993</v>
      </c>
      <c r="E9" s="74">
        <v>21.76923</v>
      </c>
      <c r="F9" s="78">
        <v>59.38461538</v>
      </c>
      <c r="G9" s="82">
        <f t="shared" si="2"/>
        <v>108576.41338315964</v>
      </c>
      <c r="H9" s="82">
        <f t="shared" si="0"/>
        <v>12458.586616840359</v>
      </c>
      <c r="I9" s="51">
        <f t="shared" si="1"/>
        <v>0.11474487164053536</v>
      </c>
      <c r="J9" s="45"/>
    </row>
    <row r="10" spans="2:16" x14ac:dyDescent="0.25">
      <c r="B10" s="80">
        <v>129036</v>
      </c>
      <c r="C10" s="88">
        <v>149224</v>
      </c>
      <c r="D10" s="74">
        <v>1.9696592436247311</v>
      </c>
      <c r="E10" s="74">
        <v>24.384620000000002</v>
      </c>
      <c r="F10" s="78">
        <v>60.53846154</v>
      </c>
      <c r="G10" s="82">
        <f t="shared" si="2"/>
        <v>124496.42524900095</v>
      </c>
      <c r="H10" s="82">
        <f t="shared" si="0"/>
        <v>4539.574750999047</v>
      </c>
      <c r="I10" s="51">
        <f t="shared" si="1"/>
        <v>3.6463494770388807E-2</v>
      </c>
      <c r="J10" s="45"/>
      <c r="K10" s="58" t="s">
        <v>86</v>
      </c>
      <c r="L10" s="226" t="s">
        <v>87</v>
      </c>
      <c r="M10" s="226"/>
      <c r="N10" s="226"/>
      <c r="O10" s="226"/>
      <c r="P10" s="226"/>
    </row>
    <row r="11" spans="2:16" x14ac:dyDescent="0.25">
      <c r="B11" s="80">
        <v>144777</v>
      </c>
      <c r="C11" s="88">
        <v>149453</v>
      </c>
      <c r="D11" s="74">
        <v>2.5704135014331242</v>
      </c>
      <c r="E11" s="74">
        <v>23.615379999999998</v>
      </c>
      <c r="F11" s="78">
        <v>55.53846154</v>
      </c>
      <c r="G11" s="82">
        <f t="shared" si="2"/>
        <v>150448.2086295106</v>
      </c>
      <c r="H11" s="82">
        <f t="shared" si="0"/>
        <v>-5671.2086295105983</v>
      </c>
      <c r="I11" s="51">
        <f t="shared" si="1"/>
        <v>-3.769542144218116E-2</v>
      </c>
      <c r="J11" s="45"/>
    </row>
    <row r="12" spans="2:16" x14ac:dyDescent="0.25">
      <c r="B12" s="80">
        <v>114243</v>
      </c>
      <c r="C12" s="88">
        <v>142804</v>
      </c>
      <c r="D12" s="74">
        <v>1.5973537186174755</v>
      </c>
      <c r="E12" s="74">
        <v>20.153849999999998</v>
      </c>
      <c r="F12" s="78">
        <v>40.38461538</v>
      </c>
      <c r="G12" s="82">
        <f t="shared" si="2"/>
        <v>112165.23040599906</v>
      </c>
      <c r="H12" s="82">
        <f t="shared" si="0"/>
        <v>2077.7695940009435</v>
      </c>
      <c r="I12" s="51">
        <f t="shared" si="1"/>
        <v>1.8524186028773277E-2</v>
      </c>
      <c r="J12" s="45"/>
      <c r="K12" s="58" t="s">
        <v>88</v>
      </c>
      <c r="L12" s="55" t="s">
        <v>89</v>
      </c>
    </row>
    <row r="13" spans="2:16" x14ac:dyDescent="0.25">
      <c r="B13" s="80">
        <v>124958</v>
      </c>
      <c r="C13" s="88">
        <v>120893</v>
      </c>
      <c r="D13" s="74">
        <v>1.8258640300988713</v>
      </c>
      <c r="E13" s="74">
        <v>23.076920000000001</v>
      </c>
      <c r="F13" s="78">
        <v>39.30769231</v>
      </c>
      <c r="G13" s="82">
        <f t="shared" si="2"/>
        <v>110110.33130051196</v>
      </c>
      <c r="H13" s="82">
        <f t="shared" si="0"/>
        <v>14847.668699488044</v>
      </c>
      <c r="I13" s="51">
        <f t="shared" si="1"/>
        <v>0.13484355667740153</v>
      </c>
      <c r="J13" s="45"/>
      <c r="K13" s="53" t="s">
        <v>90</v>
      </c>
      <c r="L13" s="57">
        <v>0.95421</v>
      </c>
      <c r="M13" s="63" t="s">
        <v>91</v>
      </c>
    </row>
    <row r="14" spans="2:16" x14ac:dyDescent="0.25">
      <c r="B14" s="80">
        <v>137484</v>
      </c>
      <c r="C14" s="88">
        <v>130616.99999999999</v>
      </c>
      <c r="D14" s="74">
        <v>2.1274589759905362</v>
      </c>
      <c r="E14" s="74">
        <v>28.23077</v>
      </c>
      <c r="F14" s="78">
        <v>47.61538462</v>
      </c>
      <c r="G14" s="82">
        <f t="shared" si="2"/>
        <v>144802.1985901919</v>
      </c>
      <c r="H14" s="82">
        <f t="shared" si="0"/>
        <v>-7318.1985901918961</v>
      </c>
      <c r="I14" s="51">
        <f t="shared" si="1"/>
        <v>-5.0539278142476982E-2</v>
      </c>
      <c r="J14" s="45"/>
      <c r="K14" s="53" t="s">
        <v>92</v>
      </c>
      <c r="L14" s="56">
        <v>0.93385799999999997</v>
      </c>
    </row>
    <row r="15" spans="2:16" x14ac:dyDescent="0.25">
      <c r="B15" s="80">
        <v>159147</v>
      </c>
      <c r="C15" s="88">
        <v>136820</v>
      </c>
      <c r="D15" s="74">
        <v>3.0563220659129993</v>
      </c>
      <c r="E15" s="74">
        <v>22.615379999999998</v>
      </c>
      <c r="F15" s="78">
        <v>40.92307692</v>
      </c>
      <c r="G15" s="82">
        <f t="shared" si="2"/>
        <v>169695.89489548438</v>
      </c>
      <c r="H15" s="82">
        <f t="shared" si="0"/>
        <v>-10548.89489548438</v>
      </c>
      <c r="I15" s="51">
        <f t="shared" si="1"/>
        <v>-6.2163524356210496E-2</v>
      </c>
      <c r="J15" s="45"/>
      <c r="K15" s="53" t="s">
        <v>93</v>
      </c>
      <c r="L15" s="56">
        <v>46.887039999999999</v>
      </c>
    </row>
    <row r="16" spans="2:16" x14ac:dyDescent="0.25">
      <c r="B16" s="80">
        <v>88334</v>
      </c>
      <c r="C16" s="88">
        <v>130761</v>
      </c>
      <c r="D16" s="74">
        <v>1.7409120040444996</v>
      </c>
      <c r="E16" s="74">
        <v>20.153849999999998</v>
      </c>
      <c r="F16" s="78">
        <v>35.92307692</v>
      </c>
      <c r="G16" s="82">
        <f t="shared" si="2"/>
        <v>109713.69305298757</v>
      </c>
      <c r="H16" s="82">
        <f t="shared" si="0"/>
        <v>-21379.693052987568</v>
      </c>
      <c r="I16" s="51">
        <f t="shared" si="1"/>
        <v>-0.19486804662260329</v>
      </c>
      <c r="J16" s="45"/>
      <c r="K16" s="53" t="s">
        <v>85</v>
      </c>
      <c r="L16" s="56">
        <v>5.0000000000000004E-6</v>
      </c>
    </row>
    <row r="17" spans="2:15" x14ac:dyDescent="0.25">
      <c r="B17" s="81">
        <v>129679</v>
      </c>
      <c r="C17" s="88">
        <v>122287</v>
      </c>
      <c r="D17" s="74">
        <v>2.1870870994813378</v>
      </c>
      <c r="E17" s="74">
        <v>19.923079999999999</v>
      </c>
      <c r="F17" s="78">
        <v>38.38461538</v>
      </c>
      <c r="G17" s="82">
        <f t="shared" si="2"/>
        <v>111702.89556835368</v>
      </c>
      <c r="H17" s="83">
        <f t="shared" si="0"/>
        <v>17976.104431646323</v>
      </c>
      <c r="I17" s="52">
        <f t="shared" si="1"/>
        <v>0.16092782859551133</v>
      </c>
      <c r="J17" s="45"/>
      <c r="K17" s="53" t="s">
        <v>94</v>
      </c>
      <c r="L17" s="85">
        <v>13404.62</v>
      </c>
    </row>
    <row r="18" spans="2:15" x14ac:dyDescent="0.25">
      <c r="B18" s="86" t="s">
        <v>95</v>
      </c>
      <c r="C18" s="89">
        <v>145775</v>
      </c>
      <c r="D18" s="79">
        <v>2.01921777712856</v>
      </c>
      <c r="E18" s="79">
        <v>23.571429999999999</v>
      </c>
      <c r="F18" s="79">
        <v>48</v>
      </c>
      <c r="G18" s="84">
        <f t="shared" si="2"/>
        <v>136302.28865288472</v>
      </c>
      <c r="H18" s="87" t="s">
        <v>96</v>
      </c>
      <c r="J18" s="45"/>
    </row>
    <row r="19" spans="2:15" s="94" customFormat="1" x14ac:dyDescent="0.25">
      <c r="B19" s="93"/>
      <c r="C19" s="93"/>
      <c r="D19" s="93"/>
      <c r="E19" s="93"/>
      <c r="F19" s="93"/>
      <c r="G19" s="93"/>
      <c r="H19" s="93"/>
      <c r="I19" s="93"/>
      <c r="J19" s="45"/>
      <c r="K19" s="110"/>
      <c r="L19" s="108"/>
      <c r="M19" s="108"/>
      <c r="N19" s="108"/>
      <c r="O19" s="108"/>
    </row>
    <row r="20" spans="2:15" s="94" customFormat="1" x14ac:dyDescent="0.25">
      <c r="B20" s="93"/>
      <c r="C20" s="93"/>
      <c r="D20" s="93"/>
      <c r="E20" s="93"/>
      <c r="F20" s="93"/>
      <c r="G20" s="93"/>
      <c r="H20" s="93"/>
      <c r="I20" s="93"/>
      <c r="K20" s="108"/>
      <c r="L20" s="109"/>
      <c r="M20" s="109"/>
      <c r="N20" s="109"/>
      <c r="O20" s="109"/>
    </row>
    <row r="21" spans="2:15" s="94" customFormat="1" x14ac:dyDescent="0.25">
      <c r="B21" s="93"/>
      <c r="C21" s="93"/>
      <c r="D21" s="93"/>
      <c r="E21" s="93"/>
      <c r="F21" s="93"/>
      <c r="G21" s="93"/>
      <c r="H21" s="93"/>
      <c r="I21" s="107"/>
      <c r="J21" s="104"/>
      <c r="K21" s="110"/>
    </row>
    <row r="22" spans="2:15" s="94" customFormat="1" x14ac:dyDescent="0.25">
      <c r="B22" s="93"/>
      <c r="C22" s="93"/>
      <c r="D22" s="93"/>
      <c r="E22" s="93"/>
      <c r="F22" s="93"/>
      <c r="G22" s="49"/>
      <c r="H22" s="93"/>
      <c r="I22" s="107"/>
      <c r="J22" s="104"/>
    </row>
    <row r="23" spans="2:15" s="94" customFormat="1" x14ac:dyDescent="0.25">
      <c r="B23" s="93"/>
      <c r="C23" s="93"/>
      <c r="D23" s="93"/>
      <c r="E23" s="93"/>
      <c r="F23" s="93"/>
      <c r="G23" s="93"/>
      <c r="H23" s="93"/>
      <c r="I23" s="107"/>
      <c r="J23" s="104"/>
    </row>
    <row r="24" spans="2:15" s="94" customFormat="1" x14ac:dyDescent="0.25">
      <c r="B24" s="93"/>
      <c r="C24" s="93"/>
      <c r="D24" s="93"/>
      <c r="E24" s="93"/>
      <c r="F24" s="93"/>
      <c r="G24" s="93"/>
      <c r="H24" s="93"/>
      <c r="I24" s="107"/>
      <c r="J24" s="104"/>
    </row>
    <row r="25" spans="2:15" s="94" customFormat="1" x14ac:dyDescent="0.25">
      <c r="B25" s="93"/>
      <c r="C25" s="93"/>
      <c r="D25" s="93"/>
      <c r="E25" s="93"/>
      <c r="F25" s="93"/>
      <c r="G25" s="93"/>
      <c r="H25" s="93"/>
      <c r="I25" s="93"/>
    </row>
    <row r="26" spans="2:15" s="94" customFormat="1" x14ac:dyDescent="0.25">
      <c r="B26" s="93"/>
      <c r="C26" s="93"/>
      <c r="D26" s="93"/>
      <c r="E26" s="93"/>
      <c r="F26" s="93"/>
      <c r="G26" s="93"/>
      <c r="H26" s="93"/>
      <c r="I26" s="93"/>
    </row>
    <row r="27" spans="2:15" s="94" customFormat="1" x14ac:dyDescent="0.25">
      <c r="B27" s="93"/>
      <c r="C27" s="93"/>
      <c r="D27" s="93"/>
      <c r="E27" s="93"/>
      <c r="F27" s="93"/>
      <c r="G27" s="93"/>
      <c r="H27" s="93"/>
      <c r="I27" s="93"/>
    </row>
    <row r="28" spans="2:15" s="94" customFormat="1" x14ac:dyDescent="0.25">
      <c r="B28" s="93"/>
      <c r="C28" s="93"/>
      <c r="D28" s="93"/>
      <c r="E28" s="93"/>
      <c r="F28" s="93"/>
      <c r="G28" s="93"/>
      <c r="H28" s="93"/>
      <c r="I28" s="93"/>
    </row>
    <row r="29" spans="2:15" s="94" customFormat="1" x14ac:dyDescent="0.25">
      <c r="B29" s="93"/>
      <c r="C29" s="93"/>
      <c r="D29" s="93"/>
      <c r="E29" s="93"/>
      <c r="F29" s="93"/>
      <c r="G29" s="93"/>
      <c r="H29" s="93"/>
      <c r="I29" s="93"/>
    </row>
    <row r="30" spans="2:15" s="94" customFormat="1" x14ac:dyDescent="0.25">
      <c r="B30" s="93"/>
      <c r="C30" s="93"/>
      <c r="D30" s="93"/>
      <c r="E30" s="93"/>
      <c r="F30" s="93"/>
      <c r="G30" s="93"/>
      <c r="H30" s="93"/>
      <c r="I30" s="93"/>
    </row>
    <row r="31" spans="2:15" s="94" customFormat="1" x14ac:dyDescent="0.25">
      <c r="B31" s="93"/>
      <c r="C31" s="93"/>
      <c r="D31" s="93"/>
      <c r="E31" s="93"/>
      <c r="F31" s="93"/>
      <c r="G31" s="93"/>
      <c r="H31" s="93"/>
      <c r="I31" s="93"/>
    </row>
    <row r="32" spans="2:15" s="94" customFormat="1" x14ac:dyDescent="0.25">
      <c r="B32" s="93"/>
      <c r="C32" s="93"/>
      <c r="D32" s="93"/>
      <c r="E32" s="93"/>
      <c r="F32" s="93"/>
      <c r="G32" s="93"/>
      <c r="H32" s="93"/>
      <c r="I32" s="93"/>
    </row>
    <row r="33" spans="2:9" s="94" customFormat="1" x14ac:dyDescent="0.25">
      <c r="B33" s="93"/>
      <c r="C33" s="93"/>
      <c r="D33" s="93"/>
      <c r="E33" s="93"/>
      <c r="F33" s="93"/>
      <c r="G33" s="93"/>
      <c r="H33" s="93"/>
      <c r="I33" s="93"/>
    </row>
    <row r="34" spans="2:9" s="94" customFormat="1" x14ac:dyDescent="0.25">
      <c r="B34" s="93"/>
      <c r="C34" s="93"/>
      <c r="D34" s="93"/>
      <c r="E34" s="93"/>
      <c r="F34" s="93"/>
      <c r="G34" s="93"/>
      <c r="H34" s="93"/>
      <c r="I34" s="93"/>
    </row>
    <row r="35" spans="2:9" s="94" customFormat="1" x14ac:dyDescent="0.25">
      <c r="B35" s="93"/>
      <c r="C35" s="93"/>
      <c r="D35" s="93"/>
      <c r="E35" s="93"/>
      <c r="F35" s="93"/>
      <c r="G35" s="93"/>
      <c r="H35" s="93"/>
      <c r="I35" s="93"/>
    </row>
    <row r="36" spans="2:9" s="94" customFormat="1" x14ac:dyDescent="0.25">
      <c r="B36" s="93"/>
      <c r="C36" s="93"/>
      <c r="D36" s="93"/>
      <c r="E36" s="93"/>
      <c r="F36" s="93"/>
      <c r="G36" s="93"/>
      <c r="H36" s="93"/>
      <c r="I36" s="93"/>
    </row>
    <row r="37" spans="2:9" s="94" customFormat="1" x14ac:dyDescent="0.25">
      <c r="B37" s="93"/>
      <c r="C37" s="93"/>
      <c r="D37" s="93"/>
      <c r="E37" s="93"/>
      <c r="F37" s="93"/>
      <c r="G37" s="93"/>
      <c r="H37" s="93"/>
      <c r="I37" s="93"/>
    </row>
    <row r="38" spans="2:9" s="94" customFormat="1" x14ac:dyDescent="0.25">
      <c r="B38" s="93"/>
      <c r="C38" s="93"/>
      <c r="D38" s="93"/>
      <c r="E38" s="93"/>
      <c r="F38" s="93"/>
      <c r="G38" s="93"/>
      <c r="H38" s="93"/>
      <c r="I38" s="93"/>
    </row>
    <row r="39" spans="2:9" s="94" customFormat="1" x14ac:dyDescent="0.25">
      <c r="B39" s="93"/>
      <c r="C39" s="93"/>
      <c r="D39" s="93"/>
      <c r="E39" s="93"/>
      <c r="F39" s="93"/>
      <c r="G39" s="93"/>
      <c r="H39" s="93"/>
      <c r="I39" s="93"/>
    </row>
    <row r="40" spans="2:9" s="94" customFormat="1" x14ac:dyDescent="0.25">
      <c r="B40" s="93"/>
      <c r="C40" s="93"/>
      <c r="D40" s="93"/>
      <c r="E40" s="93"/>
      <c r="F40" s="93"/>
      <c r="G40" s="93"/>
      <c r="H40" s="93"/>
      <c r="I40" s="93"/>
    </row>
    <row r="41" spans="2:9" s="94" customFormat="1" x14ac:dyDescent="0.25">
      <c r="B41" s="93"/>
      <c r="C41" s="93"/>
      <c r="D41" s="93"/>
      <c r="E41" s="93"/>
      <c r="F41" s="93"/>
      <c r="G41" s="93"/>
      <c r="H41" s="93"/>
      <c r="I41" s="93"/>
    </row>
    <row r="42" spans="2:9" s="94" customFormat="1" x14ac:dyDescent="0.25">
      <c r="B42" s="93"/>
      <c r="C42" s="93"/>
      <c r="D42" s="93"/>
      <c r="E42" s="93"/>
      <c r="F42" s="93"/>
      <c r="G42" s="93"/>
      <c r="H42" s="93"/>
      <c r="I42" s="93"/>
    </row>
    <row r="43" spans="2:9" s="94" customFormat="1" x14ac:dyDescent="0.25">
      <c r="B43" s="93"/>
      <c r="C43" s="93"/>
      <c r="D43" s="93"/>
      <c r="E43" s="93"/>
      <c r="F43" s="93"/>
      <c r="G43" s="93"/>
      <c r="H43" s="93"/>
      <c r="I43" s="93"/>
    </row>
    <row r="44" spans="2:9" s="94" customFormat="1" x14ac:dyDescent="0.25">
      <c r="B44" s="93"/>
      <c r="C44" s="93"/>
      <c r="D44" s="93"/>
      <c r="E44" s="93"/>
      <c r="F44" s="93"/>
      <c r="G44" s="93"/>
      <c r="H44" s="93"/>
      <c r="I44" s="93"/>
    </row>
    <row r="45" spans="2:9" s="94" customFormat="1" x14ac:dyDescent="0.25">
      <c r="B45" s="93"/>
      <c r="C45" s="93"/>
      <c r="D45" s="93"/>
      <c r="E45" s="93"/>
      <c r="F45" s="93"/>
      <c r="G45" s="93"/>
      <c r="H45" s="93"/>
      <c r="I45" s="93"/>
    </row>
    <row r="46" spans="2:9" s="94" customFormat="1" x14ac:dyDescent="0.25">
      <c r="B46" s="93"/>
      <c r="C46" s="93"/>
      <c r="D46" s="93"/>
      <c r="E46" s="93"/>
      <c r="F46" s="93"/>
      <c r="G46" s="93"/>
      <c r="H46" s="93"/>
      <c r="I46" s="93"/>
    </row>
    <row r="47" spans="2:9" s="94" customFormat="1" x14ac:dyDescent="0.25">
      <c r="B47" s="93"/>
      <c r="C47" s="93"/>
      <c r="D47" s="93"/>
      <c r="E47" s="93"/>
      <c r="F47" s="93"/>
      <c r="G47" s="93"/>
      <c r="H47" s="93"/>
      <c r="I47" s="93"/>
    </row>
    <row r="48" spans="2:9" s="94" customFormat="1" x14ac:dyDescent="0.25">
      <c r="B48" s="93"/>
      <c r="C48" s="93"/>
      <c r="D48" s="93"/>
      <c r="E48" s="93"/>
      <c r="F48" s="93"/>
      <c r="G48" s="93"/>
      <c r="H48" s="93"/>
      <c r="I48" s="93"/>
    </row>
    <row r="49" spans="2:9" s="94" customFormat="1" x14ac:dyDescent="0.25">
      <c r="B49" s="93"/>
      <c r="C49" s="93"/>
      <c r="D49" s="93"/>
      <c r="E49" s="93"/>
      <c r="F49" s="93"/>
      <c r="G49" s="93"/>
      <c r="H49" s="93"/>
      <c r="I49" s="93"/>
    </row>
    <row r="50" spans="2:9" s="94" customFormat="1" x14ac:dyDescent="0.25">
      <c r="B50" s="93"/>
      <c r="C50" s="93"/>
      <c r="D50" s="93"/>
      <c r="E50" s="93"/>
      <c r="F50" s="93"/>
      <c r="G50" s="93"/>
      <c r="H50" s="93"/>
      <c r="I50" s="93"/>
    </row>
    <row r="51" spans="2:9" s="94" customFormat="1" x14ac:dyDescent="0.25">
      <c r="B51" s="93"/>
      <c r="C51" s="93"/>
      <c r="D51" s="93"/>
      <c r="E51" s="93"/>
      <c r="F51" s="93"/>
      <c r="G51" s="93"/>
      <c r="H51" s="93"/>
      <c r="I51" s="93"/>
    </row>
    <row r="52" spans="2:9" s="94" customFormat="1" x14ac:dyDescent="0.25">
      <c r="B52" s="93"/>
      <c r="C52" s="93"/>
      <c r="D52" s="93"/>
      <c r="E52" s="93"/>
      <c r="F52" s="93"/>
      <c r="G52" s="93"/>
      <c r="H52" s="93"/>
      <c r="I52" s="93"/>
    </row>
    <row r="53" spans="2:9" s="94" customFormat="1" x14ac:dyDescent="0.25">
      <c r="B53" s="93"/>
      <c r="C53" s="93"/>
      <c r="D53" s="93"/>
      <c r="E53" s="93"/>
      <c r="F53" s="93"/>
      <c r="G53" s="93"/>
      <c r="H53" s="93"/>
      <c r="I53" s="93"/>
    </row>
    <row r="54" spans="2:9" s="94" customFormat="1" x14ac:dyDescent="0.25">
      <c r="B54" s="93"/>
      <c r="C54" s="93"/>
      <c r="D54" s="93"/>
      <c r="E54" s="93"/>
      <c r="F54" s="93"/>
      <c r="G54" s="93"/>
      <c r="H54" s="93"/>
      <c r="I54" s="93"/>
    </row>
    <row r="55" spans="2:9" s="94" customFormat="1" x14ac:dyDescent="0.25">
      <c r="B55" s="93"/>
      <c r="C55" s="93"/>
      <c r="D55" s="93"/>
      <c r="E55" s="93"/>
      <c r="F55" s="93"/>
      <c r="G55" s="93"/>
      <c r="H55" s="93"/>
      <c r="I55" s="93"/>
    </row>
    <row r="56" spans="2:9" s="94" customFormat="1" x14ac:dyDescent="0.25">
      <c r="B56" s="93"/>
      <c r="C56" s="93"/>
      <c r="D56" s="93"/>
      <c r="E56" s="93"/>
      <c r="F56" s="93"/>
      <c r="G56" s="93"/>
      <c r="H56" s="93"/>
      <c r="I56" s="93"/>
    </row>
    <row r="57" spans="2:9" s="94" customFormat="1" x14ac:dyDescent="0.25">
      <c r="B57" s="93"/>
      <c r="C57" s="93"/>
      <c r="D57" s="93"/>
      <c r="E57" s="93"/>
      <c r="F57" s="93"/>
      <c r="G57" s="93"/>
      <c r="H57" s="93"/>
      <c r="I57" s="93"/>
    </row>
    <row r="58" spans="2:9" s="94" customFormat="1" x14ac:dyDescent="0.25">
      <c r="B58" s="93"/>
      <c r="C58" s="93"/>
      <c r="D58" s="93"/>
      <c r="E58" s="93"/>
      <c r="F58" s="93"/>
      <c r="G58" s="93"/>
      <c r="H58" s="93"/>
      <c r="I58" s="93"/>
    </row>
    <row r="59" spans="2:9" s="94" customFormat="1" x14ac:dyDescent="0.25">
      <c r="B59" s="93"/>
      <c r="C59" s="93"/>
      <c r="D59" s="93"/>
      <c r="E59" s="93"/>
      <c r="F59" s="93"/>
      <c r="G59" s="93"/>
      <c r="H59" s="93"/>
      <c r="I59" s="93"/>
    </row>
    <row r="60" spans="2:9" s="94" customFormat="1" x14ac:dyDescent="0.25">
      <c r="B60" s="93"/>
      <c r="C60" s="93"/>
      <c r="D60" s="93"/>
      <c r="E60" s="93"/>
      <c r="F60" s="93"/>
      <c r="G60" s="93"/>
      <c r="H60" s="93"/>
      <c r="I60" s="93"/>
    </row>
    <row r="61" spans="2:9" s="94" customFormat="1" x14ac:dyDescent="0.25">
      <c r="B61" s="93"/>
      <c r="C61" s="93"/>
      <c r="D61" s="93"/>
      <c r="E61" s="93"/>
      <c r="F61" s="93"/>
      <c r="G61" s="93"/>
      <c r="H61" s="93"/>
      <c r="I61" s="93"/>
    </row>
    <row r="62" spans="2:9" s="94" customFormat="1" x14ac:dyDescent="0.25">
      <c r="B62" s="93"/>
      <c r="C62" s="93"/>
      <c r="D62" s="93"/>
      <c r="E62" s="93"/>
      <c r="F62" s="93"/>
      <c r="G62" s="93"/>
      <c r="H62" s="93"/>
      <c r="I62" s="93"/>
    </row>
    <row r="63" spans="2:9" s="94" customFormat="1" x14ac:dyDescent="0.25">
      <c r="B63" s="93"/>
      <c r="C63" s="93"/>
      <c r="D63" s="93"/>
      <c r="E63" s="93"/>
      <c r="F63" s="93"/>
      <c r="G63" s="93"/>
      <c r="H63" s="93"/>
      <c r="I63" s="93"/>
    </row>
    <row r="64" spans="2:9" s="94" customFormat="1" x14ac:dyDescent="0.25">
      <c r="B64" s="93"/>
      <c r="C64" s="93"/>
      <c r="D64" s="93"/>
      <c r="E64" s="93"/>
      <c r="F64" s="93"/>
      <c r="G64" s="93"/>
      <c r="H64" s="93"/>
      <c r="I64" s="93"/>
    </row>
    <row r="65" spans="2:9" s="94" customFormat="1" x14ac:dyDescent="0.25">
      <c r="B65" s="93"/>
      <c r="C65" s="93"/>
      <c r="D65" s="93"/>
      <c r="E65" s="93"/>
      <c r="F65" s="93"/>
      <c r="G65" s="93"/>
      <c r="H65" s="93"/>
      <c r="I65" s="93"/>
    </row>
    <row r="66" spans="2:9" s="94" customFormat="1" x14ac:dyDescent="0.25">
      <c r="B66" s="93"/>
      <c r="C66" s="93"/>
      <c r="D66" s="93"/>
      <c r="E66" s="93"/>
      <c r="F66" s="93"/>
      <c r="G66" s="93"/>
      <c r="H66" s="93"/>
      <c r="I66" s="93"/>
    </row>
    <row r="67" spans="2:9" s="94" customFormat="1" x14ac:dyDescent="0.25">
      <c r="B67" s="93"/>
      <c r="C67" s="93"/>
      <c r="D67" s="93"/>
      <c r="E67" s="93"/>
      <c r="F67" s="93"/>
      <c r="G67" s="93"/>
      <c r="H67" s="93"/>
      <c r="I67" s="93"/>
    </row>
    <row r="68" spans="2:9" s="94" customFormat="1" x14ac:dyDescent="0.25">
      <c r="B68" s="93"/>
      <c r="C68" s="93"/>
      <c r="D68" s="93"/>
      <c r="E68" s="93"/>
      <c r="F68" s="93"/>
      <c r="G68" s="93"/>
      <c r="H68" s="93"/>
      <c r="I68" s="93"/>
    </row>
    <row r="69" spans="2:9" s="94" customFormat="1" x14ac:dyDescent="0.25">
      <c r="B69" s="93"/>
      <c r="C69" s="93"/>
      <c r="D69" s="93"/>
      <c r="E69" s="93"/>
      <c r="F69" s="93"/>
      <c r="G69" s="93"/>
      <c r="H69" s="93"/>
      <c r="I69" s="93"/>
    </row>
    <row r="70" spans="2:9" s="94" customFormat="1" x14ac:dyDescent="0.25">
      <c r="B70" s="93"/>
      <c r="C70" s="93"/>
      <c r="D70" s="93"/>
      <c r="E70" s="93"/>
      <c r="F70" s="93"/>
      <c r="G70" s="93"/>
      <c r="H70" s="93"/>
      <c r="I70" s="93"/>
    </row>
    <row r="71" spans="2:9" s="94" customFormat="1" x14ac:dyDescent="0.25">
      <c r="B71" s="93"/>
      <c r="C71" s="93"/>
      <c r="D71" s="93"/>
      <c r="E71" s="93"/>
      <c r="F71" s="93"/>
      <c r="G71" s="93"/>
      <c r="H71" s="93"/>
      <c r="I71" s="93"/>
    </row>
    <row r="72" spans="2:9" s="94" customFormat="1" x14ac:dyDescent="0.25">
      <c r="B72" s="93"/>
      <c r="C72" s="93"/>
      <c r="D72" s="93"/>
      <c r="E72" s="93"/>
      <c r="F72" s="93"/>
      <c r="G72" s="93"/>
      <c r="H72" s="93"/>
      <c r="I72" s="93"/>
    </row>
    <row r="73" spans="2:9" s="94" customFormat="1" x14ac:dyDescent="0.25">
      <c r="B73" s="93"/>
      <c r="C73" s="93"/>
      <c r="D73" s="93"/>
      <c r="E73" s="93"/>
      <c r="F73" s="93"/>
      <c r="G73" s="93"/>
      <c r="H73" s="93"/>
      <c r="I73" s="93"/>
    </row>
    <row r="74" spans="2:9" s="94" customFormat="1" x14ac:dyDescent="0.25">
      <c r="B74" s="93"/>
      <c r="C74" s="93"/>
      <c r="D74" s="93"/>
      <c r="E74" s="93"/>
      <c r="F74" s="93"/>
      <c r="G74" s="93"/>
      <c r="H74" s="93"/>
      <c r="I74" s="93"/>
    </row>
    <row r="75" spans="2:9" s="94" customFormat="1" x14ac:dyDescent="0.25">
      <c r="B75" s="93"/>
      <c r="C75" s="93"/>
      <c r="D75" s="93"/>
      <c r="E75" s="93"/>
      <c r="F75" s="93"/>
      <c r="G75" s="93"/>
      <c r="H75" s="93"/>
      <c r="I75" s="93"/>
    </row>
    <row r="76" spans="2:9" s="94" customFormat="1" x14ac:dyDescent="0.25">
      <c r="B76" s="93"/>
      <c r="C76" s="93"/>
      <c r="D76" s="93"/>
      <c r="E76" s="93"/>
      <c r="F76" s="93"/>
      <c r="G76" s="93"/>
      <c r="H76" s="93"/>
      <c r="I76" s="93"/>
    </row>
  </sheetData>
  <mergeCells count="3">
    <mergeCell ref="C2:F2"/>
    <mergeCell ref="L10:P10"/>
    <mergeCell ref="G2:I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C6603-0A0B-45BC-8FDA-313A6AD70EBF}">
  <sheetPr>
    <tabColor rgb="FF0070C0"/>
  </sheetPr>
  <dimension ref="A2:AA141"/>
  <sheetViews>
    <sheetView workbookViewId="0">
      <pane xSplit="2" topLeftCell="T1" activePane="topRight" state="frozen"/>
      <selection pane="topRight" activeCell="X51" sqref="X51"/>
    </sheetView>
  </sheetViews>
  <sheetFormatPr defaultRowHeight="15" outlineLevelCol="1" x14ac:dyDescent="0.25"/>
  <cols>
    <col min="2" max="2" width="73.140625" customWidth="1"/>
    <col min="3" max="6" width="18.28515625" customWidth="1" outlineLevel="1"/>
    <col min="7" max="7" width="18.28515625" customWidth="1"/>
    <col min="8" max="11" width="18.28515625" customWidth="1" outlineLevel="1"/>
    <col min="12" max="12" width="18.28515625" customWidth="1"/>
    <col min="13" max="16" width="18.28515625" customWidth="1" outlineLevel="1"/>
    <col min="17" max="17" width="18.28515625" customWidth="1"/>
    <col min="18" max="21" width="18.28515625" customWidth="1" outlineLevel="1"/>
    <col min="22" max="26" width="18.28515625" customWidth="1"/>
  </cols>
  <sheetData>
    <row r="2" spans="1:27" s="28" customFormat="1" x14ac:dyDescent="0.25">
      <c r="A2" s="28" t="s">
        <v>97</v>
      </c>
      <c r="B2" s="32" t="s">
        <v>98</v>
      </c>
      <c r="C2" s="33" t="s">
        <v>99</v>
      </c>
      <c r="D2" s="33" t="s">
        <v>99</v>
      </c>
      <c r="E2" s="33" t="s">
        <v>100</v>
      </c>
      <c r="F2" s="33" t="s">
        <v>101</v>
      </c>
      <c r="G2" s="33" t="s">
        <v>102</v>
      </c>
      <c r="H2" s="33" t="s">
        <v>103</v>
      </c>
      <c r="I2" s="33" t="s">
        <v>104</v>
      </c>
      <c r="J2" s="33" t="s">
        <v>105</v>
      </c>
      <c r="K2" s="33" t="s">
        <v>106</v>
      </c>
      <c r="L2" s="33" t="s">
        <v>107</v>
      </c>
      <c r="M2" s="33" t="s">
        <v>108</v>
      </c>
      <c r="N2" s="33" t="s">
        <v>109</v>
      </c>
      <c r="O2" s="33" t="s">
        <v>110</v>
      </c>
      <c r="P2" s="33" t="s">
        <v>111</v>
      </c>
      <c r="Q2" s="33" t="s">
        <v>112</v>
      </c>
      <c r="R2" s="33" t="s">
        <v>113</v>
      </c>
      <c r="S2" s="33" t="s">
        <v>114</v>
      </c>
      <c r="T2" s="30" t="s">
        <v>115</v>
      </c>
      <c r="U2" s="30" t="s">
        <v>116</v>
      </c>
      <c r="V2" s="30" t="s">
        <v>117</v>
      </c>
      <c r="W2" s="30" t="s">
        <v>118</v>
      </c>
      <c r="X2" s="30" t="s">
        <v>119</v>
      </c>
      <c r="Y2" s="30" t="s">
        <v>120</v>
      </c>
    </row>
    <row r="3" spans="1:27" s="28" customFormat="1" x14ac:dyDescent="0.25">
      <c r="B3" s="34" t="s">
        <v>121</v>
      </c>
      <c r="C3" s="35">
        <v>44408</v>
      </c>
      <c r="D3" s="35">
        <v>44500</v>
      </c>
      <c r="E3" s="35">
        <v>44592</v>
      </c>
      <c r="F3" s="35">
        <v>44681</v>
      </c>
      <c r="G3" s="35">
        <v>44681</v>
      </c>
      <c r="H3" s="35">
        <v>44773</v>
      </c>
      <c r="I3" s="35">
        <v>44865</v>
      </c>
      <c r="J3" s="35">
        <v>44957</v>
      </c>
      <c r="K3" s="35">
        <v>45046</v>
      </c>
      <c r="L3" s="35">
        <v>45046</v>
      </c>
      <c r="M3" s="35">
        <v>45138</v>
      </c>
      <c r="N3" s="35">
        <v>45230</v>
      </c>
      <c r="O3" s="35">
        <v>45322</v>
      </c>
      <c r="P3" s="35">
        <v>45412</v>
      </c>
      <c r="Q3" s="35">
        <v>45412</v>
      </c>
      <c r="R3" s="35">
        <v>45504</v>
      </c>
      <c r="S3" s="35">
        <v>45596</v>
      </c>
      <c r="T3" s="31">
        <v>45688</v>
      </c>
      <c r="U3" s="31">
        <v>45777</v>
      </c>
      <c r="V3" s="31">
        <v>45777</v>
      </c>
      <c r="W3" s="31">
        <v>46053</v>
      </c>
      <c r="X3" s="31">
        <v>46507</v>
      </c>
      <c r="Y3" s="31">
        <v>46873</v>
      </c>
    </row>
    <row r="4" spans="1:27" x14ac:dyDescent="0.25">
      <c r="T4" s="40"/>
    </row>
    <row r="5" spans="1:27" s="47" customFormat="1" x14ac:dyDescent="0.25">
      <c r="B5" s="46" t="s">
        <v>122</v>
      </c>
      <c r="C5" s="48">
        <f t="shared" ref="C5:R5" si="0">SUM(C9:C11)</f>
        <v>274609</v>
      </c>
      <c r="D5" s="48">
        <f t="shared" si="0"/>
        <v>230479</v>
      </c>
      <c r="E5" s="48">
        <f t="shared" si="0"/>
        <v>177738</v>
      </c>
      <c r="F5" s="48">
        <f t="shared" si="0"/>
        <v>181300</v>
      </c>
      <c r="G5" s="48">
        <f t="shared" si="0"/>
        <v>864126</v>
      </c>
      <c r="H5" s="48">
        <f t="shared" si="0"/>
        <v>84394</v>
      </c>
      <c r="I5" s="48">
        <f t="shared" si="0"/>
        <v>121035</v>
      </c>
      <c r="J5" s="48">
        <f t="shared" si="0"/>
        <v>129036</v>
      </c>
      <c r="K5" s="48">
        <f t="shared" si="0"/>
        <v>144867</v>
      </c>
      <c r="L5" s="48">
        <f t="shared" si="0"/>
        <v>479332</v>
      </c>
      <c r="M5" s="48">
        <f t="shared" si="0"/>
        <v>114243</v>
      </c>
      <c r="N5" s="48">
        <f t="shared" si="0"/>
        <v>124958</v>
      </c>
      <c r="O5" s="48">
        <f t="shared" si="0"/>
        <v>137484</v>
      </c>
      <c r="P5" s="48">
        <f t="shared" si="0"/>
        <v>159148</v>
      </c>
      <c r="Q5" s="48">
        <f t="shared" si="0"/>
        <v>535833</v>
      </c>
      <c r="R5" s="48">
        <f t="shared" si="0"/>
        <v>88334</v>
      </c>
      <c r="S5" s="48">
        <f>SUM(S9:S11)</f>
        <v>129679</v>
      </c>
      <c r="T5" s="48">
        <f>SUM(T9:T11)</f>
        <v>137046.73431224987</v>
      </c>
      <c r="U5" s="48">
        <f t="shared" ref="U5:Y5" si="1">SUM(U9:U11)</f>
        <v>154230.17310029466</v>
      </c>
      <c r="V5" s="48">
        <f t="shared" si="1"/>
        <v>509289.90741254459</v>
      </c>
      <c r="W5" s="48">
        <f t="shared" si="1"/>
        <v>534888.81222762016</v>
      </c>
      <c r="X5" s="48">
        <f t="shared" si="1"/>
        <v>562346.49445162632</v>
      </c>
      <c r="Y5" s="48">
        <f t="shared" si="1"/>
        <v>591102.74264281325</v>
      </c>
    </row>
    <row r="6" spans="1:27" x14ac:dyDescent="0.25">
      <c r="B6" s="36" t="s">
        <v>123</v>
      </c>
      <c r="H6" s="45">
        <f t="shared" ref="H6" si="2">H5/C5-1</f>
        <v>-0.69267576809208731</v>
      </c>
      <c r="I6" s="45">
        <f t="shared" ref="I6" si="3">I5/D5-1</f>
        <v>-0.47485454206240052</v>
      </c>
      <c r="J6" s="45">
        <f t="shared" ref="J6" si="4">J5/E5-1</f>
        <v>-0.27401005975086923</v>
      </c>
      <c r="K6" s="45">
        <f t="shared" ref="K6" si="5">K5/F5-1</f>
        <v>-0.20095421952564807</v>
      </c>
      <c r="L6" s="45">
        <f t="shared" ref="L6" si="6">L5/G5-1</f>
        <v>-0.44529848656330207</v>
      </c>
      <c r="M6" s="45">
        <f t="shared" ref="M6" si="7">M5/H5-1</f>
        <v>0.35368628101523814</v>
      </c>
      <c r="N6" s="45">
        <f t="shared" ref="N6" si="8">N5/I5-1</f>
        <v>3.2412112198950682E-2</v>
      </c>
      <c r="O6" s="45">
        <f t="shared" ref="O6" si="9">O5/J5-1</f>
        <v>6.547010136706044E-2</v>
      </c>
      <c r="P6" s="45">
        <f t="shared" ref="P6" si="10">P5/K5-1</f>
        <v>9.8580076898120428E-2</v>
      </c>
      <c r="Q6" s="45">
        <f t="shared" ref="Q6" si="11">Q5/L5-1</f>
        <v>0.11787445862158163</v>
      </c>
      <c r="R6" s="45">
        <f t="shared" ref="R6" si="12">R5/M5-1</f>
        <v>-0.22678851220643714</v>
      </c>
      <c r="S6" s="45">
        <f t="shared" ref="S6" si="13">S5/N5-1</f>
        <v>3.7780694313289231E-2</v>
      </c>
      <c r="T6" s="45">
        <f t="shared" ref="T6" si="14">T5/O5-1</f>
        <v>-3.1804841854333743E-3</v>
      </c>
      <c r="U6" s="45">
        <f>U5/P5-1</f>
        <v>-3.0900965765861543E-2</v>
      </c>
      <c r="V6" s="45">
        <f t="shared" ref="V6" si="15">V5/Q5-1</f>
        <v>-4.9536128957073156E-2</v>
      </c>
      <c r="W6" s="45">
        <f>W5/V5-1</f>
        <v>5.0263915389824332E-2</v>
      </c>
      <c r="X6" s="45">
        <f>X5/W5-1</f>
        <v>5.1333439018204086E-2</v>
      </c>
      <c r="Y6" s="45">
        <f>Y5/X5-1</f>
        <v>5.1136174004656532E-2</v>
      </c>
    </row>
    <row r="7" spans="1:27" s="63" customFormat="1" x14ac:dyDescent="0.25">
      <c r="B7" s="103" t="s">
        <v>124</v>
      </c>
      <c r="T7" s="102" t="s">
        <v>125</v>
      </c>
      <c r="V7" s="102" t="s">
        <v>126</v>
      </c>
    </row>
    <row r="9" spans="1:27" s="42" customFormat="1" x14ac:dyDescent="0.25">
      <c r="B9" s="36" t="s">
        <v>127</v>
      </c>
      <c r="C9" s="42">
        <v>197856</v>
      </c>
      <c r="D9" s="42">
        <v>157525</v>
      </c>
      <c r="E9" s="42">
        <v>132921</v>
      </c>
      <c r="F9" s="40">
        <f>G9-SUM(C9:E9)</f>
        <v>135917</v>
      </c>
      <c r="G9" s="42">
        <v>624219</v>
      </c>
      <c r="H9" s="42">
        <v>59367</v>
      </c>
      <c r="I9" s="42">
        <v>93037</v>
      </c>
      <c r="J9" s="42">
        <v>101952</v>
      </c>
      <c r="K9" s="40">
        <f>L9-SUM(H9:J9)</f>
        <v>106312</v>
      </c>
      <c r="L9" s="42">
        <v>360668</v>
      </c>
      <c r="M9" s="42">
        <v>86106</v>
      </c>
      <c r="N9" s="42">
        <v>88347</v>
      </c>
      <c r="O9" s="42">
        <v>94451</v>
      </c>
      <c r="P9" s="40">
        <f>Q9-SUM(M9:O9)</f>
        <v>112994</v>
      </c>
      <c r="Q9" s="42">
        <v>381898</v>
      </c>
      <c r="R9" s="42">
        <v>53277</v>
      </c>
      <c r="S9" s="42">
        <v>93810</v>
      </c>
      <c r="T9" s="40">
        <f>T18*T23</f>
        <v>89728.449999999983</v>
      </c>
      <c r="U9" s="40">
        <f>U18*U23</f>
        <v>104519.45000000001</v>
      </c>
      <c r="V9" s="40">
        <f>SUM(R9:U9)</f>
        <v>341334.9</v>
      </c>
      <c r="W9" s="40">
        <f>W18*W23</f>
        <v>350277.87437999999</v>
      </c>
      <c r="X9" s="40">
        <f>X18*X23</f>
        <v>359455.15468875604</v>
      </c>
      <c r="Y9" s="40">
        <f>Y18*Y23</f>
        <v>368872.87974160141</v>
      </c>
    </row>
    <row r="10" spans="1:27" s="42" customFormat="1" x14ac:dyDescent="0.25">
      <c r="B10" s="36" t="s">
        <v>128</v>
      </c>
      <c r="C10" s="42">
        <v>67691</v>
      </c>
      <c r="D10" s="42">
        <v>60320</v>
      </c>
      <c r="E10" s="42">
        <v>29459</v>
      </c>
      <c r="F10" s="40">
        <f>G10-SUM(C10:E10)</f>
        <v>31997</v>
      </c>
      <c r="G10" s="42">
        <v>189467</v>
      </c>
      <c r="H10" s="42">
        <v>14105</v>
      </c>
      <c r="I10" s="42">
        <v>16999</v>
      </c>
      <c r="J10" s="42">
        <v>15312</v>
      </c>
      <c r="K10" s="40">
        <f>L10-SUM(H10:J10)</f>
        <v>27904</v>
      </c>
      <c r="L10" s="42">
        <v>74320</v>
      </c>
      <c r="M10" s="42">
        <v>18782</v>
      </c>
      <c r="N10" s="42">
        <v>28120</v>
      </c>
      <c r="O10" s="42">
        <v>32236</v>
      </c>
      <c r="P10" s="40">
        <f>Q10-SUM(M10:O10)</f>
        <v>37353</v>
      </c>
      <c r="Q10" s="42">
        <v>116491</v>
      </c>
      <c r="R10" s="42">
        <v>24721</v>
      </c>
      <c r="S10" s="42">
        <v>25132</v>
      </c>
      <c r="T10" s="40">
        <f>T31*T36</f>
        <v>36555.624000000003</v>
      </c>
      <c r="U10" s="40">
        <f>U31*U36</f>
        <v>41181.682500000003</v>
      </c>
      <c r="V10" s="40">
        <f>SUM(R10:U10)</f>
        <v>127590.30650000001</v>
      </c>
      <c r="W10" s="40">
        <f>W31*W36</f>
        <v>142707.20601411996</v>
      </c>
      <c r="X10" s="40">
        <f>X31*X36</f>
        <v>158836.54526665984</v>
      </c>
      <c r="Y10" s="40">
        <f>Y31*Y36</f>
        <v>175922.27476790387</v>
      </c>
    </row>
    <row r="11" spans="1:27" s="42" customFormat="1" x14ac:dyDescent="0.25">
      <c r="B11" s="36" t="s">
        <v>129</v>
      </c>
      <c r="C11" s="42">
        <v>9062</v>
      </c>
      <c r="D11" s="42">
        <v>12634</v>
      </c>
      <c r="E11" s="42">
        <v>15358</v>
      </c>
      <c r="F11" s="42">
        <f>G11-SUM(C11:E11)</f>
        <v>13386</v>
      </c>
      <c r="G11" s="42">
        <v>50440</v>
      </c>
      <c r="H11" s="42">
        <v>10922</v>
      </c>
      <c r="I11" s="42">
        <v>10999</v>
      </c>
      <c r="J11" s="42">
        <v>11772</v>
      </c>
      <c r="K11" s="40">
        <f>L11-SUM(H11:J11)</f>
        <v>10651</v>
      </c>
      <c r="L11" s="42">
        <v>44344</v>
      </c>
      <c r="M11" s="42">
        <v>9355</v>
      </c>
      <c r="N11" s="42">
        <v>8491</v>
      </c>
      <c r="O11" s="42">
        <v>10797</v>
      </c>
      <c r="P11" s="40">
        <f>Q11-SUM(M11:O11)</f>
        <v>8801</v>
      </c>
      <c r="Q11" s="42">
        <v>37444</v>
      </c>
      <c r="R11" s="42">
        <v>10336</v>
      </c>
      <c r="S11" s="42">
        <v>10737</v>
      </c>
      <c r="T11" s="40">
        <f>SUM(T9:T10)*T12</f>
        <v>10762.660312249876</v>
      </c>
      <c r="U11" s="40">
        <f>SUM(U9:U10)*U12</f>
        <v>8529.0406002946511</v>
      </c>
      <c r="V11" s="40">
        <f>SUM(R11:U11)</f>
        <v>40364.700912544533</v>
      </c>
      <c r="W11" s="40">
        <f>SUM(W9:W10)*W12</f>
        <v>41903.731833500198</v>
      </c>
      <c r="X11" s="40">
        <f>SUM(X9:X10)*X12</f>
        <v>44054.794496210357</v>
      </c>
      <c r="Y11" s="40">
        <f>SUM(Y9:Y10)*Y12</f>
        <v>46307.588133307952</v>
      </c>
    </row>
    <row r="12" spans="1:27" x14ac:dyDescent="0.25">
      <c r="B12" s="37" t="s">
        <v>130</v>
      </c>
      <c r="C12" s="45">
        <f t="shared" ref="C12" si="16">C11/SUM(C9:C10)</f>
        <v>3.4125785642466308E-2</v>
      </c>
      <c r="D12" s="45">
        <f t="shared" ref="D12" si="17">D11/SUM(D9:D10)</f>
        <v>5.7995363676008174E-2</v>
      </c>
      <c r="E12" s="45">
        <f t="shared" ref="E12" si="18">E11/SUM(E9:E10)</f>
        <v>9.4580613376031533E-2</v>
      </c>
      <c r="F12" s="45">
        <f t="shared" ref="F12" si="19">F11/SUM(F9:F10)</f>
        <v>7.9719380158890865E-2</v>
      </c>
      <c r="G12" s="45">
        <f t="shared" ref="G12" si="20">G11/SUM(G9:G10)</f>
        <v>6.1989514382697994E-2</v>
      </c>
      <c r="H12" s="45">
        <f t="shared" ref="H12" si="21">H11/SUM(H9:H10)</f>
        <v>0.14865527003484322</v>
      </c>
      <c r="I12" s="45">
        <f t="shared" ref="I12" si="22">I11/SUM(I9:I10)</f>
        <v>9.9958195499654665E-2</v>
      </c>
      <c r="J12" s="45">
        <f t="shared" ref="J12" si="23">J11/SUM(J9:J10)</f>
        <v>0.10038886614817846</v>
      </c>
      <c r="K12" s="45">
        <f t="shared" ref="K12" si="24">K11/SUM(K9:K10)</f>
        <v>7.9357155629731183E-2</v>
      </c>
      <c r="L12" s="45">
        <f t="shared" ref="L12" si="25">L11/SUM(L9:L10)</f>
        <v>0.1019430421069087</v>
      </c>
      <c r="M12" s="45">
        <f t="shared" ref="M12" si="26">M11/SUM(M9:M10)</f>
        <v>8.9190374494699104E-2</v>
      </c>
      <c r="N12" s="45">
        <f t="shared" ref="N12" si="27">N11/SUM(N9:N10)</f>
        <v>7.2904771308611019E-2</v>
      </c>
      <c r="O12" s="45">
        <f t="shared" ref="O12" si="28">O11/SUM(O9:O10)</f>
        <v>8.5225792701697889E-2</v>
      </c>
      <c r="P12" s="45">
        <f t="shared" ref="P12" si="29">P11/SUM(P9:P10)</f>
        <v>5.8537915621861426E-2</v>
      </c>
      <c r="Q12" s="45">
        <f t="shared" ref="Q12" si="30">Q11/SUM(Q9:Q10)</f>
        <v>7.5130069082584086E-2</v>
      </c>
      <c r="R12" s="45">
        <f t="shared" ref="R12" si="31">R11/SUM(R9:R10)</f>
        <v>0.13251621836457345</v>
      </c>
      <c r="S12" s="45">
        <f t="shared" ref="S12" si="32">S11/SUM(S9:S10)</f>
        <v>9.0270888332128263E-2</v>
      </c>
      <c r="T12" s="45">
        <f>CHOOSE(Dashboard!$D$22,T13,T14,T15)</f>
        <v>8.5225792701697889E-2</v>
      </c>
      <c r="U12" s="45">
        <f>CHOOSE(Dashboard!$D$22,U13,U14,U15)</f>
        <v>5.8537915621861426E-2</v>
      </c>
      <c r="V12" s="45">
        <f t="shared" ref="V12" si="33">V11/SUM(V9:V10)</f>
        <v>8.6079187795899667E-2</v>
      </c>
      <c r="W12" s="45">
        <f>CHOOSE(Dashboard!$D$22,W13,W14,W15)</f>
        <v>8.5000000000000006E-2</v>
      </c>
      <c r="X12" s="45">
        <f>CHOOSE(Dashboard!$D$22,X13,X14,X15)</f>
        <v>8.5000000000000006E-2</v>
      </c>
      <c r="Y12" s="45">
        <f>CHOOSE(Dashboard!$D$22,Y13,Y14,Y15)</f>
        <v>8.5000000000000006E-2</v>
      </c>
    </row>
    <row r="13" spans="1:27" x14ac:dyDescent="0.25">
      <c r="B13" s="98" t="s">
        <v>131</v>
      </c>
      <c r="T13" s="59">
        <f>T14-0.01</f>
        <v>7.5225792701697894E-2</v>
      </c>
      <c r="U13" s="59">
        <f>U14-0.01</f>
        <v>4.8537915621861424E-2</v>
      </c>
      <c r="V13" s="63"/>
      <c r="W13" s="59">
        <v>7.4999999999999997E-2</v>
      </c>
      <c r="X13" s="59">
        <v>7.4999999999999997E-2</v>
      </c>
      <c r="Y13" s="59">
        <v>7.4999999999999997E-2</v>
      </c>
      <c r="Z13" s="63" t="s">
        <v>132</v>
      </c>
    </row>
    <row r="14" spans="1:27" x14ac:dyDescent="0.25">
      <c r="B14" s="98" t="s">
        <v>133</v>
      </c>
      <c r="T14" s="59">
        <f>O12</f>
        <v>8.5225792701697889E-2</v>
      </c>
      <c r="U14" s="59">
        <f>P12</f>
        <v>5.8537915621861426E-2</v>
      </c>
      <c r="V14" s="63"/>
      <c r="W14" s="59">
        <v>8.5000000000000006E-2</v>
      </c>
      <c r="X14" s="59">
        <v>8.5000000000000006E-2</v>
      </c>
      <c r="Y14" s="59">
        <v>8.5000000000000006E-2</v>
      </c>
      <c r="Z14" s="63" t="s">
        <v>134</v>
      </c>
    </row>
    <row r="15" spans="1:27" x14ac:dyDescent="0.25">
      <c r="B15" s="98" t="s">
        <v>135</v>
      </c>
      <c r="T15" s="59">
        <f>T14+0.01</f>
        <v>9.5225792701697884E-2</v>
      </c>
      <c r="U15" s="59">
        <f>U14+0.01</f>
        <v>6.8537915621861428E-2</v>
      </c>
      <c r="V15" s="63"/>
      <c r="W15" s="59">
        <v>0.1</v>
      </c>
      <c r="X15" s="59">
        <v>0.1</v>
      </c>
      <c r="Y15" s="59">
        <v>0.1</v>
      </c>
      <c r="Z15" s="63" t="s">
        <v>136</v>
      </c>
      <c r="AA15" s="45"/>
    </row>
    <row r="17" spans="2:26" x14ac:dyDescent="0.25">
      <c r="B17" s="97" t="s">
        <v>137</v>
      </c>
    </row>
    <row r="18" spans="2:26" s="42" customFormat="1" x14ac:dyDescent="0.25">
      <c r="B18" t="s">
        <v>138</v>
      </c>
      <c r="C18" s="42">
        <v>507</v>
      </c>
      <c r="D18" s="42">
        <v>383</v>
      </c>
      <c r="E18" s="42">
        <v>316</v>
      </c>
      <c r="F18" s="40">
        <f>G18-SUM(C18:E18)</f>
        <v>312</v>
      </c>
      <c r="G18" s="42">
        <v>1518</v>
      </c>
      <c r="H18" s="42">
        <v>128</v>
      </c>
      <c r="I18" s="42">
        <v>209</v>
      </c>
      <c r="J18" s="42">
        <v>223</v>
      </c>
      <c r="K18" s="40">
        <f>L18-SUM(H18:J18)</f>
        <v>233</v>
      </c>
      <c r="L18" s="42">
        <v>793</v>
      </c>
      <c r="M18" s="42">
        <v>174</v>
      </c>
      <c r="N18" s="42">
        <v>191</v>
      </c>
      <c r="O18" s="42">
        <v>219</v>
      </c>
      <c r="P18" s="42">
        <f>836-SUM(M18:O18)</f>
        <v>252</v>
      </c>
      <c r="Q18" s="40">
        <f>SUM(M18:P18)</f>
        <v>836</v>
      </c>
      <c r="R18" s="42">
        <v>119</v>
      </c>
      <c r="S18" s="42">
        <v>229</v>
      </c>
      <c r="T18" s="40">
        <f>O18*(1+T19)</f>
        <v>219</v>
      </c>
      <c r="U18" s="40">
        <f>P18*(1+U19)</f>
        <v>252</v>
      </c>
      <c r="V18" s="40">
        <f>SUM(R18:U18)</f>
        <v>819</v>
      </c>
      <c r="W18" s="40">
        <f>V18*(1+W19)</f>
        <v>819</v>
      </c>
      <c r="X18" s="40">
        <f>W18*(1+X19)</f>
        <v>819</v>
      </c>
      <c r="Y18" s="40">
        <f>X18*(1+Y19)</f>
        <v>819</v>
      </c>
    </row>
    <row r="19" spans="2:26" x14ac:dyDescent="0.25">
      <c r="B19" s="36" t="s">
        <v>123</v>
      </c>
      <c r="H19" s="45">
        <f t="shared" ref="H19:S19" si="34">H18/C18-1</f>
        <v>-0.74753451676528604</v>
      </c>
      <c r="I19" s="45">
        <f t="shared" si="34"/>
        <v>-0.45430809399477812</v>
      </c>
      <c r="J19" s="45">
        <f t="shared" si="34"/>
        <v>-0.29430379746835444</v>
      </c>
      <c r="K19" s="45">
        <f t="shared" si="34"/>
        <v>-0.25320512820512819</v>
      </c>
      <c r="L19" s="45">
        <f t="shared" si="34"/>
        <v>-0.47760210803689063</v>
      </c>
      <c r="M19" s="45">
        <f t="shared" si="34"/>
        <v>0.359375</v>
      </c>
      <c r="N19" s="45">
        <f t="shared" si="34"/>
        <v>-8.6124401913875603E-2</v>
      </c>
      <c r="O19" s="45">
        <f t="shared" si="34"/>
        <v>-1.7937219730941756E-2</v>
      </c>
      <c r="P19" s="45">
        <f t="shared" si="34"/>
        <v>8.1545064377682497E-2</v>
      </c>
      <c r="Q19" s="45">
        <f t="shared" si="34"/>
        <v>5.4224464060529609E-2</v>
      </c>
      <c r="R19" s="45">
        <f t="shared" si="34"/>
        <v>-0.31609195402298851</v>
      </c>
      <c r="S19" s="45">
        <f t="shared" si="34"/>
        <v>0.19895287958115193</v>
      </c>
      <c r="T19" s="45">
        <f>CHOOSE(Dashboard!$D$22,T20,T21,T22)</f>
        <v>0</v>
      </c>
      <c r="U19" s="45">
        <f>CHOOSE(Dashboard!$D$22,U20,U21,U22)</f>
        <v>0</v>
      </c>
      <c r="V19" s="45">
        <f>V18/Q18-1</f>
        <v>-2.0334928229665095E-2</v>
      </c>
      <c r="W19" s="45">
        <f>CHOOSE(Dashboard!$D$22,W20,W21,W22)</f>
        <v>0</v>
      </c>
      <c r="X19" s="45">
        <f>CHOOSE(Dashboard!$D$22,X20,X21,X22)</f>
        <v>0</v>
      </c>
      <c r="Y19" s="45">
        <f>CHOOSE(Dashboard!$D$22,Y20,Y21,Y22)</f>
        <v>0</v>
      </c>
    </row>
    <row r="20" spans="2:26" x14ac:dyDescent="0.25">
      <c r="B20" s="44" t="s">
        <v>131</v>
      </c>
      <c r="T20" s="59">
        <v>2.5000000000000001E-2</v>
      </c>
      <c r="U20" s="59">
        <v>2.5000000000000001E-2</v>
      </c>
      <c r="W20" s="59">
        <v>2.5000000000000001E-2</v>
      </c>
      <c r="X20" s="59">
        <v>2.5000000000000001E-2</v>
      </c>
      <c r="Y20" s="59">
        <v>2.5000000000000001E-2</v>
      </c>
      <c r="Z20" s="63" t="s">
        <v>139</v>
      </c>
    </row>
    <row r="21" spans="2:26" x14ac:dyDescent="0.25">
      <c r="B21" s="44" t="s">
        <v>133</v>
      </c>
      <c r="T21" s="59">
        <v>0</v>
      </c>
      <c r="U21" s="59">
        <v>0</v>
      </c>
      <c r="W21" s="59">
        <v>0</v>
      </c>
      <c r="X21" s="59">
        <v>0</v>
      </c>
      <c r="Y21" s="59">
        <v>0</v>
      </c>
      <c r="Z21" s="63"/>
    </row>
    <row r="22" spans="2:26" x14ac:dyDescent="0.25">
      <c r="B22" s="44" t="s">
        <v>135</v>
      </c>
      <c r="T22" s="59">
        <v>-0.1</v>
      </c>
      <c r="U22" s="59">
        <v>-0.05</v>
      </c>
      <c r="W22" s="59">
        <v>-0.05</v>
      </c>
      <c r="X22" s="59">
        <v>-0.05</v>
      </c>
      <c r="Y22" s="59">
        <v>-0.05</v>
      </c>
      <c r="Z22" s="63" t="s">
        <v>140</v>
      </c>
    </row>
    <row r="23" spans="2:26" s="40" customFormat="1" x14ac:dyDescent="0.25">
      <c r="B23" t="s">
        <v>141</v>
      </c>
      <c r="C23" s="40">
        <f t="shared" ref="C23:S23" si="35">C9/C18</f>
        <v>390.24852071005915</v>
      </c>
      <c r="D23" s="40">
        <f t="shared" si="35"/>
        <v>411.29242819843341</v>
      </c>
      <c r="E23" s="40">
        <f t="shared" si="35"/>
        <v>420.63607594936707</v>
      </c>
      <c r="F23" s="40">
        <f t="shared" si="35"/>
        <v>435.63141025641028</v>
      </c>
      <c r="G23" s="40">
        <f t="shared" si="35"/>
        <v>411.21146245059288</v>
      </c>
      <c r="H23" s="40">
        <f t="shared" si="35"/>
        <v>463.8046875</v>
      </c>
      <c r="I23" s="40">
        <f t="shared" si="35"/>
        <v>445.15311004784689</v>
      </c>
      <c r="J23" s="40">
        <f t="shared" si="35"/>
        <v>457.18385650224218</v>
      </c>
      <c r="K23" s="40">
        <f t="shared" si="35"/>
        <v>456.274678111588</v>
      </c>
      <c r="L23" s="40">
        <f t="shared" si="35"/>
        <v>454.81462799495586</v>
      </c>
      <c r="M23" s="40">
        <f t="shared" si="35"/>
        <v>494.86206896551727</v>
      </c>
      <c r="N23" s="40">
        <f t="shared" si="35"/>
        <v>462.54973821989529</v>
      </c>
      <c r="O23" s="40">
        <f t="shared" si="35"/>
        <v>431.28310502283102</v>
      </c>
      <c r="P23" s="40">
        <f t="shared" si="35"/>
        <v>448.38888888888891</v>
      </c>
      <c r="Q23" s="40">
        <f t="shared" si="35"/>
        <v>456.81578947368422</v>
      </c>
      <c r="R23" s="40">
        <f t="shared" si="35"/>
        <v>447.70588235294116</v>
      </c>
      <c r="S23" s="40">
        <f t="shared" si="35"/>
        <v>409.65065502183404</v>
      </c>
      <c r="T23" s="40">
        <f>O23*(1+T24)</f>
        <v>409.71894977168944</v>
      </c>
      <c r="U23" s="40">
        <f>P23*(1+U24)</f>
        <v>414.75972222222225</v>
      </c>
      <c r="V23" s="40">
        <f>V9/V18</f>
        <v>416.77032967032972</v>
      </c>
      <c r="W23" s="40">
        <f>V23*(1+W24)</f>
        <v>427.68971230769233</v>
      </c>
      <c r="X23" s="40">
        <f>W23*(1+X24)</f>
        <v>438.89518277015389</v>
      </c>
      <c r="Y23" s="40">
        <f>X23*(1+Y24)</f>
        <v>450.3942365587319</v>
      </c>
    </row>
    <row r="24" spans="2:26" x14ac:dyDescent="0.25">
      <c r="B24" s="36" t="s">
        <v>123</v>
      </c>
      <c r="H24" s="45">
        <f>H23/C23-1</f>
        <v>0.1884854468022199</v>
      </c>
      <c r="I24" s="45">
        <f t="shared" ref="I24" si="36">I23/D23-1</f>
        <v>8.232751086065937E-2</v>
      </c>
      <c r="J24" s="45">
        <f t="shared" ref="J24" si="37">J23/E23-1</f>
        <v>8.6886937765353389E-2</v>
      </c>
      <c r="K24" s="45">
        <f t="shared" ref="K24:L24" si="38">K23/F23-1</f>
        <v>4.7387005089984724E-2</v>
      </c>
      <c r="L24" s="45">
        <f t="shared" si="38"/>
        <v>0.10603587089842348</v>
      </c>
      <c r="M24" s="45">
        <f t="shared" ref="M24" si="39">M23/H23-1</f>
        <v>6.6962198318699206E-2</v>
      </c>
      <c r="N24" s="45">
        <f t="shared" ref="N24" si="40">N23/I23-1</f>
        <v>3.9080100260736161E-2</v>
      </c>
      <c r="O24" s="45">
        <f t="shared" ref="O24" si="41">O23/J23-1</f>
        <v>-5.6652812891445858E-2</v>
      </c>
      <c r="P24" s="45">
        <f t="shared" ref="P24" si="42">P23/K23-1</f>
        <v>-1.7282986764324715E-2</v>
      </c>
      <c r="Q24" s="45">
        <f>Q23/L23-1</f>
        <v>4.3999496840074759E-3</v>
      </c>
      <c r="R24" s="45">
        <f t="shared" ref="R24" si="43">R23/M23-1</f>
        <v>-9.5291576319748272E-2</v>
      </c>
      <c r="S24" s="45">
        <f t="shared" ref="S24" si="44">S23/N23-1</f>
        <v>-0.11436409714907914</v>
      </c>
      <c r="T24" s="45">
        <f>CHOOSE(Dashboard!$D$22,T26,T27,T28)</f>
        <v>-0.05</v>
      </c>
      <c r="U24" s="45">
        <f>CHOOSE(Dashboard!$D$22,U26,U27,U28)</f>
        <v>-7.4999999999999997E-2</v>
      </c>
      <c r="V24" s="45">
        <f>V23/U23-1</f>
        <v>4.8476439258251514E-3</v>
      </c>
      <c r="W24" s="45">
        <f>CHOOSE(Dashboard!$D$22,W26,W27,W28)</f>
        <v>2.6200000000000001E-2</v>
      </c>
      <c r="X24" s="45">
        <f>CHOOSE(Dashboard!$D$22,X26,X27,X28)</f>
        <v>2.6200000000000001E-2</v>
      </c>
      <c r="Y24" s="45">
        <f>CHOOSE(Dashboard!$D$22,Y26,Y27,Y28)</f>
        <v>2.6200000000000001E-2</v>
      </c>
    </row>
    <row r="25" spans="2:26" x14ac:dyDescent="0.25">
      <c r="B25" s="103" t="s">
        <v>124</v>
      </c>
      <c r="C25" s="63"/>
      <c r="D25" s="63"/>
      <c r="E25" s="63"/>
      <c r="F25" s="63"/>
      <c r="G25" s="63"/>
      <c r="H25" s="63"/>
      <c r="I25" s="63"/>
      <c r="J25" s="63"/>
      <c r="K25" s="63"/>
      <c r="L25" s="63"/>
      <c r="M25" s="63"/>
      <c r="N25" s="63"/>
      <c r="O25" s="63"/>
      <c r="P25" s="63"/>
      <c r="Q25" s="63"/>
      <c r="R25" s="63"/>
      <c r="S25" s="63"/>
      <c r="T25" s="106" t="s">
        <v>142</v>
      </c>
      <c r="U25" s="63"/>
      <c r="V25" s="106"/>
      <c r="Z25" s="63" t="s">
        <v>143</v>
      </c>
    </row>
    <row r="26" spans="2:26" x14ac:dyDescent="0.25">
      <c r="B26" s="44" t="s">
        <v>131</v>
      </c>
      <c r="T26" s="59">
        <v>-0.04</v>
      </c>
      <c r="U26" s="59">
        <v>-6.5000000000000002E-2</v>
      </c>
      <c r="W26" s="59">
        <f>W28+0</f>
        <v>2.6200000000000001E-2</v>
      </c>
      <c r="X26" s="59">
        <f>X28+0</f>
        <v>2.6200000000000001E-2</v>
      </c>
      <c r="Y26" s="59">
        <f>Y28+0</f>
        <v>2.6200000000000001E-2</v>
      </c>
      <c r="Z26" s="63" t="s">
        <v>144</v>
      </c>
    </row>
    <row r="27" spans="2:26" x14ac:dyDescent="0.25">
      <c r="B27" s="44" t="s">
        <v>133</v>
      </c>
      <c r="T27" s="59">
        <v>-0.05</v>
      </c>
      <c r="U27" s="59">
        <v>-7.4999999999999997E-2</v>
      </c>
      <c r="W27" s="59">
        <f>W28+0</f>
        <v>2.6200000000000001E-2</v>
      </c>
      <c r="X27" s="59">
        <f>X28+0</f>
        <v>2.6200000000000001E-2</v>
      </c>
      <c r="Y27" s="59">
        <f>Y28+0</f>
        <v>2.6200000000000001E-2</v>
      </c>
      <c r="Z27" s="63" t="s">
        <v>144</v>
      </c>
    </row>
    <row r="28" spans="2:26" x14ac:dyDescent="0.25">
      <c r="B28" s="44" t="s">
        <v>135</v>
      </c>
      <c r="T28" s="59">
        <v>-6.5000000000000002E-2</v>
      </c>
      <c r="U28" s="59">
        <v>-8.5000000000000006E-2</v>
      </c>
      <c r="W28" s="59">
        <v>2.6200000000000001E-2</v>
      </c>
      <c r="X28" s="59">
        <v>2.6200000000000001E-2</v>
      </c>
      <c r="Y28" s="59">
        <v>2.6200000000000001E-2</v>
      </c>
      <c r="Z28" s="63" t="s">
        <v>145</v>
      </c>
    </row>
    <row r="30" spans="2:26" x14ac:dyDescent="0.25">
      <c r="B30" s="97" t="s">
        <v>146</v>
      </c>
    </row>
    <row r="31" spans="2:26" s="42" customFormat="1" x14ac:dyDescent="0.25">
      <c r="B31" t="s">
        <v>138</v>
      </c>
      <c r="C31" s="42">
        <v>137</v>
      </c>
      <c r="D31" s="42">
        <v>109</v>
      </c>
      <c r="E31" s="42">
        <v>55</v>
      </c>
      <c r="F31" s="40">
        <f>G31-SUM(C31:E31)</f>
        <v>62</v>
      </c>
      <c r="G31" s="42">
        <v>363</v>
      </c>
      <c r="H31" s="42">
        <v>28</v>
      </c>
      <c r="I31" s="42">
        <v>31</v>
      </c>
      <c r="J31" s="42">
        <v>32</v>
      </c>
      <c r="K31" s="40">
        <f>L31-SUM(H31:J31)</f>
        <v>57</v>
      </c>
      <c r="L31" s="42">
        <v>148</v>
      </c>
      <c r="M31" s="42">
        <v>39</v>
      </c>
      <c r="N31" s="42">
        <v>56</v>
      </c>
      <c r="O31" s="42">
        <v>63</v>
      </c>
      <c r="P31" s="40">
        <f>Q31-SUM(M31:O31)</f>
        <v>70</v>
      </c>
      <c r="Q31" s="42">
        <v>228</v>
      </c>
      <c r="R31" s="42">
        <v>39</v>
      </c>
      <c r="S31" s="42">
        <v>46</v>
      </c>
      <c r="T31" s="40">
        <f>O31*(1+T32)</f>
        <v>66.150000000000006</v>
      </c>
      <c r="U31" s="40">
        <f>P31*(1+U32)</f>
        <v>73.5</v>
      </c>
      <c r="V31" s="40">
        <f>SUM(R31:U31)</f>
        <v>224.65</v>
      </c>
      <c r="W31" s="40">
        <f>V31*(1+W32)</f>
        <v>230.26624999999999</v>
      </c>
      <c r="X31" s="40">
        <f>W31*(1+X32)</f>
        <v>234.87157499999998</v>
      </c>
      <c r="Y31" s="40">
        <f>X31*(1+Y32)</f>
        <v>238.39464862499995</v>
      </c>
    </row>
    <row r="32" spans="2:26" x14ac:dyDescent="0.25">
      <c r="B32" s="36" t="s">
        <v>123</v>
      </c>
      <c r="H32" s="45">
        <f>H31/C31-1</f>
        <v>-0.79562043795620441</v>
      </c>
      <c r="I32" s="45">
        <f t="shared" ref="I32" si="45">I31/D31-1</f>
        <v>-0.71559633027522929</v>
      </c>
      <c r="J32" s="45">
        <f t="shared" ref="J32" si="46">J31/E31-1</f>
        <v>-0.41818181818181821</v>
      </c>
      <c r="K32" s="45">
        <f t="shared" ref="K32:L32" si="47">K31/F31-1</f>
        <v>-8.064516129032262E-2</v>
      </c>
      <c r="L32" s="45">
        <f t="shared" si="47"/>
        <v>-0.59228650137741046</v>
      </c>
      <c r="M32" s="45">
        <f t="shared" ref="M32" si="48">M31/H31-1</f>
        <v>0.39285714285714279</v>
      </c>
      <c r="N32" s="45">
        <f t="shared" ref="N32" si="49">N31/I31-1</f>
        <v>0.80645161290322576</v>
      </c>
      <c r="O32" s="45">
        <f t="shared" ref="O32" si="50">O31/J31-1</f>
        <v>0.96875</v>
      </c>
      <c r="P32" s="45">
        <f t="shared" ref="P32:Q32" si="51">P31/K31-1</f>
        <v>0.22807017543859653</v>
      </c>
      <c r="Q32" s="45">
        <f t="shared" si="51"/>
        <v>0.54054054054054057</v>
      </c>
      <c r="R32" s="45">
        <f t="shared" ref="R32" si="52">R31/M31-1</f>
        <v>0</v>
      </c>
      <c r="S32" s="45">
        <f t="shared" ref="S32" si="53">S31/N31-1</f>
        <v>-0.1785714285714286</v>
      </c>
      <c r="T32" s="45">
        <f>CHOOSE(Dashboard!$D$22,T33,T34,T35)</f>
        <v>0.05</v>
      </c>
      <c r="U32" s="45">
        <f>CHOOSE(Dashboard!$D$22,U33,U34,U35)</f>
        <v>0.05</v>
      </c>
      <c r="V32" s="45">
        <f>V31/Q31-1</f>
        <v>-1.4692982456140369E-2</v>
      </c>
      <c r="W32" s="45">
        <f>CHOOSE(Dashboard!$D$22,W33,W34,W35)</f>
        <v>2.5000000000000001E-2</v>
      </c>
      <c r="X32" s="45">
        <f>CHOOSE(Dashboard!$D$22,X33,X34,X35)</f>
        <v>0.02</v>
      </c>
      <c r="Y32" s="45">
        <f>CHOOSE(Dashboard!$D$22,Y33,Y34,Y35)</f>
        <v>1.4999999999999999E-2</v>
      </c>
    </row>
    <row r="33" spans="1:26" x14ac:dyDescent="0.25">
      <c r="B33" s="44" t="s">
        <v>131</v>
      </c>
      <c r="T33" s="59">
        <v>0.05</v>
      </c>
      <c r="U33" s="59">
        <v>0.05</v>
      </c>
      <c r="V33" s="63"/>
      <c r="W33" s="59">
        <v>2.5000000000000001E-2</v>
      </c>
      <c r="X33" s="59">
        <v>0.02</v>
      </c>
      <c r="Y33" s="59">
        <v>1.4999999999999999E-2</v>
      </c>
      <c r="Z33" s="63"/>
    </row>
    <row r="34" spans="1:26" x14ac:dyDescent="0.25">
      <c r="B34" s="44" t="s">
        <v>133</v>
      </c>
      <c r="T34" s="59">
        <v>0.05</v>
      </c>
      <c r="U34" s="59">
        <v>0.05</v>
      </c>
      <c r="V34" s="63"/>
      <c r="W34" s="59">
        <v>2.5000000000000001E-2</v>
      </c>
      <c r="X34" s="59">
        <v>0.02</v>
      </c>
      <c r="Y34" s="59">
        <v>1.4999999999999999E-2</v>
      </c>
      <c r="Z34" s="63" t="s">
        <v>147</v>
      </c>
    </row>
    <row r="35" spans="1:26" x14ac:dyDescent="0.25">
      <c r="B35" s="44" t="s">
        <v>135</v>
      </c>
      <c r="T35" s="59">
        <v>-0.05</v>
      </c>
      <c r="U35" s="59">
        <v>-2.5000000000000001E-2</v>
      </c>
      <c r="V35" s="63"/>
      <c r="W35" s="59">
        <v>0</v>
      </c>
      <c r="X35" s="59">
        <v>0</v>
      </c>
      <c r="Y35" s="59">
        <v>0</v>
      </c>
      <c r="Z35" s="63" t="s">
        <v>148</v>
      </c>
    </row>
    <row r="36" spans="1:26" s="40" customFormat="1" x14ac:dyDescent="0.25">
      <c r="B36" t="s">
        <v>141</v>
      </c>
      <c r="C36" s="40">
        <f t="shared" ref="C36:S36" si="54">C10/C31</f>
        <v>494.09489051094891</v>
      </c>
      <c r="D36" s="40">
        <f t="shared" si="54"/>
        <v>553.39449541284398</v>
      </c>
      <c r="E36" s="40">
        <f t="shared" si="54"/>
        <v>535.61818181818182</v>
      </c>
      <c r="F36" s="40">
        <f t="shared" si="54"/>
        <v>516.08064516129036</v>
      </c>
      <c r="G36" s="40">
        <f t="shared" si="54"/>
        <v>521.94765840220384</v>
      </c>
      <c r="H36" s="40">
        <f t="shared" si="54"/>
        <v>503.75</v>
      </c>
      <c r="I36" s="40">
        <f t="shared" si="54"/>
        <v>548.35483870967744</v>
      </c>
      <c r="J36" s="40">
        <f t="shared" si="54"/>
        <v>478.5</v>
      </c>
      <c r="K36" s="40">
        <f t="shared" si="54"/>
        <v>489.54385964912279</v>
      </c>
      <c r="L36" s="40">
        <f t="shared" si="54"/>
        <v>502.16216216216219</v>
      </c>
      <c r="M36" s="40">
        <f t="shared" si="54"/>
        <v>481.58974358974359</v>
      </c>
      <c r="N36" s="40">
        <f t="shared" si="54"/>
        <v>502.14285714285717</v>
      </c>
      <c r="O36" s="40">
        <f t="shared" si="54"/>
        <v>511.6825396825397</v>
      </c>
      <c r="P36" s="40">
        <f t="shared" si="54"/>
        <v>533.61428571428576</v>
      </c>
      <c r="Q36" s="40">
        <f t="shared" si="54"/>
        <v>510.92543859649123</v>
      </c>
      <c r="R36" s="40">
        <f t="shared" si="54"/>
        <v>633.87179487179492</v>
      </c>
      <c r="S36" s="40">
        <f t="shared" si="54"/>
        <v>546.3478260869565</v>
      </c>
      <c r="T36" s="40">
        <f>O36*(1+T37)</f>
        <v>552.61714285714288</v>
      </c>
      <c r="U36" s="40">
        <f>P36*(1+U37)</f>
        <v>560.29500000000007</v>
      </c>
      <c r="V36" s="40">
        <f>V10/V31</f>
        <v>567.95150901402178</v>
      </c>
      <c r="W36" s="40">
        <f>V36*(1+W37)</f>
        <v>619.7486866361005</v>
      </c>
      <c r="X36" s="40">
        <f>W36*(1+X37)</f>
        <v>676.26976685731279</v>
      </c>
      <c r="Y36" s="40">
        <f>X36*(1+Y37)</f>
        <v>737.94556959469969</v>
      </c>
    </row>
    <row r="37" spans="1:26" x14ac:dyDescent="0.25">
      <c r="B37" s="36" t="s">
        <v>123</v>
      </c>
      <c r="H37" s="45">
        <f>H36/C36-1</f>
        <v>1.9541002496639148E-2</v>
      </c>
      <c r="I37" s="45">
        <f t="shared" ref="I37" si="55">I36/D36-1</f>
        <v>-9.1068067083082127E-3</v>
      </c>
      <c r="J37" s="45">
        <f t="shared" ref="J37" si="56">J36/E36-1</f>
        <v>-0.1066397365830476</v>
      </c>
      <c r="K37" s="45">
        <f t="shared" ref="K37:L37" si="57">K36/F36-1</f>
        <v>-5.1419842540062821E-2</v>
      </c>
      <c r="L37" s="45">
        <f t="shared" si="57"/>
        <v>-3.7907050489716543E-2</v>
      </c>
      <c r="M37" s="45">
        <f t="shared" ref="M37" si="58">M36/H36-1</f>
        <v>-4.3990583444677767E-2</v>
      </c>
      <c r="N37" s="45">
        <f t="shared" ref="N37" si="59">N36/I36-1</f>
        <v>-8.4273864849192748E-2</v>
      </c>
      <c r="O37" s="45">
        <f t="shared" ref="O37" si="60">O36/J36-1</f>
        <v>6.9347000381483115E-2</v>
      </c>
      <c r="P37" s="45">
        <f t="shared" ref="P37:Q37" si="61">P36/K36-1</f>
        <v>9.0023447739187468E-2</v>
      </c>
      <c r="Q37" s="45">
        <f t="shared" si="61"/>
        <v>1.7451088701301076E-2</v>
      </c>
      <c r="R37" s="45">
        <f t="shared" ref="R37" si="62">R36/M36-1</f>
        <v>0.31620700670855073</v>
      </c>
      <c r="S37" s="45">
        <f t="shared" ref="S37" si="63">S36/N36-1</f>
        <v>8.8032655080710009E-2</v>
      </c>
      <c r="T37" s="45">
        <f>CHOOSE(Dashboard!$D$22,T39,T40,T41)</f>
        <v>0.08</v>
      </c>
      <c r="U37" s="45">
        <f>CHOOSE(Dashboard!$D$22,U39,U40,U41)</f>
        <v>0.05</v>
      </c>
      <c r="V37" s="45">
        <f>V36/Q36-1</f>
        <v>0.11161329248780572</v>
      </c>
      <c r="W37" s="45">
        <f>CHOOSE(Dashboard!$D$22,W39,W40,W41)</f>
        <v>9.1200000000000003E-2</v>
      </c>
      <c r="X37" s="45">
        <f>CHOOSE(Dashboard!$D$22,X39,X40,X41)</f>
        <v>9.1200000000000003E-2</v>
      </c>
      <c r="Y37" s="45">
        <f>CHOOSE(Dashboard!$D$22,Y39,Y40,Y41)</f>
        <v>9.1200000000000003E-2</v>
      </c>
    </row>
    <row r="38" spans="1:26" x14ac:dyDescent="0.25">
      <c r="B38" s="103" t="s">
        <v>124</v>
      </c>
      <c r="C38" s="63"/>
      <c r="D38" s="63"/>
      <c r="E38" s="63"/>
      <c r="F38" s="63"/>
      <c r="G38" s="63"/>
      <c r="H38" s="63"/>
      <c r="I38" s="63"/>
      <c r="J38" s="63"/>
      <c r="K38" s="63"/>
      <c r="L38" s="63"/>
      <c r="M38" s="63"/>
      <c r="N38" s="63"/>
      <c r="O38" s="63"/>
      <c r="P38" s="63"/>
      <c r="Q38" s="63"/>
      <c r="R38" s="63"/>
      <c r="S38" s="63"/>
      <c r="T38" s="106" t="s">
        <v>149</v>
      </c>
      <c r="U38" s="63"/>
      <c r="V38" s="106"/>
    </row>
    <row r="39" spans="1:26" x14ac:dyDescent="0.25">
      <c r="B39" s="44" t="s">
        <v>131</v>
      </c>
      <c r="T39" s="59">
        <v>0.09</v>
      </c>
      <c r="U39" s="59">
        <v>0.06</v>
      </c>
      <c r="W39" s="59">
        <f>W41+0.065</f>
        <v>9.1200000000000003E-2</v>
      </c>
      <c r="X39" s="59">
        <f>X41+0.065</f>
        <v>9.1200000000000003E-2</v>
      </c>
      <c r="Y39" s="59">
        <f>Y41+0.065</f>
        <v>9.1200000000000003E-2</v>
      </c>
      <c r="Z39" s="63" t="s">
        <v>144</v>
      </c>
    </row>
    <row r="40" spans="1:26" x14ac:dyDescent="0.25">
      <c r="B40" s="44" t="s">
        <v>133</v>
      </c>
      <c r="T40" s="59">
        <v>0.08</v>
      </c>
      <c r="U40" s="59">
        <v>0.05</v>
      </c>
      <c r="W40" s="59">
        <f>W41+0.065</f>
        <v>9.1200000000000003E-2</v>
      </c>
      <c r="X40" s="59">
        <f>X41+0.065</f>
        <v>9.1200000000000003E-2</v>
      </c>
      <c r="Y40" s="59">
        <f>Y41+0.065</f>
        <v>9.1200000000000003E-2</v>
      </c>
      <c r="Z40" s="63" t="s">
        <v>144</v>
      </c>
    </row>
    <row r="41" spans="1:26" x14ac:dyDescent="0.25">
      <c r="B41" s="44" t="s">
        <v>135</v>
      </c>
      <c r="T41" s="59">
        <v>7.0000000000000007E-2</v>
      </c>
      <c r="U41" s="59">
        <v>0.04</v>
      </c>
      <c r="W41" s="59">
        <v>2.6200000000000001E-2</v>
      </c>
      <c r="X41" s="59">
        <v>2.6200000000000001E-2</v>
      </c>
      <c r="Y41" s="59">
        <v>2.6200000000000001E-2</v>
      </c>
      <c r="Z41" s="63" t="s">
        <v>145</v>
      </c>
    </row>
    <row r="43" spans="1:26" x14ac:dyDescent="0.25">
      <c r="A43" s="28" t="s">
        <v>97</v>
      </c>
      <c r="B43" s="32" t="s">
        <v>150</v>
      </c>
      <c r="C43" s="33" t="s">
        <v>99</v>
      </c>
      <c r="D43" s="33" t="s">
        <v>99</v>
      </c>
      <c r="E43" s="33" t="s">
        <v>100</v>
      </c>
      <c r="F43" s="33" t="s">
        <v>101</v>
      </c>
      <c r="G43" s="33" t="s">
        <v>102</v>
      </c>
      <c r="H43" s="33" t="s">
        <v>103</v>
      </c>
      <c r="I43" s="33" t="s">
        <v>104</v>
      </c>
      <c r="J43" s="33" t="s">
        <v>105</v>
      </c>
      <c r="K43" s="33" t="s">
        <v>106</v>
      </c>
      <c r="L43" s="33" t="s">
        <v>107</v>
      </c>
      <c r="M43" s="33" t="s">
        <v>108</v>
      </c>
      <c r="N43" s="33" t="s">
        <v>109</v>
      </c>
      <c r="O43" s="33" t="s">
        <v>110</v>
      </c>
      <c r="P43" s="33" t="s">
        <v>111</v>
      </c>
      <c r="Q43" s="33" t="s">
        <v>112</v>
      </c>
      <c r="R43" s="33" t="s">
        <v>113</v>
      </c>
      <c r="S43" s="33" t="s">
        <v>114</v>
      </c>
      <c r="T43" s="30" t="s">
        <v>115</v>
      </c>
      <c r="U43" s="30" t="s">
        <v>116</v>
      </c>
      <c r="V43" s="30" t="s">
        <v>117</v>
      </c>
      <c r="W43" s="30" t="s">
        <v>118</v>
      </c>
      <c r="X43" s="30" t="s">
        <v>119</v>
      </c>
      <c r="Y43" s="30" t="s">
        <v>120</v>
      </c>
    </row>
    <row r="44" spans="1:26" x14ac:dyDescent="0.25">
      <c r="B44" s="34" t="s">
        <v>151</v>
      </c>
      <c r="C44" s="35">
        <v>44408</v>
      </c>
      <c r="D44" s="35">
        <v>44500</v>
      </c>
      <c r="E44" s="35">
        <v>44592</v>
      </c>
      <c r="F44" s="35">
        <v>44681</v>
      </c>
      <c r="G44" s="35">
        <v>44681</v>
      </c>
      <c r="H44" s="35">
        <v>44773</v>
      </c>
      <c r="I44" s="35">
        <v>44865</v>
      </c>
      <c r="J44" s="35">
        <v>44957</v>
      </c>
      <c r="K44" s="35">
        <v>45046</v>
      </c>
      <c r="L44" s="35"/>
      <c r="M44" s="35">
        <v>45138</v>
      </c>
      <c r="N44" s="35">
        <v>45230</v>
      </c>
      <c r="O44" s="35">
        <v>45322</v>
      </c>
      <c r="P44" s="35">
        <v>45412</v>
      </c>
      <c r="Q44" s="35">
        <v>45412</v>
      </c>
      <c r="R44" s="35">
        <v>45504</v>
      </c>
      <c r="S44" s="35">
        <v>45596</v>
      </c>
      <c r="T44" s="31">
        <v>45688</v>
      </c>
      <c r="U44" s="31">
        <v>45777</v>
      </c>
      <c r="V44" s="31">
        <v>45777</v>
      </c>
      <c r="W44" s="31">
        <v>46053</v>
      </c>
      <c r="X44" s="31">
        <v>46507</v>
      </c>
      <c r="Y44" s="31">
        <v>46873</v>
      </c>
    </row>
    <row r="46" spans="1:26" x14ac:dyDescent="0.25">
      <c r="B46" s="46" t="s">
        <v>152</v>
      </c>
      <c r="C46" s="95">
        <f>'Three Statement Model'!C23</f>
        <v>129942</v>
      </c>
      <c r="D46" s="95">
        <f>'Three Statement Model'!D23</f>
        <v>101995</v>
      </c>
      <c r="E46" s="95">
        <f>'Three Statement Model'!E23</f>
        <v>70399</v>
      </c>
      <c r="F46" s="95">
        <f>'Three Statement Model'!F23</f>
        <v>72228</v>
      </c>
      <c r="G46" s="95">
        <f>'Three Statement Model'!G23</f>
        <v>374564</v>
      </c>
      <c r="H46" s="95">
        <f>'Three Statement Model'!H23</f>
        <v>31471</v>
      </c>
      <c r="I46" s="95">
        <f>'Three Statement Model'!I23</f>
        <v>39262</v>
      </c>
      <c r="J46" s="95">
        <f>'Three Statement Model'!J23</f>
        <v>41841</v>
      </c>
      <c r="K46" s="95">
        <f>'Three Statement Model'!K23</f>
        <v>41963</v>
      </c>
      <c r="L46" s="95">
        <f>'Three Statement Model'!L23</f>
        <v>154537</v>
      </c>
      <c r="M46" s="95">
        <f>'Three Statement Model'!M23</f>
        <v>30401</v>
      </c>
      <c r="N46" s="95">
        <f>'Three Statement Model'!N23</f>
        <v>31766</v>
      </c>
      <c r="O46" s="95">
        <f>'Three Statement Model'!O23</f>
        <v>39424</v>
      </c>
      <c r="P46" s="95">
        <f>'Three Statement Model'!P23</f>
        <v>56502</v>
      </c>
      <c r="Q46" s="95">
        <f>'Three Statement Model'!Q23</f>
        <v>158093</v>
      </c>
      <c r="R46" s="95">
        <f>'Three Statement Model'!R23</f>
        <v>24192</v>
      </c>
      <c r="S46" s="95">
        <f>'Three Statement Model'!S23</f>
        <v>34546</v>
      </c>
      <c r="T46" s="96">
        <f>T5*T47</f>
        <v>37184.890420942756</v>
      </c>
      <c r="U46" s="96">
        <f>U5*U47</f>
        <v>50433.266603796357</v>
      </c>
      <c r="V46" s="48">
        <f>SUM(R46:U46)</f>
        <v>146356.15702473911</v>
      </c>
      <c r="W46" s="96">
        <f>W5*W47</f>
        <v>165815.53179056224</v>
      </c>
      <c r="X46" s="96">
        <f>X5*X47</f>
        <v>177139.14575226229</v>
      </c>
      <c r="Y46" s="96">
        <f>Y5*Y47</f>
        <v>189152.87764570024</v>
      </c>
    </row>
    <row r="47" spans="1:26" x14ac:dyDescent="0.25">
      <c r="B47" t="s">
        <v>153</v>
      </c>
      <c r="C47" s="45">
        <f t="shared" ref="C47:S47" si="64">C46/C5</f>
        <v>0.47318915257693667</v>
      </c>
      <c r="D47" s="45">
        <f t="shared" si="64"/>
        <v>0.44253489471925861</v>
      </c>
      <c r="E47" s="45">
        <f t="shared" si="64"/>
        <v>0.39608299857093027</v>
      </c>
      <c r="F47" s="45">
        <f t="shared" si="64"/>
        <v>0.39838940981798127</v>
      </c>
      <c r="G47" s="45">
        <f t="shared" si="64"/>
        <v>0.43345993524092552</v>
      </c>
      <c r="H47" s="45">
        <f t="shared" si="64"/>
        <v>0.37290565680024645</v>
      </c>
      <c r="I47" s="45">
        <f t="shared" si="64"/>
        <v>0.32438550832403851</v>
      </c>
      <c r="J47" s="45">
        <f t="shared" si="64"/>
        <v>0.32425834650795127</v>
      </c>
      <c r="K47" s="45">
        <f t="shared" si="64"/>
        <v>0.28966569336011649</v>
      </c>
      <c r="L47" s="45">
        <f t="shared" si="64"/>
        <v>0.32240075772116195</v>
      </c>
      <c r="M47" s="45">
        <f t="shared" si="64"/>
        <v>0.26610820794271861</v>
      </c>
      <c r="N47" s="45">
        <f t="shared" si="64"/>
        <v>0.2542134157076778</v>
      </c>
      <c r="O47" s="45">
        <f t="shared" si="64"/>
        <v>0.28675336766460097</v>
      </c>
      <c r="P47" s="45">
        <f t="shared" si="64"/>
        <v>0.35502802422901952</v>
      </c>
      <c r="Q47" s="45">
        <f t="shared" si="64"/>
        <v>0.29504155212538236</v>
      </c>
      <c r="R47" s="45">
        <f t="shared" si="64"/>
        <v>0.27386963117259494</v>
      </c>
      <c r="S47" s="45">
        <f t="shared" si="64"/>
        <v>0.26639625536902661</v>
      </c>
      <c r="T47" s="45">
        <f>CHOOSE(Dashboard!$D$22,T49,T50,T51)</f>
        <v>0.27133000000000002</v>
      </c>
      <c r="U47" s="45">
        <f>CHOOSE(Dashboard!$D$22,U49,U50,U51)</f>
        <v>0.32700000000000001</v>
      </c>
      <c r="V47" s="45">
        <f>V46/V5</f>
        <v>0.28737297734467954</v>
      </c>
      <c r="W47" s="45">
        <f>CHOOSE(Dashboard!$D$22,W49,W50,W51)</f>
        <v>0.31</v>
      </c>
      <c r="X47" s="45">
        <f>CHOOSE(Dashboard!$D$22,X49,X50,X51)</f>
        <v>0.315</v>
      </c>
      <c r="Y47" s="45">
        <f>CHOOSE(Dashboard!$D$22,Y49,Y50,Y51)</f>
        <v>0.32</v>
      </c>
    </row>
    <row r="48" spans="1:26" x14ac:dyDescent="0.25">
      <c r="B48" s="103" t="s">
        <v>154</v>
      </c>
      <c r="C48" s="63"/>
      <c r="D48" s="63"/>
      <c r="E48" s="63"/>
      <c r="F48" s="63"/>
      <c r="G48" s="63"/>
      <c r="H48" s="63"/>
      <c r="I48" s="63"/>
      <c r="J48" s="63"/>
      <c r="K48" s="63"/>
      <c r="L48" s="63"/>
      <c r="M48" s="63"/>
      <c r="N48" s="63"/>
      <c r="O48" s="63"/>
      <c r="P48" s="63"/>
      <c r="Q48" s="63"/>
      <c r="R48" s="63"/>
      <c r="S48" s="63"/>
      <c r="T48" s="105"/>
      <c r="U48" s="63"/>
      <c r="V48" s="102" t="s">
        <v>155</v>
      </c>
    </row>
    <row r="49" spans="2:26" x14ac:dyDescent="0.25">
      <c r="B49" s="44" t="s">
        <v>131</v>
      </c>
      <c r="T49" s="59">
        <f>T50+0.02</f>
        <v>0.29133000000000003</v>
      </c>
      <c r="U49" s="59">
        <f>U50+0.02</f>
        <v>0.34700000000000003</v>
      </c>
      <c r="V49" s="63"/>
      <c r="W49" s="59">
        <v>0.32</v>
      </c>
      <c r="X49" s="59">
        <v>0.32</v>
      </c>
      <c r="Y49" s="59">
        <v>0.32</v>
      </c>
      <c r="Z49" s="63"/>
    </row>
    <row r="50" spans="2:26" x14ac:dyDescent="0.25">
      <c r="B50" s="44" t="s">
        <v>133</v>
      </c>
      <c r="T50" s="59">
        <v>0.27133000000000002</v>
      </c>
      <c r="U50" s="59">
        <v>0.32700000000000001</v>
      </c>
      <c r="V50" s="63"/>
      <c r="W50" s="59">
        <v>0.31</v>
      </c>
      <c r="X50" s="59">
        <v>0.315</v>
      </c>
      <c r="Y50" s="59">
        <v>0.32</v>
      </c>
      <c r="Z50" s="63" t="s">
        <v>156</v>
      </c>
    </row>
    <row r="51" spans="2:26" x14ac:dyDescent="0.25">
      <c r="B51" s="44" t="s">
        <v>135</v>
      </c>
      <c r="T51" s="59">
        <f>T50-0.02</f>
        <v>0.25133</v>
      </c>
      <c r="U51" s="59">
        <f>U50-0.02</f>
        <v>0.307</v>
      </c>
      <c r="W51" s="59">
        <v>0.28000000000000003</v>
      </c>
      <c r="X51" s="59">
        <v>0.28000000000000003</v>
      </c>
      <c r="Y51" s="59">
        <v>0.28000000000000003</v>
      </c>
      <c r="Z51" s="63"/>
    </row>
    <row r="52" spans="2:26" x14ac:dyDescent="0.25">
      <c r="W52" s="45"/>
      <c r="X52" s="45"/>
      <c r="Y52" s="45"/>
    </row>
    <row r="53" spans="2:26" s="43" customFormat="1" x14ac:dyDescent="0.25">
      <c r="B53" s="29" t="s">
        <v>157</v>
      </c>
      <c r="C53" s="43">
        <f>'Three Statement Model'!C26</f>
        <v>1808</v>
      </c>
      <c r="D53" s="43">
        <f>'Three Statement Model'!D26</f>
        <v>1744</v>
      </c>
      <c r="E53" s="43">
        <f>'Three Statement Model'!E26</f>
        <v>1716</v>
      </c>
      <c r="F53" s="43">
        <f>'Three Statement Model'!F26</f>
        <v>1994</v>
      </c>
      <c r="G53" s="40">
        <f>SUM(C53:F53)</f>
        <v>7262</v>
      </c>
      <c r="H53" s="43">
        <f>'Three Statement Model'!H26</f>
        <v>1673</v>
      </c>
      <c r="I53" s="43">
        <f>'Three Statement Model'!I26</f>
        <v>1869</v>
      </c>
      <c r="J53" s="43">
        <f>'Three Statement Model'!J26</f>
        <v>2133</v>
      </c>
      <c r="K53" s="43">
        <f>'Three Statement Model'!K26</f>
        <v>1875</v>
      </c>
      <c r="L53" s="40">
        <f>SUM(H53:K53)</f>
        <v>7550</v>
      </c>
      <c r="M53" s="43">
        <f>'Three Statement Model'!M26</f>
        <v>1799</v>
      </c>
      <c r="N53" s="43">
        <f>'Three Statement Model'!N26</f>
        <v>1724</v>
      </c>
      <c r="O53" s="43">
        <f>'Three Statement Model'!O26</f>
        <v>1969</v>
      </c>
      <c r="P53" s="43">
        <f>'Three Statement Model'!P26</f>
        <v>1774</v>
      </c>
      <c r="Q53" s="40">
        <f>SUM(M53:P53)</f>
        <v>7266</v>
      </c>
      <c r="R53" s="43">
        <f>'Three Statement Model'!R26</f>
        <v>2515</v>
      </c>
      <c r="S53" s="43">
        <f>'Three Statement Model'!S26</f>
        <v>2221</v>
      </c>
      <c r="T53" s="40">
        <f>T5*T54</f>
        <v>2740.9346862449975</v>
      </c>
      <c r="U53" s="40">
        <f>U5*U54</f>
        <v>3084.6034620058931</v>
      </c>
      <c r="V53" s="40">
        <f>SUM(R53:U53)</f>
        <v>10561.538148250891</v>
      </c>
      <c r="W53" s="40">
        <f>W5*W54</f>
        <v>10697.776244552404</v>
      </c>
      <c r="X53" s="40">
        <f>X5*X54</f>
        <v>11246.929889032526</v>
      </c>
      <c r="Y53" s="40">
        <f>Y5*Y54</f>
        <v>11822.054852856265</v>
      </c>
    </row>
    <row r="54" spans="2:26" x14ac:dyDescent="0.25">
      <c r="B54" s="36" t="s">
        <v>158</v>
      </c>
      <c r="C54" s="45">
        <f t="shared" ref="C54:S54" si="65">C53/C5</f>
        <v>6.5839065726177948E-3</v>
      </c>
      <c r="D54" s="45">
        <f t="shared" si="65"/>
        <v>7.5668499082345896E-3</v>
      </c>
      <c r="E54" s="45">
        <f t="shared" si="65"/>
        <v>9.6546602302265139E-3</v>
      </c>
      <c r="F54" s="45">
        <f t="shared" si="65"/>
        <v>1.0998345284059569E-2</v>
      </c>
      <c r="G54" s="45">
        <f t="shared" si="65"/>
        <v>8.4038670286509139E-3</v>
      </c>
      <c r="H54" s="45">
        <f t="shared" si="65"/>
        <v>1.9823684148162192E-2</v>
      </c>
      <c r="I54" s="45">
        <f t="shared" si="65"/>
        <v>1.5441814351220721E-2</v>
      </c>
      <c r="J54" s="45">
        <f t="shared" si="65"/>
        <v>1.6530270622151958E-2</v>
      </c>
      <c r="K54" s="45">
        <f t="shared" si="65"/>
        <v>1.2942906251941435E-2</v>
      </c>
      <c r="L54" s="45">
        <f t="shared" si="65"/>
        <v>1.5751086929309956E-2</v>
      </c>
      <c r="M54" s="45">
        <f t="shared" si="65"/>
        <v>1.5747135491890094E-2</v>
      </c>
      <c r="N54" s="45">
        <f t="shared" si="65"/>
        <v>1.3796635669584981E-2</v>
      </c>
      <c r="O54" s="45">
        <f t="shared" si="65"/>
        <v>1.4321666521195193E-2</v>
      </c>
      <c r="P54" s="45">
        <f t="shared" si="65"/>
        <v>1.1146857013597406E-2</v>
      </c>
      <c r="Q54" s="45">
        <f t="shared" si="65"/>
        <v>1.3560195060774532E-2</v>
      </c>
      <c r="R54" s="45">
        <f t="shared" si="65"/>
        <v>2.8471483234088799E-2</v>
      </c>
      <c r="S54" s="45">
        <f t="shared" si="65"/>
        <v>1.7126905667070227E-2</v>
      </c>
      <c r="T54" s="45">
        <f>CHOOSE(Dashboard!$D$22,T55,T56,T57)</f>
        <v>0.02</v>
      </c>
      <c r="U54" s="45">
        <f>CHOOSE(Dashboard!$D$22,U55,U56,U57)</f>
        <v>0.02</v>
      </c>
      <c r="V54" s="45">
        <f>V53/V5</f>
        <v>2.0737772326785253E-2</v>
      </c>
      <c r="W54" s="45">
        <f>CHOOSE(Dashboard!$D$22,W55,W56,W57)</f>
        <v>0.02</v>
      </c>
      <c r="X54" s="45">
        <f>CHOOSE(Dashboard!$D$22,X55,X56,X57)</f>
        <v>0.02</v>
      </c>
      <c r="Y54" s="45">
        <f>CHOOSE(Dashboard!$D$22,Y55,Y56,Y57)</f>
        <v>0.02</v>
      </c>
    </row>
    <row r="55" spans="2:26" x14ac:dyDescent="0.25">
      <c r="B55" s="44" t="s">
        <v>131</v>
      </c>
      <c r="T55" s="59">
        <v>2.5000000000000001E-2</v>
      </c>
      <c r="U55" s="59">
        <v>2.5000000000000001E-2</v>
      </c>
      <c r="W55" s="59">
        <v>1.4999999999999999E-2</v>
      </c>
      <c r="X55" s="59">
        <v>1.4999999999999999E-2</v>
      </c>
      <c r="Y55" s="59">
        <v>1.4999999999999999E-2</v>
      </c>
    </row>
    <row r="56" spans="2:26" x14ac:dyDescent="0.25">
      <c r="B56" s="44" t="s">
        <v>133</v>
      </c>
      <c r="T56" s="59">
        <v>0.02</v>
      </c>
      <c r="U56" s="59">
        <v>0.02</v>
      </c>
      <c r="W56" s="59">
        <v>0.02</v>
      </c>
      <c r="X56" s="59">
        <v>0.02</v>
      </c>
      <c r="Y56" s="59">
        <v>0.02</v>
      </c>
      <c r="Z56" s="63"/>
    </row>
    <row r="57" spans="2:26" x14ac:dyDescent="0.25">
      <c r="B57" s="44" t="s">
        <v>135</v>
      </c>
      <c r="T57" s="59">
        <v>1.4999999999999999E-2</v>
      </c>
      <c r="U57" s="59">
        <v>1.4999999999999999E-2</v>
      </c>
      <c r="W57" s="59">
        <v>2.5000000000000001E-2</v>
      </c>
      <c r="X57" s="59">
        <v>2.5000000000000001E-2</v>
      </c>
      <c r="Y57" s="59">
        <v>2.5000000000000001E-2</v>
      </c>
      <c r="Z57" s="63"/>
    </row>
    <row r="58" spans="2:26" s="43" customFormat="1" x14ac:dyDescent="0.25">
      <c r="B58" s="29" t="s">
        <v>159</v>
      </c>
      <c r="C58" s="43">
        <f>'Three Statement Model'!C27</f>
        <v>10634</v>
      </c>
      <c r="D58" s="43">
        <f>'Three Statement Model'!D27</f>
        <v>11423</v>
      </c>
      <c r="E58" s="43">
        <f>'Three Statement Model'!E27</f>
        <v>11518</v>
      </c>
      <c r="F58" s="43">
        <f>'Three Statement Model'!F27</f>
        <v>9581</v>
      </c>
      <c r="G58" s="40">
        <f>SUM(C58:F58)</f>
        <v>43156</v>
      </c>
      <c r="H58" s="43">
        <f>'Three Statement Model'!H27</f>
        <v>8027</v>
      </c>
      <c r="I58" s="43">
        <f>'Three Statement Model'!I27</f>
        <v>9431</v>
      </c>
      <c r="J58" s="43">
        <f>'Three Statement Model'!J27</f>
        <v>9996</v>
      </c>
      <c r="K58" s="43">
        <f>'Three Statement Model'!K27</f>
        <v>9522</v>
      </c>
      <c r="L58" s="40">
        <f>SUM(H58:K58)</f>
        <v>36976</v>
      </c>
      <c r="M58" s="43">
        <f>'Three Statement Model'!M27</f>
        <v>10040</v>
      </c>
      <c r="N58" s="43">
        <f>'Three Statement Model'!N27</f>
        <v>10952</v>
      </c>
      <c r="O58" s="43">
        <f>'Three Statement Model'!O27</f>
        <v>10108</v>
      </c>
      <c r="P58" s="43">
        <f>'Three Statement Model'!P27</f>
        <v>9464</v>
      </c>
      <c r="Q58" s="40">
        <f>SUM(M58:P58)</f>
        <v>40564</v>
      </c>
      <c r="R58" s="43">
        <f>'Three Statement Model'!R27</f>
        <v>9837</v>
      </c>
      <c r="S58" s="43">
        <f>'Three Statement Model'!S27</f>
        <v>9574</v>
      </c>
      <c r="T58" s="40">
        <f>(1+T59)*O58</f>
        <v>10372.829599999999</v>
      </c>
      <c r="U58" s="40">
        <f>(1+U59)*P58</f>
        <v>9711.9567999999999</v>
      </c>
      <c r="V58" s="40">
        <f>SUM(R58:U58)</f>
        <v>39495.786399999997</v>
      </c>
      <c r="W58" s="40">
        <f>(1+W59)*V58</f>
        <v>40530.576003679998</v>
      </c>
      <c r="X58" s="40">
        <f>(1+X59)*W58</f>
        <v>41592.477094976413</v>
      </c>
      <c r="Y58" s="40">
        <f>(1+Y59)*X58</f>
        <v>42682.199994864794</v>
      </c>
    </row>
    <row r="59" spans="2:26" x14ac:dyDescent="0.25">
      <c r="B59" s="36" t="s">
        <v>123</v>
      </c>
      <c r="C59" s="45"/>
      <c r="D59" s="45"/>
      <c r="E59" s="45"/>
      <c r="F59" s="45"/>
      <c r="G59" s="45"/>
      <c r="H59" s="45">
        <f t="shared" ref="H59:S59" si="66">H58/C58-1</f>
        <v>-0.245157043445552</v>
      </c>
      <c r="I59" s="45">
        <f t="shared" si="66"/>
        <v>-0.17438501269368822</v>
      </c>
      <c r="J59" s="45">
        <f t="shared" si="66"/>
        <v>-0.13214099670081614</v>
      </c>
      <c r="K59" s="45">
        <f t="shared" si="66"/>
        <v>-6.1580210833942495E-3</v>
      </c>
      <c r="L59" s="45">
        <f t="shared" si="66"/>
        <v>-0.14320140884233945</v>
      </c>
      <c r="M59" s="45">
        <f t="shared" si="66"/>
        <v>0.25077862215024282</v>
      </c>
      <c r="N59" s="45">
        <f t="shared" si="66"/>
        <v>0.16127664086523175</v>
      </c>
      <c r="O59" s="45">
        <f t="shared" si="66"/>
        <v>1.1204481792717047E-2</v>
      </c>
      <c r="P59" s="45">
        <f t="shared" si="66"/>
        <v>-6.0911573198907387E-3</v>
      </c>
      <c r="Q59" s="45">
        <f t="shared" si="66"/>
        <v>9.7035915188230293E-2</v>
      </c>
      <c r="R59" s="45">
        <f t="shared" si="66"/>
        <v>-2.02191235059761E-2</v>
      </c>
      <c r="S59" s="45">
        <f t="shared" si="66"/>
        <v>-0.1258217677136596</v>
      </c>
      <c r="T59" s="45">
        <f>CHOOSE(Dashboard!$D$22,T60,T61,T62)</f>
        <v>2.6200000000000001E-2</v>
      </c>
      <c r="U59" s="45">
        <f>CHOOSE(Dashboard!$D$22,U60,U61,U62)</f>
        <v>2.6200000000000001E-2</v>
      </c>
      <c r="V59" s="45">
        <f>V58/V5</f>
        <v>7.7550695242831272E-2</v>
      </c>
      <c r="W59" s="45">
        <f>CHOOSE(Dashboard!$D$22,W60,W61,W62)</f>
        <v>2.6200000000000001E-2</v>
      </c>
      <c r="X59" s="45">
        <f>CHOOSE(Dashboard!$D$22,X60,X61,X62)</f>
        <v>2.6200000000000001E-2</v>
      </c>
      <c r="Y59" s="45">
        <f>CHOOSE(Dashboard!$D$22,Y60,Y61,Y62)</f>
        <v>2.6200000000000001E-2</v>
      </c>
    </row>
    <row r="60" spans="2:26" x14ac:dyDescent="0.25">
      <c r="B60" s="44" t="s">
        <v>131</v>
      </c>
      <c r="T60" s="59">
        <f>T61+0.01</f>
        <v>3.6200000000000003E-2</v>
      </c>
      <c r="U60" s="59">
        <f>U61+0.01</f>
        <v>3.6200000000000003E-2</v>
      </c>
      <c r="W60" s="59">
        <f>W61+0.01</f>
        <v>3.6200000000000003E-2</v>
      </c>
      <c r="X60" s="59">
        <f>X61+0.01</f>
        <v>3.6200000000000003E-2</v>
      </c>
      <c r="Y60" s="59">
        <f>Y61+0.01</f>
        <v>3.6200000000000003E-2</v>
      </c>
      <c r="Z60" s="63"/>
    </row>
    <row r="61" spans="2:26" x14ac:dyDescent="0.25">
      <c r="B61" s="44" t="s">
        <v>133</v>
      </c>
      <c r="T61" s="59">
        <v>2.6200000000000001E-2</v>
      </c>
      <c r="U61" s="59">
        <v>2.6200000000000001E-2</v>
      </c>
      <c r="W61" s="59">
        <v>2.6200000000000001E-2</v>
      </c>
      <c r="X61" s="59">
        <v>2.6200000000000001E-2</v>
      </c>
      <c r="Y61" s="59">
        <v>2.6200000000000001E-2</v>
      </c>
      <c r="Z61" s="63" t="s">
        <v>145</v>
      </c>
    </row>
    <row r="62" spans="2:26" x14ac:dyDescent="0.25">
      <c r="B62" s="44" t="s">
        <v>135</v>
      </c>
      <c r="T62" s="59">
        <v>2.6200000000000001E-2</v>
      </c>
      <c r="U62" s="59">
        <v>2.6200000000000001E-2</v>
      </c>
      <c r="W62" s="59">
        <v>2.6200000000000001E-2</v>
      </c>
      <c r="X62" s="59">
        <v>2.6200000000000001E-2</v>
      </c>
      <c r="Y62" s="59">
        <v>2.6200000000000001E-2</v>
      </c>
    </row>
    <row r="63" spans="2:26" s="43" customFormat="1" x14ac:dyDescent="0.25">
      <c r="B63" s="29" t="s">
        <v>160</v>
      </c>
      <c r="C63" s="43">
        <f>'Three Statement Model'!C28</f>
        <v>17614</v>
      </c>
      <c r="D63" s="43">
        <f>'Three Statement Model'!D28</f>
        <v>23436</v>
      </c>
      <c r="E63" s="43">
        <f>'Three Statement Model'!E28</f>
        <v>17443</v>
      </c>
      <c r="F63" s="43">
        <f>'Three Statement Model'!F28</f>
        <v>14000</v>
      </c>
      <c r="G63" s="40">
        <f>SUM(C63:F63)</f>
        <v>72493</v>
      </c>
      <c r="H63" s="43">
        <f>'Three Statement Model'!H28</f>
        <v>17854</v>
      </c>
      <c r="I63" s="43">
        <f>'Three Statement Model'!I28</f>
        <v>15435</v>
      </c>
      <c r="J63" s="43">
        <f>'Three Statement Model'!J28</f>
        <v>15576</v>
      </c>
      <c r="K63" s="43">
        <f>'Three Statement Model'!K28</f>
        <v>12739</v>
      </c>
      <c r="L63" s="40">
        <f>SUM(H63:K63)</f>
        <v>61604</v>
      </c>
      <c r="M63" s="43">
        <f>'Three Statement Model'!M28</f>
        <v>14213</v>
      </c>
      <c r="N63" s="43">
        <f>'Three Statement Model'!N28</f>
        <v>15322</v>
      </c>
      <c r="O63" s="43">
        <f>'Three Statement Model'!O28</f>
        <v>16065</v>
      </c>
      <c r="P63" s="43">
        <f>'Three Statement Model'!P28</f>
        <v>19884</v>
      </c>
      <c r="Q63" s="40">
        <f>SUM(M63:P63)</f>
        <v>65484</v>
      </c>
      <c r="R63" s="43">
        <f>'Three Statement Model'!R28</f>
        <v>13702</v>
      </c>
      <c r="S63" s="43">
        <f>'Three Statement Model'!S28</f>
        <v>15779</v>
      </c>
      <c r="T63" s="40">
        <f>T5*T64</f>
        <v>16445.608117469983</v>
      </c>
      <c r="U63" s="40">
        <f>U5*U64</f>
        <v>18507.62077203536</v>
      </c>
      <c r="V63" s="40">
        <f>SUM(R63:U63)</f>
        <v>64434.228889505335</v>
      </c>
      <c r="W63" s="40">
        <f>W5*W64</f>
        <v>64186.657467314421</v>
      </c>
      <c r="X63" s="40">
        <f>X5*X64</f>
        <v>67481.57933419515</v>
      </c>
      <c r="Y63" s="40">
        <f>Y5*Y64</f>
        <v>70932.329117137589</v>
      </c>
    </row>
    <row r="64" spans="2:26" x14ac:dyDescent="0.25">
      <c r="B64" s="36" t="s">
        <v>158</v>
      </c>
      <c r="C64" s="45">
        <f t="shared" ref="C64:S64" si="67">C63/C5</f>
        <v>6.4142107505580664E-2</v>
      </c>
      <c r="D64" s="45">
        <f t="shared" si="67"/>
        <v>0.1016838844319873</v>
      </c>
      <c r="E64" s="45">
        <f t="shared" si="67"/>
        <v>9.8138833564009945E-2</v>
      </c>
      <c r="F64" s="45">
        <f t="shared" si="67"/>
        <v>7.7220077220077218E-2</v>
      </c>
      <c r="G64" s="45">
        <f t="shared" si="67"/>
        <v>8.3891700978792449E-2</v>
      </c>
      <c r="H64" s="45">
        <f t="shared" si="67"/>
        <v>0.21155532383818754</v>
      </c>
      <c r="I64" s="45">
        <f t="shared" si="67"/>
        <v>0.12752509604659809</v>
      </c>
      <c r="J64" s="45">
        <f t="shared" si="67"/>
        <v>0.12071049939551753</v>
      </c>
      <c r="K64" s="45">
        <f t="shared" si="67"/>
        <v>8.7935830796523715E-2</v>
      </c>
      <c r="L64" s="45">
        <f t="shared" si="67"/>
        <v>0.12852052439645173</v>
      </c>
      <c r="M64" s="45">
        <f t="shared" si="67"/>
        <v>0.12441024833031346</v>
      </c>
      <c r="N64" s="45">
        <f t="shared" si="67"/>
        <v>0.12261719937899133</v>
      </c>
      <c r="O64" s="45">
        <f t="shared" si="67"/>
        <v>0.11684996072270228</v>
      </c>
      <c r="P64" s="45">
        <f t="shared" si="67"/>
        <v>0.12494030713549652</v>
      </c>
      <c r="Q64" s="45">
        <f t="shared" si="67"/>
        <v>0.12220971832641886</v>
      </c>
      <c r="R64" s="45">
        <f t="shared" si="67"/>
        <v>0.1551158104467136</v>
      </c>
      <c r="S64" s="45">
        <f t="shared" si="67"/>
        <v>0.12167737258923958</v>
      </c>
      <c r="T64" s="45">
        <f>CHOOSE(Dashboard!$D$22,T65,T66,T67)</f>
        <v>0.12</v>
      </c>
      <c r="U64" s="45">
        <f>CHOOSE(Dashboard!$D$22,U65,U66,U67)</f>
        <v>0.12</v>
      </c>
      <c r="V64" s="45">
        <f>V63/V5</f>
        <v>0.12651778083894191</v>
      </c>
      <c r="W64" s="45">
        <f>CHOOSE(Dashboard!$D$22,W65,W66,W67)</f>
        <v>0.12</v>
      </c>
      <c r="X64" s="45">
        <f>CHOOSE(Dashboard!$D$22,X65,X66,X67)</f>
        <v>0.12</v>
      </c>
      <c r="Y64" s="45">
        <f>CHOOSE(Dashboard!$D$22,Y65,Y66,Y67)</f>
        <v>0.12</v>
      </c>
    </row>
    <row r="65" spans="2:26" x14ac:dyDescent="0.25">
      <c r="B65" s="44" t="s">
        <v>131</v>
      </c>
      <c r="T65" s="59">
        <v>0.12</v>
      </c>
      <c r="U65" s="59">
        <v>0.12</v>
      </c>
      <c r="W65" s="59">
        <v>0.12</v>
      </c>
      <c r="X65" s="59">
        <v>0.12</v>
      </c>
      <c r="Y65" s="59">
        <v>0.12</v>
      </c>
    </row>
    <row r="66" spans="2:26" x14ac:dyDescent="0.25">
      <c r="B66" s="44" t="s">
        <v>133</v>
      </c>
      <c r="T66" s="59">
        <v>0.12</v>
      </c>
      <c r="U66" s="59">
        <v>0.12</v>
      </c>
      <c r="W66" s="59">
        <v>0.12</v>
      </c>
      <c r="X66" s="59">
        <v>0.12</v>
      </c>
      <c r="Y66" s="59">
        <v>0.12</v>
      </c>
      <c r="Z66" s="63"/>
    </row>
    <row r="67" spans="2:26" x14ac:dyDescent="0.25">
      <c r="B67" s="44" t="s">
        <v>135</v>
      </c>
      <c r="T67" s="59">
        <v>0.14000000000000001</v>
      </c>
      <c r="U67" s="59">
        <v>0.14000000000000001</v>
      </c>
      <c r="W67" s="59">
        <v>0.14000000000000001</v>
      </c>
      <c r="X67" s="59">
        <v>0.14000000000000001</v>
      </c>
      <c r="Y67" s="59">
        <v>0.14000000000000001</v>
      </c>
      <c r="Z67" s="63"/>
    </row>
    <row r="69" spans="2:26" x14ac:dyDescent="0.25">
      <c r="B69" s="46" t="s">
        <v>161</v>
      </c>
      <c r="C69" s="48">
        <f>C53+C58+C63</f>
        <v>30056</v>
      </c>
      <c r="D69" s="48">
        <f>D53+D58+D63</f>
        <v>36603</v>
      </c>
      <c r="E69" s="48">
        <f>E53+E58+E63</f>
        <v>30677</v>
      </c>
      <c r="F69" s="48">
        <f>F53+F58+F63</f>
        <v>25575</v>
      </c>
      <c r="G69" s="48">
        <f>SUM(C69:F69)</f>
        <v>122911</v>
      </c>
      <c r="H69" s="48">
        <f>H53+H58+H63</f>
        <v>27554</v>
      </c>
      <c r="I69" s="48">
        <f>I53+I58+I63</f>
        <v>26735</v>
      </c>
      <c r="J69" s="48">
        <f>J53+J58+J63</f>
        <v>27705</v>
      </c>
      <c r="K69" s="48">
        <f>K53+K58+K63</f>
        <v>24136</v>
      </c>
      <c r="L69" s="48">
        <f>SUM(H69:K69)</f>
        <v>106130</v>
      </c>
      <c r="M69" s="48">
        <f>M53+M58+M63</f>
        <v>26052</v>
      </c>
      <c r="N69" s="48">
        <f>N53+N58+N63</f>
        <v>27998</v>
      </c>
      <c r="O69" s="48">
        <f>O53+O58+O63</f>
        <v>28142</v>
      </c>
      <c r="P69" s="48">
        <f>P53+P58+P63</f>
        <v>31122</v>
      </c>
      <c r="Q69" s="48">
        <f>SUM(M69:P69)</f>
        <v>113314</v>
      </c>
      <c r="R69" s="48">
        <f t="shared" ref="R69:Y69" si="68">R53+R58+R63</f>
        <v>26054</v>
      </c>
      <c r="S69" s="48">
        <f t="shared" si="68"/>
        <v>27574</v>
      </c>
      <c r="T69" s="48">
        <f t="shared" si="68"/>
        <v>29559.37240371498</v>
      </c>
      <c r="U69" s="48">
        <f t="shared" si="68"/>
        <v>31304.181034041252</v>
      </c>
      <c r="V69" s="48">
        <f t="shared" si="68"/>
        <v>114491.55343775623</v>
      </c>
      <c r="W69" s="48">
        <f t="shared" si="68"/>
        <v>115415.00971554682</v>
      </c>
      <c r="X69" s="48">
        <f>X53+X58+X63</f>
        <v>120320.98631820409</v>
      </c>
      <c r="Y69" s="48">
        <f t="shared" si="68"/>
        <v>125436.58396485864</v>
      </c>
      <c r="Z69" s="46"/>
    </row>
    <row r="70" spans="2:26" x14ac:dyDescent="0.25">
      <c r="B70" s="36" t="s">
        <v>123</v>
      </c>
      <c r="G70" s="45"/>
      <c r="H70" s="45">
        <f t="shared" ref="H70:V70" si="69">H69/C69-1</f>
        <v>-8.3244610061219082E-2</v>
      </c>
      <c r="I70" s="45">
        <f t="shared" si="69"/>
        <v>-0.26959538835614572</v>
      </c>
      <c r="J70" s="45">
        <f t="shared" si="69"/>
        <v>-9.6880398995990435E-2</v>
      </c>
      <c r="K70" s="45">
        <f t="shared" si="69"/>
        <v>-5.6265884652981435E-2</v>
      </c>
      <c r="L70" s="45">
        <f t="shared" si="69"/>
        <v>-0.13652968408035082</v>
      </c>
      <c r="M70" s="45">
        <f t="shared" si="69"/>
        <v>-5.4511141758002424E-2</v>
      </c>
      <c r="N70" s="45">
        <f t="shared" si="69"/>
        <v>4.724144380026174E-2</v>
      </c>
      <c r="O70" s="45">
        <f t="shared" si="69"/>
        <v>1.5773326114419728E-2</v>
      </c>
      <c r="P70" s="45">
        <f t="shared" si="69"/>
        <v>0.28944315545243615</v>
      </c>
      <c r="Q70" s="45">
        <f t="shared" si="69"/>
        <v>6.7690568171110854E-2</v>
      </c>
      <c r="R70" s="45">
        <f t="shared" si="69"/>
        <v>7.6769537847409808E-5</v>
      </c>
      <c r="S70" s="45">
        <f t="shared" si="69"/>
        <v>-1.5143938852775207E-2</v>
      </c>
      <c r="T70" s="45">
        <f t="shared" si="69"/>
        <v>5.0365020386432313E-2</v>
      </c>
      <c r="U70" s="45">
        <f t="shared" si="69"/>
        <v>5.8537701317797897E-3</v>
      </c>
      <c r="V70" s="45">
        <f t="shared" si="69"/>
        <v>1.0391950136401817E-2</v>
      </c>
      <c r="W70" s="45">
        <f>W69/V69-1</f>
        <v>8.0657153306302742E-3</v>
      </c>
      <c r="X70" s="45">
        <f>X69/W69-1</f>
        <v>4.2507266730285709E-2</v>
      </c>
      <c r="Y70" s="45">
        <f>Y69/X69-1</f>
        <v>4.2516254256142139E-2</v>
      </c>
      <c r="Z70" s="63"/>
    </row>
    <row r="71" spans="2:26" x14ac:dyDescent="0.25">
      <c r="B71" s="103" t="s">
        <v>124</v>
      </c>
      <c r="C71" s="63"/>
      <c r="D71" s="63"/>
      <c r="E71" s="63"/>
      <c r="F71" s="63"/>
      <c r="G71" s="63"/>
      <c r="H71" s="63"/>
      <c r="I71" s="63"/>
      <c r="J71" s="63"/>
      <c r="K71" s="63"/>
      <c r="L71" s="63"/>
      <c r="M71" s="63"/>
      <c r="N71" s="63"/>
      <c r="O71" s="63"/>
      <c r="P71" s="63"/>
      <c r="Q71" s="63"/>
      <c r="R71" s="63"/>
      <c r="S71" s="63"/>
      <c r="T71" s="102" t="s">
        <v>162</v>
      </c>
      <c r="U71" s="63"/>
      <c r="V71" s="105"/>
    </row>
    <row r="73" spans="2:26" s="40" customFormat="1" x14ac:dyDescent="0.25">
      <c r="B73" t="s">
        <v>163</v>
      </c>
      <c r="C73" s="43"/>
      <c r="D73" s="43">
        <f>('Three Statement Model'!C68+'Three Statement Model'!C69)</f>
        <v>38509</v>
      </c>
      <c r="E73" s="43">
        <f>('Three Statement Model'!D68+'Three Statement Model'!D69)</f>
        <v>38228</v>
      </c>
      <c r="F73" s="43">
        <f>('Three Statement Model'!E68+'Three Statement Model'!E69)</f>
        <v>37930</v>
      </c>
      <c r="G73" s="43"/>
      <c r="H73" s="43">
        <f>('Three Statement Model'!G68+'Three Statement Model'!G69)</f>
        <v>37628</v>
      </c>
      <c r="I73" s="43">
        <f>('Three Statement Model'!H68+'Three Statement Model'!H69)</f>
        <v>37323</v>
      </c>
      <c r="J73" s="43">
        <f>('Three Statement Model'!I68+'Three Statement Model'!I69)</f>
        <v>37013</v>
      </c>
      <c r="K73" s="43">
        <f>('Three Statement Model'!J68+'Three Statement Model'!J69)</f>
        <v>61456</v>
      </c>
      <c r="L73" s="43">
        <f>('Three Statement Model'!G68+'Three Statement Model'!G69)</f>
        <v>37628</v>
      </c>
      <c r="M73" s="43">
        <f>('Three Statement Model'!L68+'Three Statement Model'!L69)</f>
        <v>61751</v>
      </c>
      <c r="N73" s="43">
        <f>('Three Statement Model'!M68+'Three Statement Model'!M69)</f>
        <v>61404</v>
      </c>
      <c r="O73" s="43">
        <f>('Three Statement Model'!N68+'Three Statement Model'!N69)</f>
        <v>101045</v>
      </c>
      <c r="P73" s="43">
        <f>('Three Statement Model'!O68+'Three Statement Model'!O69)</f>
        <v>100667</v>
      </c>
      <c r="Q73" s="43">
        <f>('Three Statement Model'!L68+'Three Statement Model'!L69)</f>
        <v>61751</v>
      </c>
      <c r="R73" s="43">
        <f>('Three Statement Model'!Q68+'Three Statement Model'!Q69)</f>
        <v>75284</v>
      </c>
      <c r="S73" s="43">
        <f>('Three Statement Model'!R68+'Three Statement Model'!R69)</f>
        <v>104897</v>
      </c>
      <c r="T73" s="43">
        <f>('Three Statement Model'!S68+'Three Statement Model'!S69)</f>
        <v>133572</v>
      </c>
      <c r="U73" s="43">
        <f>('Three Statement Model'!T68+'Three Statement Model'!T69)</f>
        <v>118527</v>
      </c>
      <c r="V73" s="43">
        <f>('Three Statement Model'!Q68+'Three Statement Model'!Q69)</f>
        <v>75284</v>
      </c>
      <c r="W73" s="43">
        <f ca="1">('Three Statement Model'!V68+'Three Statement Model'!V69)</f>
        <v>98482</v>
      </c>
      <c r="X73" s="43">
        <f ca="1">('Three Statement Model'!W68+'Three Statement Model'!W69)</f>
        <v>88302</v>
      </c>
      <c r="Y73" s="43">
        <f ca="1">('Three Statement Model'!X68+'Three Statement Model'!X69)</f>
        <v>80622</v>
      </c>
    </row>
    <row r="74" spans="2:26" s="40" customFormat="1" x14ac:dyDescent="0.25">
      <c r="B74" t="s">
        <v>164</v>
      </c>
      <c r="C74" s="43"/>
      <c r="D74" s="43">
        <f>'Three Statement Model'!D35</f>
        <v>-466</v>
      </c>
      <c r="E74" s="43">
        <f>'Three Statement Model'!E35</f>
        <v>-594</v>
      </c>
      <c r="F74" s="43">
        <f>'Three Statement Model'!F35</f>
        <v>-531</v>
      </c>
      <c r="G74" s="43"/>
      <c r="H74" s="43">
        <f>'Three Statement Model'!H35</f>
        <v>-433</v>
      </c>
      <c r="I74" s="43">
        <f>'Three Statement Model'!I35</f>
        <v>-420</v>
      </c>
      <c r="J74" s="43">
        <f>'Three Statement Model'!J35</f>
        <v>-508</v>
      </c>
      <c r="K74" s="43">
        <f>'Three Statement Model'!K35</f>
        <v>1030</v>
      </c>
      <c r="L74" s="43">
        <f>'Three Statement Model'!L35</f>
        <v>-331</v>
      </c>
      <c r="M74" s="43">
        <f>'Three Statement Model'!M35</f>
        <v>153</v>
      </c>
      <c r="N74" s="43">
        <f>'Three Statement Model'!N35</f>
        <v>-646</v>
      </c>
      <c r="O74" s="43">
        <f>'Three Statement Model'!O35</f>
        <v>-955</v>
      </c>
      <c r="P74" s="43">
        <f>'Three Statement Model'!P35</f>
        <v>-607</v>
      </c>
      <c r="Q74" s="43">
        <f>'Three Statement Model'!Q35</f>
        <v>-2055</v>
      </c>
      <c r="R74" s="43">
        <f>'Three Statement Model'!R35</f>
        <v>-732</v>
      </c>
      <c r="S74" s="43">
        <f>'Three Statement Model'!S35</f>
        <v>-1419</v>
      </c>
      <c r="T74" s="40">
        <f>T73*T75</f>
        <v>-2003.58</v>
      </c>
      <c r="U74" s="40">
        <f>U73*U75</f>
        <v>-1777.905</v>
      </c>
      <c r="V74" s="40">
        <f>'Three Statement Model'!V35</f>
        <v>-5932.4849999999997</v>
      </c>
      <c r="W74" s="40">
        <f ca="1">W73*W75</f>
        <v>-5908.92</v>
      </c>
      <c r="X74" s="40">
        <f ca="1">X73*X75</f>
        <v>-5298.12</v>
      </c>
      <c r="Y74" s="40">
        <f ca="1">Y73*Y75</f>
        <v>-4837.32</v>
      </c>
    </row>
    <row r="75" spans="2:26" x14ac:dyDescent="0.25">
      <c r="B75" t="s">
        <v>165</v>
      </c>
      <c r="C75" s="45"/>
      <c r="D75" s="45">
        <f t="shared" ref="D75:S75" si="70">D74/D73</f>
        <v>-1.2101067282972812E-2</v>
      </c>
      <c r="E75" s="45">
        <f t="shared" si="70"/>
        <v>-1.5538348854242963E-2</v>
      </c>
      <c r="F75" s="45">
        <f t="shared" si="70"/>
        <v>-1.399947271289217E-2</v>
      </c>
      <c r="G75" s="45"/>
      <c r="H75" s="45">
        <f t="shared" si="70"/>
        <v>-1.1507388115233337E-2</v>
      </c>
      <c r="I75" s="45">
        <f t="shared" si="70"/>
        <v>-1.1253114701390564E-2</v>
      </c>
      <c r="J75" s="45">
        <f t="shared" si="70"/>
        <v>-1.3724907464944749E-2</v>
      </c>
      <c r="K75" s="45">
        <f t="shared" si="70"/>
        <v>1.6759958344181203E-2</v>
      </c>
      <c r="L75" s="45">
        <f t="shared" si="70"/>
        <v>-8.7966407994046984E-3</v>
      </c>
      <c r="M75" s="45">
        <f t="shared" si="70"/>
        <v>2.4776926689446324E-3</v>
      </c>
      <c r="N75" s="45">
        <f t="shared" si="70"/>
        <v>-1.0520487264673311E-2</v>
      </c>
      <c r="O75" s="45">
        <f t="shared" si="70"/>
        <v>-9.4512345984462363E-3</v>
      </c>
      <c r="P75" s="45">
        <f t="shared" si="70"/>
        <v>-6.0297813583398731E-3</v>
      </c>
      <c r="Q75" s="45">
        <f t="shared" si="70"/>
        <v>-3.3278813298570062E-2</v>
      </c>
      <c r="R75" s="45">
        <f t="shared" si="70"/>
        <v>-9.72318155252112E-3</v>
      </c>
      <c r="S75" s="45">
        <f t="shared" si="70"/>
        <v>-1.3527555602162121E-2</v>
      </c>
      <c r="T75" s="59">
        <v>-1.4999999999999999E-2</v>
      </c>
      <c r="U75" s="59">
        <v>-1.4999999999999999E-2</v>
      </c>
      <c r="V75" s="45">
        <f>V74/V73</f>
        <v>-7.8801405345093237E-2</v>
      </c>
      <c r="W75" s="59">
        <v>-0.06</v>
      </c>
      <c r="X75" s="59">
        <v>-0.06</v>
      </c>
      <c r="Y75" s="59">
        <v>-0.06</v>
      </c>
    </row>
    <row r="77" spans="2:26" s="43" customFormat="1" x14ac:dyDescent="0.25">
      <c r="B77" t="s">
        <v>166</v>
      </c>
      <c r="C77" s="43">
        <f>'Three Statement Model'!C38</f>
        <v>100002</v>
      </c>
      <c r="D77" s="43">
        <f>'Three Statement Model'!D38</f>
        <v>65759</v>
      </c>
      <c r="E77" s="43">
        <f>'Three Statement Model'!E38</f>
        <v>39879</v>
      </c>
      <c r="F77" s="43">
        <f>'Three Statement Model'!F38</f>
        <v>46746</v>
      </c>
      <c r="G77" s="43">
        <f>'Three Statement Model'!G38</f>
        <v>252386</v>
      </c>
      <c r="H77" s="43">
        <f>'Three Statement Model'!H38</f>
        <v>4157</v>
      </c>
      <c r="I77" s="43">
        <f>'Three Statement Model'!I38</f>
        <v>12897</v>
      </c>
      <c r="J77" s="43">
        <f>'Three Statement Model'!J38</f>
        <v>14468</v>
      </c>
      <c r="K77" s="43">
        <f>'Three Statement Model'!K38</f>
        <v>16704</v>
      </c>
      <c r="L77" s="43">
        <f>'Three Statement Model'!L38</f>
        <v>48226</v>
      </c>
      <c r="M77" s="43">
        <f>'Three Statement Model'!M38</f>
        <v>4549</v>
      </c>
      <c r="N77" s="43">
        <f>'Three Statement Model'!N38</f>
        <v>3263</v>
      </c>
      <c r="O77" s="43">
        <f>'Three Statement Model'!O38</f>
        <v>10316</v>
      </c>
      <c r="P77" s="43">
        <f>'Three Statement Model'!P38</f>
        <v>31268</v>
      </c>
      <c r="Q77" s="43">
        <f>'Three Statement Model'!Q38</f>
        <v>49396</v>
      </c>
      <c r="R77" s="43">
        <f>'Three Statement Model'!R38</f>
        <v>-2600</v>
      </c>
      <c r="S77" s="43">
        <f>'Three Statement Model'!S38</f>
        <v>5548</v>
      </c>
      <c r="T77" s="43">
        <f>'Three Statement Model'!T38</f>
        <v>5621.9380172277761</v>
      </c>
      <c r="U77" s="43">
        <f>'Three Statement Model'!U38</f>
        <v>17351.180569755106</v>
      </c>
      <c r="V77" s="43">
        <f>'Three Statement Model'!V38</f>
        <v>25921.118586982906</v>
      </c>
      <c r="W77" s="43">
        <f ca="1">'Three Statement Model'!W38</f>
        <v>44491.602075015413</v>
      </c>
      <c r="X77" s="43">
        <f ca="1">'Three Statement Model'!X38</f>
        <v>51520.039434058206</v>
      </c>
      <c r="Y77" s="43">
        <f ca="1">'Three Statement Model'!Y38</f>
        <v>58878.973680841598</v>
      </c>
    </row>
    <row r="78" spans="2:26" s="43" customFormat="1" x14ac:dyDescent="0.25">
      <c r="B78" t="s">
        <v>167</v>
      </c>
      <c r="C78" s="43">
        <f>'Three Statement Model'!C39</f>
        <v>23120</v>
      </c>
      <c r="D78" s="43">
        <f>'Three Statement Model'!D39</f>
        <v>14824</v>
      </c>
      <c r="E78" s="43">
        <f>'Three Statement Model'!E39</f>
        <v>9337</v>
      </c>
      <c r="F78" s="43">
        <f>'Three Statement Model'!F39</f>
        <v>10611</v>
      </c>
      <c r="G78" s="43">
        <f>'Three Statement Model'!G39</f>
        <v>57892</v>
      </c>
      <c r="H78" s="43">
        <f>'Three Statement Model'!H39</f>
        <v>845</v>
      </c>
      <c r="I78" s="43">
        <f>'Three Statement Model'!I39</f>
        <v>3249</v>
      </c>
      <c r="J78" s="43">
        <f>'Three Statement Model'!J39</f>
        <v>3389</v>
      </c>
      <c r="K78" s="43">
        <f>'Three Statement Model'!K39</f>
        <v>3867</v>
      </c>
      <c r="L78" s="43">
        <f>'Three Statement Model'!L39</f>
        <v>11350</v>
      </c>
      <c r="M78" s="43">
        <f>'Three Statement Model'!M39</f>
        <v>1431</v>
      </c>
      <c r="N78" s="43">
        <f>'Three Statement Model'!N39</f>
        <v>765</v>
      </c>
      <c r="O78" s="43">
        <f>'Three Statement Model'!O39</f>
        <v>2434</v>
      </c>
      <c r="P78" s="43">
        <f>'Three Statement Model'!P39</f>
        <v>5157</v>
      </c>
      <c r="Q78" s="43">
        <f>'Three Statement Model'!Q39</f>
        <v>9787</v>
      </c>
      <c r="R78" s="43">
        <f>'Three Statement Model'!R39</f>
        <v>-494</v>
      </c>
      <c r="S78" s="43">
        <f>'Three Statement Model'!S39</f>
        <v>1414</v>
      </c>
      <c r="T78" s="40">
        <f>T77*T79</f>
        <v>1405.484504306944</v>
      </c>
      <c r="U78" s="40">
        <f>U77*U79</f>
        <v>4337.7951424387766</v>
      </c>
      <c r="V78" s="43">
        <f>'Three Statement Model'!V39</f>
        <v>6663.279646745721</v>
      </c>
      <c r="W78" s="40">
        <f ca="1">W77*W79</f>
        <v>11122.900518753853</v>
      </c>
      <c r="X78" s="40">
        <f ca="1">X77*X79</f>
        <v>12880.009858514552</v>
      </c>
      <c r="Y78" s="40">
        <f ca="1">Y77*Y79</f>
        <v>14719.7434202104</v>
      </c>
    </row>
    <row r="79" spans="2:26" x14ac:dyDescent="0.25">
      <c r="B79" t="s">
        <v>168</v>
      </c>
      <c r="C79" s="45">
        <f>C78/C77</f>
        <v>0.23119537609247814</v>
      </c>
      <c r="D79" s="45">
        <f t="shared" ref="D79:S79" si="71">D78/D77</f>
        <v>0.2254292188141547</v>
      </c>
      <c r="E79" s="45">
        <f t="shared" si="71"/>
        <v>0.23413325309059907</v>
      </c>
      <c r="F79" s="45">
        <f t="shared" si="71"/>
        <v>0.22699268386599922</v>
      </c>
      <c r="G79" s="45">
        <f t="shared" si="71"/>
        <v>0.2293788086502421</v>
      </c>
      <c r="H79" s="45">
        <f t="shared" si="71"/>
        <v>0.2032715900890065</v>
      </c>
      <c r="I79" s="45">
        <f t="shared" si="71"/>
        <v>0.25191905094207956</v>
      </c>
      <c r="J79" s="45">
        <f t="shared" si="71"/>
        <v>0.23424108377108099</v>
      </c>
      <c r="K79" s="45">
        <f t="shared" si="71"/>
        <v>0.2315014367816092</v>
      </c>
      <c r="L79" s="45">
        <f t="shared" si="71"/>
        <v>0.23535022601915978</v>
      </c>
      <c r="M79" s="45">
        <f t="shared" si="71"/>
        <v>0.31457463178720596</v>
      </c>
      <c r="N79" s="45">
        <f t="shared" si="71"/>
        <v>0.23444682807232609</v>
      </c>
      <c r="O79" s="45">
        <f t="shared" si="71"/>
        <v>0.23594416440480806</v>
      </c>
      <c r="P79" s="45">
        <f t="shared" si="71"/>
        <v>0.16492900089548421</v>
      </c>
      <c r="Q79" s="45">
        <f t="shared" si="71"/>
        <v>0.19813345210138472</v>
      </c>
      <c r="R79" s="45">
        <f t="shared" si="71"/>
        <v>0.19</v>
      </c>
      <c r="S79" s="45">
        <f t="shared" si="71"/>
        <v>0.25486661860129778</v>
      </c>
      <c r="T79" s="59">
        <v>0.25</v>
      </c>
      <c r="U79" s="59">
        <v>0.25</v>
      </c>
      <c r="V79" s="45">
        <f t="shared" ref="V79" si="72">V78/V77</f>
        <v>0.25705988051348577</v>
      </c>
      <c r="W79" s="59">
        <v>0.25</v>
      </c>
      <c r="X79" s="59">
        <v>0.25</v>
      </c>
      <c r="Y79" s="59">
        <v>0.25</v>
      </c>
    </row>
    <row r="81" spans="1:25" x14ac:dyDescent="0.25">
      <c r="A81" s="28" t="s">
        <v>97</v>
      </c>
      <c r="B81" s="32" t="s">
        <v>169</v>
      </c>
      <c r="C81" s="33" t="s">
        <v>99</v>
      </c>
      <c r="D81" s="33" t="s">
        <v>99</v>
      </c>
      <c r="E81" s="33" t="s">
        <v>100</v>
      </c>
      <c r="F81" s="33" t="s">
        <v>101</v>
      </c>
      <c r="G81" s="33" t="s">
        <v>102</v>
      </c>
      <c r="H81" s="33" t="s">
        <v>103</v>
      </c>
      <c r="I81" s="33" t="s">
        <v>104</v>
      </c>
      <c r="J81" s="33" t="s">
        <v>105</v>
      </c>
      <c r="K81" s="33" t="s">
        <v>106</v>
      </c>
      <c r="L81" s="33" t="s">
        <v>107</v>
      </c>
      <c r="M81" s="33" t="s">
        <v>108</v>
      </c>
      <c r="N81" s="33" t="s">
        <v>109</v>
      </c>
      <c r="O81" s="33" t="s">
        <v>110</v>
      </c>
      <c r="P81" s="33" t="s">
        <v>111</v>
      </c>
      <c r="Q81" s="33" t="s">
        <v>112</v>
      </c>
      <c r="R81" s="33" t="s">
        <v>113</v>
      </c>
      <c r="S81" s="33" t="s">
        <v>114</v>
      </c>
      <c r="T81" s="30" t="s">
        <v>115</v>
      </c>
      <c r="U81" s="30" t="s">
        <v>116</v>
      </c>
      <c r="V81" s="30" t="s">
        <v>117</v>
      </c>
      <c r="W81" s="30" t="s">
        <v>118</v>
      </c>
      <c r="X81" s="30" t="s">
        <v>119</v>
      </c>
      <c r="Y81" s="30" t="s">
        <v>120</v>
      </c>
    </row>
    <row r="82" spans="1:25" x14ac:dyDescent="0.25">
      <c r="B82" s="34" t="s">
        <v>151</v>
      </c>
      <c r="C82" s="35">
        <v>44408</v>
      </c>
      <c r="D82" s="35">
        <v>44500</v>
      </c>
      <c r="E82" s="35">
        <v>44592</v>
      </c>
      <c r="F82" s="35">
        <v>44681</v>
      </c>
      <c r="G82" s="35">
        <v>44681</v>
      </c>
      <c r="H82" s="35">
        <v>44773</v>
      </c>
      <c r="I82" s="35">
        <v>44865</v>
      </c>
      <c r="J82" s="35">
        <v>44957</v>
      </c>
      <c r="K82" s="35">
        <v>45046</v>
      </c>
      <c r="L82" s="35">
        <v>45046</v>
      </c>
      <c r="M82" s="35">
        <v>45138</v>
      </c>
      <c r="N82" s="35">
        <v>45230</v>
      </c>
      <c r="O82" s="35">
        <v>45322</v>
      </c>
      <c r="P82" s="35">
        <v>45412</v>
      </c>
      <c r="Q82" s="35">
        <v>45412</v>
      </c>
      <c r="R82" s="35">
        <v>45504</v>
      </c>
      <c r="S82" s="35">
        <v>45596</v>
      </c>
      <c r="T82" s="31">
        <v>45688</v>
      </c>
      <c r="U82" s="31">
        <v>45777</v>
      </c>
      <c r="V82" s="31">
        <v>45777</v>
      </c>
      <c r="W82" s="31">
        <v>46053</v>
      </c>
      <c r="X82" s="31">
        <v>46507</v>
      </c>
      <c r="Y82" s="31">
        <v>46873</v>
      </c>
    </row>
    <row r="84" spans="1:25" x14ac:dyDescent="0.25">
      <c r="B84" t="s">
        <v>170</v>
      </c>
    </row>
    <row r="85" spans="1:25" x14ac:dyDescent="0.25">
      <c r="B85" s="36" t="s">
        <v>171</v>
      </c>
      <c r="C85" s="64">
        <f>('Three Statement Model'!C47/'Three Statement Model'!C21)*(91.25)</f>
        <v>13.689709732747289</v>
      </c>
      <c r="D85" s="64">
        <f>('Three Statement Model'!D47/'Three Statement Model'!D21)*(91.25)</f>
        <v>17.509718889790392</v>
      </c>
      <c r="E85" s="64">
        <f>('Three Statement Model'!E47/'Three Statement Model'!E21)*(91.25)</f>
        <v>25.354580899976369</v>
      </c>
      <c r="F85" s="64">
        <f>('Three Statement Model'!F47/'Three Statement Model'!F21)*(91.25)</f>
        <v>31.554984831770547</v>
      </c>
      <c r="G85" s="64">
        <f>('Three Statement Model'!G47/'Three Statement Model'!G21)*(365)</f>
        <v>26.481873013889178</v>
      </c>
      <c r="H85" s="64">
        <f>('Three Statement Model'!H47/'Three Statement Model'!H21)*(91.25)</f>
        <v>25.712920942247081</v>
      </c>
      <c r="I85" s="64">
        <f>('Three Statement Model'!I47/'Three Statement Model'!I21)*(91.25)</f>
        <v>33.461725947040115</v>
      </c>
      <c r="J85" s="64">
        <f>('Three Statement Model'!J47/'Three Statement Model'!J21)*(91.25)</f>
        <v>41.193891627142811</v>
      </c>
      <c r="K85" s="64">
        <f>('Three Statement Model'!K47/'Three Statement Model'!K21)*(91.25)</f>
        <v>34.761814721951687</v>
      </c>
      <c r="L85" s="64">
        <f>('Three Statement Model'!L47/'Three Statement Model'!L21)*(365)</f>
        <v>42.005594250921249</v>
      </c>
      <c r="M85" s="64">
        <f>('Three Statement Model'!M47/'Three Statement Model'!M21)*(91.25)</f>
        <v>22.495601481053544</v>
      </c>
      <c r="N85" s="64">
        <f>('Three Statement Model'!N47/'Three Statement Model'!N21)*(91.25)</f>
        <v>43.648956049232545</v>
      </c>
      <c r="O85" s="64">
        <f>('Three Statement Model'!O47/'Three Statement Model'!O21)*(91.25)</f>
        <v>40.252238442291464</v>
      </c>
      <c r="P85" s="64">
        <f>('Three Statement Model'!P47/'Three Statement Model'!P21)*(91.25)</f>
        <v>33.869283622791365</v>
      </c>
      <c r="Q85" s="64">
        <f>('Three Statement Model'!Q47/'Three Statement Model'!Q21)*(365)</f>
        <v>40.238124564929741</v>
      </c>
      <c r="R85" s="64">
        <f>('Three Statement Model'!R47/'Three Statement Model'!R21)*(91.25)</f>
        <v>49.338674802454321</v>
      </c>
      <c r="S85" s="64">
        <f>('Three Statement Model'!S47/'Three Statement Model'!S21)*(91.25)</f>
        <v>37.087838046252671</v>
      </c>
      <c r="T85" s="68">
        <f>O85</f>
        <v>40.252238442291464</v>
      </c>
      <c r="U85" s="68">
        <f>P85</f>
        <v>33.869283622791365</v>
      </c>
      <c r="V85" s="64">
        <f>('Three Statement Model'!V47/'Three Statement Model'!V21)*(365)</f>
        <v>41.027048837193753</v>
      </c>
      <c r="W85" s="68">
        <f>V85</f>
        <v>41.027048837193753</v>
      </c>
      <c r="X85" s="68">
        <f>W85</f>
        <v>41.027048837193753</v>
      </c>
      <c r="Y85" s="68">
        <f>X85</f>
        <v>41.027048837193753</v>
      </c>
    </row>
    <row r="86" spans="1:25" x14ac:dyDescent="0.25">
      <c r="B86" s="36" t="s">
        <v>172</v>
      </c>
      <c r="C86" s="64">
        <f>('Three Statement Model'!C48/'Three Statement Model'!C22)*91.25</f>
        <v>61.271921032440019</v>
      </c>
      <c r="D86" s="64">
        <f>('Three Statement Model'!D48/'Three Statement Model'!D22)*91.25</f>
        <v>85.421346237663826</v>
      </c>
      <c r="E86" s="64">
        <f>('Three Statement Model'!E48/'Three Statement Model'!E22)*91.25</f>
        <v>114.14262290500191</v>
      </c>
      <c r="F86" s="64">
        <f>('Three Statement Model'!F48/'Three Statement Model'!F22)*91.25</f>
        <v>114.33021307026551</v>
      </c>
      <c r="G86" s="64">
        <f>('Three Statement Model'!G48/'Three Statement Model'!G22)*365</f>
        <v>101.88883124098683</v>
      </c>
      <c r="H86" s="64">
        <f>('Three Statement Model'!H48/'Three Statement Model'!H22)*91.25</f>
        <v>314.66878767265649</v>
      </c>
      <c r="I86" s="64">
        <f>('Three Statement Model'!I48/'Three Statement Model'!I22)*91.25</f>
        <v>219.24415760703411</v>
      </c>
      <c r="J86" s="64">
        <f>('Three Statement Model'!J48/'Three Statement Model'!J22)*91.25</f>
        <v>202.42126842135443</v>
      </c>
      <c r="K86" s="64">
        <f>('Three Statement Model'!K48/'Three Statement Model'!K22)*91.25</f>
        <v>157.19666096056957</v>
      </c>
      <c r="L86" s="64">
        <f>('Three Statement Model'!L48/'Three Statement Model'!L22)*365</f>
        <v>199.09785805577371</v>
      </c>
      <c r="M86" s="64">
        <f>('Three Statement Model'!M48/'Three Statement Model'!M22)*91.25</f>
        <v>185.84125497960449</v>
      </c>
      <c r="N86" s="64">
        <f>('Three Statement Model'!N48/'Three Statement Model'!N22)*91.25</f>
        <v>159.88822806678684</v>
      </c>
      <c r="O86" s="64">
        <f>('Three Statement Model'!O48/'Three Statement Model'!O22)*91.25</f>
        <v>142.86682898225575</v>
      </c>
      <c r="P86" s="64">
        <f>('Three Statement Model'!P48/'Three Statement Model'!P22)*91.25</f>
        <v>142.68091304093682</v>
      </c>
      <c r="Q86" s="64">
        <f>('Three Statement Model'!Q48/'Three Statement Model'!Q22)*365</f>
        <v>155.08683221263303</v>
      </c>
      <c r="R86" s="64">
        <f>('Three Statement Model'!R48/'Three Statement Model'!R22)*91.25</f>
        <v>270.0341040192074</v>
      </c>
      <c r="S86" s="64">
        <f>('Three Statement Model'!S48/'Three Statement Model'!S22)*91.25</f>
        <v>188.03352937466494</v>
      </c>
      <c r="T86" s="68">
        <v>165</v>
      </c>
      <c r="U86" s="68">
        <v>145</v>
      </c>
      <c r="V86" s="64">
        <f>('Three Statement Model'!V48/'Three Statement Model'!V22)*365</f>
        <v>165.87657032072983</v>
      </c>
      <c r="W86" s="68">
        <v>165</v>
      </c>
      <c r="X86" s="68">
        <v>165</v>
      </c>
      <c r="Y86" s="68">
        <v>165</v>
      </c>
    </row>
    <row r="87" spans="1:25" x14ac:dyDescent="0.25">
      <c r="B87" s="36" t="s">
        <v>173</v>
      </c>
      <c r="C87" s="64">
        <f>('Three Statement Model'!C60/'Three Statement Model'!C22)*91.25</f>
        <v>34.428713873931166</v>
      </c>
      <c r="D87" s="64">
        <f>('Three Statement Model'!D60/'Three Statement Model'!D22)*91.25</f>
        <v>34.849767286199061</v>
      </c>
      <c r="E87" s="64">
        <f>('Three Statement Model'!E60/'Three Statement Model'!E22)*91.25</f>
        <v>30.65498094821081</v>
      </c>
      <c r="F87" s="64">
        <f>('Three Statement Model'!F60/'Three Statement Model'!F22)*91.25</f>
        <v>25.133237677864162</v>
      </c>
      <c r="G87" s="64">
        <f>('Three Statement Model'!G60/'Three Statement Model'!G22)*365</f>
        <v>22.398245778879897</v>
      </c>
      <c r="H87" s="64">
        <f>('Three Statement Model'!H60/'Three Statement Model'!H22)*91.25</f>
        <v>92.87419930842924</v>
      </c>
      <c r="I87" s="64">
        <f>('Three Statement Model'!I60/'Three Statement Model'!I22)*91.25</f>
        <v>50.413859097746197</v>
      </c>
      <c r="J87" s="64">
        <f>('Three Statement Model'!J60/'Three Statement Model'!J22)*91.25</f>
        <v>39.517073800103219</v>
      </c>
      <c r="K87" s="64">
        <f>('Three Statement Model'!K60/'Three Statement Model'!K22)*91.25</f>
        <v>32.65648403913864</v>
      </c>
      <c r="L87" s="64">
        <f>('Three Statement Model'!L60/'Three Statement Model'!L22)*365</f>
        <v>41.361158590104864</v>
      </c>
      <c r="M87" s="64">
        <f>('Three Statement Model'!M60/'Three Statement Model'!M22)*91.25</f>
        <v>39.545439636459051</v>
      </c>
      <c r="N87" s="64">
        <f>('Three Statement Model'!N60/'Three Statement Model'!N22)*91.25</f>
        <v>43.607927719117519</v>
      </c>
      <c r="O87" s="64">
        <f>('Three Statement Model'!O60/'Three Statement Model'!O22)*91.25</f>
        <v>33.631105955537429</v>
      </c>
      <c r="P87" s="64">
        <f>('Three Statement Model'!P60/'Three Statement Model'!P22)*91.25</f>
        <v>37.186824133429454</v>
      </c>
      <c r="Q87" s="64">
        <f>('Three Statement Model'!Q60/'Three Statement Model'!Q22)*365</f>
        <v>40.420169958172288</v>
      </c>
      <c r="R87" s="64">
        <f>('Three Statement Model'!R60/'Three Statement Model'!R22)*91.25</f>
        <v>41.900568270400051</v>
      </c>
      <c r="S87" s="64">
        <f>('Three Statement Model'!S60/'Three Statement Model'!S22)*91.25</f>
        <v>30.336095256115122</v>
      </c>
      <c r="T87" s="68">
        <f>O87</f>
        <v>33.631105955537429</v>
      </c>
      <c r="U87" s="68">
        <f>P87</f>
        <v>37.186824133429454</v>
      </c>
      <c r="V87" s="64">
        <f>('Three Statement Model'!V60/'Three Statement Model'!V22)*365</f>
        <v>42.540847230161546</v>
      </c>
      <c r="W87" s="68">
        <f>V87</f>
        <v>42.540847230161546</v>
      </c>
      <c r="X87" s="68">
        <f>W87</f>
        <v>42.540847230161546</v>
      </c>
      <c r="Y87" s="68">
        <f>X87</f>
        <v>42.540847230161546</v>
      </c>
    </row>
    <row r="88" spans="1:25" x14ac:dyDescent="0.25">
      <c r="B88" s="69" t="s">
        <v>174</v>
      </c>
      <c r="C88" s="112">
        <f t="shared" ref="C88:X88" si="73">C85+C86-C87</f>
        <v>40.532916891256143</v>
      </c>
      <c r="D88" s="112">
        <f t="shared" si="73"/>
        <v>68.08129784125515</v>
      </c>
      <c r="E88" s="112">
        <f t="shared" si="73"/>
        <v>108.84222285676748</v>
      </c>
      <c r="F88" s="112">
        <f t="shared" si="73"/>
        <v>120.7519602241719</v>
      </c>
      <c r="G88" s="112">
        <f t="shared" si="73"/>
        <v>105.97245847599612</v>
      </c>
      <c r="H88" s="112">
        <f t="shared" si="73"/>
        <v>247.50750930647433</v>
      </c>
      <c r="I88" s="112">
        <f t="shared" si="73"/>
        <v>202.29202445632802</v>
      </c>
      <c r="J88" s="112">
        <f t="shared" si="73"/>
        <v>204.09808624839403</v>
      </c>
      <c r="K88" s="112">
        <f t="shared" si="73"/>
        <v>159.30199164338262</v>
      </c>
      <c r="L88" s="112">
        <f t="shared" si="73"/>
        <v>199.7422937165901</v>
      </c>
      <c r="M88" s="112">
        <f t="shared" si="73"/>
        <v>168.79141682419896</v>
      </c>
      <c r="N88" s="112">
        <f t="shared" si="73"/>
        <v>159.92925639690185</v>
      </c>
      <c r="O88" s="112">
        <f t="shared" si="73"/>
        <v>149.48796146900978</v>
      </c>
      <c r="P88" s="112">
        <f t="shared" si="73"/>
        <v>139.3633725302987</v>
      </c>
      <c r="Q88" s="112">
        <f t="shared" si="73"/>
        <v>154.90478681939047</v>
      </c>
      <c r="R88" s="112">
        <f t="shared" si="73"/>
        <v>277.47221055126164</v>
      </c>
      <c r="S88" s="112">
        <f t="shared" si="73"/>
        <v>194.78527216480248</v>
      </c>
      <c r="T88" s="112">
        <f t="shared" si="73"/>
        <v>171.62113248675402</v>
      </c>
      <c r="U88" s="112">
        <f t="shared" si="73"/>
        <v>141.68245948936192</v>
      </c>
      <c r="V88" s="112">
        <f t="shared" si="73"/>
        <v>164.36277192776203</v>
      </c>
      <c r="W88" s="112">
        <f t="shared" si="73"/>
        <v>163.4862016070322</v>
      </c>
      <c r="X88" s="112">
        <f t="shared" si="73"/>
        <v>163.4862016070322</v>
      </c>
      <c r="Y88" s="112">
        <f>Y85+Y86-Y87</f>
        <v>163.4862016070322</v>
      </c>
    </row>
    <row r="90" spans="1:25" x14ac:dyDescent="0.25">
      <c r="B90" t="s">
        <v>175</v>
      </c>
    </row>
    <row r="91" spans="1:25" x14ac:dyDescent="0.25">
      <c r="B91" s="36" t="s">
        <v>176</v>
      </c>
      <c r="C91" s="64">
        <f>('Three Statement Model'!C49/'Three Statement Model'!C29)*91.25</f>
        <v>25.818139472983766</v>
      </c>
      <c r="D91" s="64">
        <f>('Three Statement Model'!D49/'Three Statement Model'!D29)*91.25</f>
        <v>20.74396224353195</v>
      </c>
      <c r="E91" s="64">
        <f>('Three Statement Model'!E49/'Three Statement Model'!E29)*91.25</f>
        <v>22.371524268996318</v>
      </c>
      <c r="F91" s="64">
        <f>('Three Statement Model'!F49/'Three Statement Model'!F29)*91.25</f>
        <v>19.86984359726295</v>
      </c>
      <c r="G91" s="64">
        <f>('Three Statement Model'!G49/'Three Statement Model'!G29)*365</f>
        <v>16.537860728494604</v>
      </c>
      <c r="H91" s="64">
        <f>('Three Statement Model'!H49/'Three Statement Model'!H29)*91.25</f>
        <v>29.450760325179647</v>
      </c>
      <c r="I91" s="64">
        <f>('Three Statement Model'!I49/'Three Statement Model'!I29)*91.25</f>
        <v>27.516644847578078</v>
      </c>
      <c r="J91" s="64">
        <f>('Three Statement Model'!J49/'Three Statement Model'!J29)*91.25</f>
        <v>19.610268904529867</v>
      </c>
      <c r="K91" s="64">
        <f>('Three Statement Model'!K49/'Three Statement Model'!K29)*91.25</f>
        <v>18.589503231687107</v>
      </c>
      <c r="L91" s="64">
        <f>('Three Statement Model'!L49/'Three Statement Model'!L29)*365</f>
        <v>16.910440026382737</v>
      </c>
      <c r="M91" s="64">
        <f>('Three Statement Model'!M49/'Three Statement Model'!M29)*91.25</f>
        <v>30.616315446031013</v>
      </c>
      <c r="N91" s="64">
        <f>('Three Statement Model'!N49/'Three Statement Model'!N29)*91.25</f>
        <v>32.167922708764912</v>
      </c>
      <c r="O91" s="64">
        <f>('Three Statement Model'!O49/'Three Statement Model'!O29)*91.25</f>
        <v>29.24721057494137</v>
      </c>
      <c r="P91" s="64">
        <f>('Three Statement Model'!P49/'Three Statement Model'!P29)*91.25</f>
        <v>14.58088329798856</v>
      </c>
      <c r="Q91" s="64">
        <f>('Three Statement Model'!Q49/'Three Statement Model'!Q29)*365</f>
        <v>16.018717898935702</v>
      </c>
      <c r="R91" s="64">
        <f>('Three Statement Model'!R49/'Three Statement Model'!R29)*91.25</f>
        <v>31.661165272127121</v>
      </c>
      <c r="S91" s="64">
        <f>('Three Statement Model'!S49/'Three Statement Model'!S29)*91.25</f>
        <v>33.463407557844349</v>
      </c>
      <c r="T91" s="68">
        <f t="shared" ref="T91:U95" si="74">O91</f>
        <v>29.24721057494137</v>
      </c>
      <c r="U91" s="68">
        <f t="shared" si="74"/>
        <v>14.58088329798856</v>
      </c>
      <c r="V91" s="64">
        <f>('Three Statement Model'!V49/'Three Statement Model'!V29)*365</f>
        <v>15.946769755189287</v>
      </c>
      <c r="W91" s="68">
        <f t="shared" ref="W91:Y95" si="75">V91</f>
        <v>15.946769755189287</v>
      </c>
      <c r="X91" s="68">
        <f t="shared" si="75"/>
        <v>15.946769755189287</v>
      </c>
      <c r="Y91" s="68">
        <f t="shared" si="75"/>
        <v>15.946769755189287</v>
      </c>
    </row>
    <row r="92" spans="1:25" x14ac:dyDescent="0.25">
      <c r="B92" s="36" t="s">
        <v>177</v>
      </c>
      <c r="C92" s="64">
        <f>('Three Statement Model'!C62/'Three Statement Model'!C29)*91.25</f>
        <v>25.098607599148259</v>
      </c>
      <c r="D92" s="64">
        <f>('Three Statement Model'!D62/'Three Statement Model'!D29)*91.25</f>
        <v>27.592137256509027</v>
      </c>
      <c r="E92" s="64">
        <f>('Three Statement Model'!E62/'Three Statement Model'!E29)*91.25</f>
        <v>48.255981680086059</v>
      </c>
      <c r="F92" s="64">
        <f>('Three Statement Model'!F62/'Three Statement Model'!F29)*91.25</f>
        <v>61.978641251221894</v>
      </c>
      <c r="G92" s="64">
        <f>('Three Statement Model'!G62/'Three Statement Model'!G29)*365</f>
        <v>51.585415463221352</v>
      </c>
      <c r="H92" s="64">
        <f>('Three Statement Model'!H62/'Three Statement Model'!H29)*91.25</f>
        <v>52.774914712927348</v>
      </c>
      <c r="I92" s="64">
        <f>('Three Statement Model'!I62/'Three Statement Model'!I29)*91.25</f>
        <v>58.166541986160468</v>
      </c>
      <c r="J92" s="64">
        <f>('Three Statement Model'!J62/'Three Statement Model'!J29)*91.25</f>
        <v>60.747698971304814</v>
      </c>
      <c r="K92" s="64">
        <f>('Three Statement Model'!K62/'Three Statement Model'!K29)*91.25</f>
        <v>70.187945392774282</v>
      </c>
      <c r="L92" s="64">
        <f>('Three Statement Model'!L62/'Three Statement Model'!L29)*365</f>
        <v>63.848346367662302</v>
      </c>
      <c r="M92" s="64">
        <f>('Three Statement Model'!M62/'Three Statement Model'!M29)*91.25</f>
        <v>70.462008674957772</v>
      </c>
      <c r="N92" s="64">
        <f>('Three Statement Model'!N62/'Three Statement Model'!N29)*91.25</f>
        <v>64.821460461461541</v>
      </c>
      <c r="O92" s="64">
        <f>('Three Statement Model'!O62/'Three Statement Model'!O29)*91.25</f>
        <v>64.515714945632865</v>
      </c>
      <c r="P92" s="64">
        <f>('Three Statement Model'!P62/'Three Statement Model'!P29)*91.25</f>
        <v>50.275167084377614</v>
      </c>
      <c r="Q92" s="64">
        <f>('Three Statement Model'!Q62/'Three Statement Model'!Q29)*365</f>
        <v>55.232848544751747</v>
      </c>
      <c r="R92" s="64">
        <f>('Three Statement Model'!R62/'Three Statement Model'!R29)*91.25</f>
        <v>43.106816611652718</v>
      </c>
      <c r="S92" s="64">
        <f>('Three Statement Model'!S62/'Three Statement Model'!S29)*91.25</f>
        <v>43.675835932400091</v>
      </c>
      <c r="T92" s="68">
        <f t="shared" si="74"/>
        <v>64.515714945632865</v>
      </c>
      <c r="U92" s="68">
        <f t="shared" si="74"/>
        <v>50.275167084377614</v>
      </c>
      <c r="V92" s="64">
        <f>('Three Statement Model'!V62/'Three Statement Model'!V29)*365</f>
        <v>54.984769956209696</v>
      </c>
      <c r="W92" s="68">
        <f t="shared" si="75"/>
        <v>54.984769956209696</v>
      </c>
      <c r="X92" s="68">
        <f t="shared" si="75"/>
        <v>54.984769956209696</v>
      </c>
      <c r="Y92" s="68">
        <f t="shared" si="75"/>
        <v>54.984769956209696</v>
      </c>
    </row>
    <row r="93" spans="1:25" x14ac:dyDescent="0.25">
      <c r="B93" s="36" t="s">
        <v>178</v>
      </c>
      <c r="C93" s="64">
        <f>('Three Statement Model'!C64/'Three Statement Model'!C29)*91.25</f>
        <v>55.495034269363849</v>
      </c>
      <c r="D93" s="64">
        <f>('Three Statement Model'!D64/'Three Statement Model'!D29)*91.25</f>
        <v>19.387789252247082</v>
      </c>
      <c r="E93" s="64">
        <f>('Three Statement Model'!E64/'Three Statement Model'!E29)*91.25</f>
        <v>34.213172735273986</v>
      </c>
      <c r="F93" s="64">
        <f>('Three Statement Model'!F64/'Three Statement Model'!F29)*91.25</f>
        <v>48.320576735092864</v>
      </c>
      <c r="G93" s="64">
        <f>('Three Statement Model'!G64/'Three Statement Model'!G29)*365</f>
        <v>40.217677831927169</v>
      </c>
      <c r="H93" s="64">
        <f>('Three Statement Model'!H64/'Three Statement Model'!H29)*91.25</f>
        <v>56.401203092110038</v>
      </c>
      <c r="I93" s="64">
        <f>('Three Statement Model'!I64/'Three Statement Model'!I29)*91.25</f>
        <v>19.209089208902189</v>
      </c>
      <c r="J93" s="64">
        <f>('Three Statement Model'!J64/'Three Statement Model'!J29)*91.25</f>
        <v>25.713364013715935</v>
      </c>
      <c r="K93" s="64">
        <f>('Three Statement Model'!K64/'Three Statement Model'!K29)*91.25</f>
        <v>31.012750662910175</v>
      </c>
      <c r="L93" s="64">
        <f>('Three Statement Model'!L64/'Three Statement Model'!L29)*365</f>
        <v>28.211580137567136</v>
      </c>
      <c r="M93" s="64">
        <f>('Three Statement Model'!M64/'Three Statement Model'!M29)*91.25</f>
        <v>31.421915783816981</v>
      </c>
      <c r="N93" s="64">
        <f>('Three Statement Model'!N64/'Three Statement Model'!N29)*91.25</f>
        <v>4.9017786984784628</v>
      </c>
      <c r="O93" s="64">
        <f>('Three Statement Model'!O64/'Three Statement Model'!O29)*91.25</f>
        <v>11.261148816715229</v>
      </c>
      <c r="P93" s="64">
        <f>('Three Statement Model'!P64/'Three Statement Model'!P29)*91.25</f>
        <v>26.675422530685687</v>
      </c>
      <c r="Q93" s="64">
        <f>('Three Statement Model'!Q64/'Three Statement Model'!Q29)*365</f>
        <v>29.305911008348485</v>
      </c>
      <c r="R93" s="64">
        <f>('Three Statement Model'!R64/'Three Statement Model'!R29)*91.25</f>
        <v>31.864301067014662</v>
      </c>
      <c r="S93" s="64">
        <f>('Three Statement Model'!S64/'Three Statement Model'!S29)*91.25</f>
        <v>2.9518749546674403</v>
      </c>
      <c r="T93" s="68">
        <f t="shared" si="74"/>
        <v>11.261148816715229</v>
      </c>
      <c r="U93" s="68">
        <f t="shared" si="74"/>
        <v>26.675422530685687</v>
      </c>
      <c r="V93" s="64">
        <f>('Three Statement Model'!V64/'Three Statement Model'!V29)*365</f>
        <v>29.174283376777023</v>
      </c>
      <c r="W93" s="68">
        <f t="shared" si="75"/>
        <v>29.174283376777023</v>
      </c>
      <c r="X93" s="68">
        <f t="shared" si="75"/>
        <v>29.174283376777023</v>
      </c>
      <c r="Y93" s="68">
        <f t="shared" si="75"/>
        <v>29.174283376777023</v>
      </c>
    </row>
    <row r="94" spans="1:25" x14ac:dyDescent="0.25">
      <c r="B94" s="36" t="s">
        <v>179</v>
      </c>
      <c r="C94" s="64">
        <f>('Three Statement Model'!C61/'Three Statement Model'!C29)*91.25</f>
        <v>101.86992613787595</v>
      </c>
      <c r="D94" s="64">
        <f>('Three Statement Model'!D61/'Three Statement Model'!D29)*91.25</f>
        <v>79.670177307870944</v>
      </c>
      <c r="E94" s="64">
        <f>('Three Statement Model'!E61/'Three Statement Model'!E29)*91.25</f>
        <v>79.887252664862928</v>
      </c>
      <c r="F94" s="64">
        <f>('Three Statement Model'!F61/'Three Statement Model'!F29)*91.25</f>
        <v>83.782306940371456</v>
      </c>
      <c r="G94" s="64">
        <f>('Three Statement Model'!G61/'Three Statement Model'!G29)*365</f>
        <v>69.732814800953534</v>
      </c>
      <c r="H94" s="64">
        <f>('Three Statement Model'!H61/'Three Statement Model'!H29)*91.25</f>
        <v>81.56002758220221</v>
      </c>
      <c r="I94" s="64">
        <f>('Three Statement Model'!I61/'Three Statement Model'!I29)*91.25</f>
        <v>81.386057602393862</v>
      </c>
      <c r="J94" s="64">
        <f>('Three Statement Model'!J61/'Three Statement Model'!J29)*91.25</f>
        <v>64.176367081754194</v>
      </c>
      <c r="K94" s="64">
        <f>('Three Statement Model'!K61/'Three Statement Model'!K29)*91.25</f>
        <v>76.176510192243953</v>
      </c>
      <c r="L94" s="64">
        <f>('Three Statement Model'!L61/'Three Statement Model'!L29)*365</f>
        <v>69.296004899651365</v>
      </c>
      <c r="M94" s="64">
        <f>('Three Statement Model'!M61/'Three Statement Model'!M29)*91.25</f>
        <v>56.185369645324741</v>
      </c>
      <c r="N94" s="64">
        <f>('Three Statement Model'!N61/'Three Statement Model'!N29)*91.25</f>
        <v>75.602766269019213</v>
      </c>
      <c r="O94" s="64">
        <f>('Three Statement Model'!O61/'Three Statement Model'!O29)*91.25</f>
        <v>78.899376376945497</v>
      </c>
      <c r="P94" s="64">
        <f>('Three Statement Model'!P61/'Three Statement Model'!P29)*91.25</f>
        <v>78.610106998264897</v>
      </c>
      <c r="Q94" s="64">
        <f>('Three Statement Model'!Q61/'Three Statement Model'!Q29)*365</f>
        <v>86.36192350459784</v>
      </c>
      <c r="R94" s="64">
        <f>('Three Statement Model'!R61/'Three Statement Model'!R29)*91.25</f>
        <v>97.669791586704534</v>
      </c>
      <c r="S94" s="64">
        <f>('Three Statement Model'!S61/'Three Statement Model'!S29)*91.25</f>
        <v>99.208810836295058</v>
      </c>
      <c r="T94" s="68">
        <f t="shared" si="74"/>
        <v>78.899376376945497</v>
      </c>
      <c r="U94" s="68">
        <f t="shared" si="74"/>
        <v>78.610106998264897</v>
      </c>
      <c r="V94" s="64">
        <f>('Three Statement Model'!V61/'Three Statement Model'!V29)*365</f>
        <v>85.974028535366983</v>
      </c>
      <c r="W94" s="68">
        <f t="shared" si="75"/>
        <v>85.974028535366983</v>
      </c>
      <c r="X94" s="68">
        <f t="shared" si="75"/>
        <v>85.974028535366983</v>
      </c>
      <c r="Y94" s="68">
        <f t="shared" si="75"/>
        <v>85.974028535366983</v>
      </c>
    </row>
    <row r="95" spans="1:25" x14ac:dyDescent="0.25">
      <c r="B95" s="36" t="s">
        <v>180</v>
      </c>
      <c r="C95" s="111">
        <f>('Three Statement Model'!C65/'Three Statement Model'!C21)*91.25</f>
        <v>0.63201679478822614</v>
      </c>
      <c r="D95" s="111">
        <f>('Three Statement Model'!D65/'Three Statement Model'!D21)*91.25</f>
        <v>0.84804906303828109</v>
      </c>
      <c r="E95" s="111">
        <f>('Three Statement Model'!E65/'Three Statement Model'!E21)*91.25</f>
        <v>1.0473280896600614</v>
      </c>
      <c r="F95" s="111">
        <f>('Three Statement Model'!F65/'Three Statement Model'!F21)*91.25</f>
        <v>0.92508273579702138</v>
      </c>
      <c r="G95" s="111">
        <f>('Three Statement Model'!G65/'Three Statement Model'!G21)*365</f>
        <v>0.77635668872363528</v>
      </c>
      <c r="H95" s="111">
        <f>('Three Statement Model'!H65/'Three Statement Model'!H21)*91.25</f>
        <v>1.9062225987629453</v>
      </c>
      <c r="I95" s="111">
        <f>('Three Statement Model'!I65/'Three Statement Model'!I21)*91.25</f>
        <v>1.2876853802619077</v>
      </c>
      <c r="J95" s="111">
        <f>('Three Statement Model'!J65/'Three Statement Model'!J21)*91.25</f>
        <v>1.1894548808084566</v>
      </c>
      <c r="K95" s="111">
        <f>('Three Statement Model'!K65/'Three Statement Model'!K21)*91.25</f>
        <v>1.0525670513962855</v>
      </c>
      <c r="L95" s="111">
        <f>('Three Statement Model'!L65/'Three Statement Model'!L21)*365</f>
        <v>1.2719043823371072</v>
      </c>
      <c r="M95" s="111">
        <f>('Three Statement Model'!M65/'Three Statement Model'!M21)*91.25</f>
        <v>1.4001842563658167</v>
      </c>
      <c r="N95" s="111">
        <f>('Three Statement Model'!N65/'Three Statement Model'!N21)*91.25</f>
        <v>1.1523271819331296</v>
      </c>
      <c r="O95" s="111">
        <f>('Three Statement Model'!O65/'Three Statement Model'!O21)*91.25</f>
        <v>1.4004356870617671</v>
      </c>
      <c r="P95" s="111">
        <f>('Three Statement Model'!P65/'Three Statement Model'!P21)*91.25</f>
        <v>1.0395119637067385</v>
      </c>
      <c r="Q95" s="111">
        <f>('Three Statement Model'!Q65/'Three Statement Model'!Q21)*365</f>
        <v>1.2349836609540659</v>
      </c>
      <c r="R95" s="111">
        <f>('Three Statement Model'!R65/'Three Statement Model'!R21)*91.25</f>
        <v>1.8005382978241673</v>
      </c>
      <c r="S95" s="111">
        <f>('Three Statement Model'!S65/'Three Statement Model'!S21)*91.25</f>
        <v>1.0449359572482824</v>
      </c>
      <c r="T95" s="68">
        <f t="shared" si="74"/>
        <v>1.4004356870617671</v>
      </c>
      <c r="U95" s="68">
        <f t="shared" si="74"/>
        <v>1.0395119637067385</v>
      </c>
      <c r="V95" s="111">
        <f>('Three Statement Model'!V65/'Three Statement Model'!V21)*365</f>
        <v>1.2591972294667819</v>
      </c>
      <c r="W95" s="68">
        <f t="shared" si="75"/>
        <v>1.2591972294667819</v>
      </c>
      <c r="X95" s="68">
        <f t="shared" si="75"/>
        <v>1.2591972294667819</v>
      </c>
      <c r="Y95" s="68">
        <f t="shared" si="75"/>
        <v>1.2591972294667819</v>
      </c>
    </row>
    <row r="97" spans="1:26" x14ac:dyDescent="0.25">
      <c r="A97" s="28" t="s">
        <v>97</v>
      </c>
      <c r="B97" s="32" t="s">
        <v>181</v>
      </c>
      <c r="C97" s="33" t="s">
        <v>99</v>
      </c>
      <c r="D97" s="33" t="s">
        <v>99</v>
      </c>
      <c r="E97" s="33" t="s">
        <v>100</v>
      </c>
      <c r="F97" s="33" t="s">
        <v>101</v>
      </c>
      <c r="G97" s="33" t="s">
        <v>102</v>
      </c>
      <c r="H97" s="33" t="s">
        <v>103</v>
      </c>
      <c r="I97" s="33" t="s">
        <v>104</v>
      </c>
      <c r="J97" s="33" t="s">
        <v>105</v>
      </c>
      <c r="K97" s="33" t="s">
        <v>106</v>
      </c>
      <c r="L97" s="33" t="s">
        <v>107</v>
      </c>
      <c r="M97" s="33" t="s">
        <v>108</v>
      </c>
      <c r="N97" s="33" t="s">
        <v>109</v>
      </c>
      <c r="O97" s="33" t="s">
        <v>110</v>
      </c>
      <c r="P97" s="33" t="s">
        <v>111</v>
      </c>
      <c r="Q97" s="33" t="s">
        <v>112</v>
      </c>
      <c r="R97" s="33" t="s">
        <v>113</v>
      </c>
      <c r="S97" s="33" t="s">
        <v>114</v>
      </c>
      <c r="T97" s="30" t="s">
        <v>115</v>
      </c>
      <c r="U97" s="30" t="s">
        <v>116</v>
      </c>
      <c r="V97" s="30" t="s">
        <v>117</v>
      </c>
      <c r="W97" s="30" t="s">
        <v>118</v>
      </c>
      <c r="X97" s="30" t="s">
        <v>119</v>
      </c>
      <c r="Y97" s="30" t="s">
        <v>120</v>
      </c>
    </row>
    <row r="98" spans="1:26" x14ac:dyDescent="0.25">
      <c r="B98" s="34" t="s">
        <v>151</v>
      </c>
      <c r="C98" s="35">
        <v>44408</v>
      </c>
      <c r="D98" s="35">
        <v>44500</v>
      </c>
      <c r="E98" s="35">
        <v>44592</v>
      </c>
      <c r="F98" s="35">
        <v>44681</v>
      </c>
      <c r="G98" s="35">
        <v>44681</v>
      </c>
      <c r="H98" s="35">
        <v>44773</v>
      </c>
      <c r="I98" s="35">
        <v>44865</v>
      </c>
      <c r="J98" s="35">
        <v>44957</v>
      </c>
      <c r="K98" s="35">
        <v>45046</v>
      </c>
      <c r="L98" s="35">
        <v>45046</v>
      </c>
      <c r="M98" s="35">
        <v>45138</v>
      </c>
      <c r="N98" s="35">
        <v>45230</v>
      </c>
      <c r="O98" s="35">
        <v>45322</v>
      </c>
      <c r="P98" s="35">
        <v>45412</v>
      </c>
      <c r="Q98" s="35">
        <v>45412</v>
      </c>
      <c r="R98" s="35">
        <v>45504</v>
      </c>
      <c r="S98" s="35">
        <v>45596</v>
      </c>
      <c r="T98" s="31">
        <v>45688</v>
      </c>
      <c r="U98" s="31">
        <v>45777</v>
      </c>
      <c r="V98" s="31">
        <v>45777</v>
      </c>
      <c r="W98" s="31">
        <v>46053</v>
      </c>
      <c r="X98" s="31">
        <v>46507</v>
      </c>
      <c r="Y98" s="31">
        <v>46873</v>
      </c>
    </row>
    <row r="100" spans="1:26" s="40" customFormat="1" x14ac:dyDescent="0.25">
      <c r="B100" t="s">
        <v>182</v>
      </c>
      <c r="C100" s="43">
        <f>'Three Statement Model'!C52</f>
        <v>139626</v>
      </c>
      <c r="D100" s="43">
        <f>'Three Statement Model'!D52</f>
        <v>136932</v>
      </c>
      <c r="E100" s="43">
        <f>'Three Statement Model'!E52</f>
        <v>134540</v>
      </c>
      <c r="F100" s="43">
        <f>'Three Statement Model'!F52</f>
        <v>135591</v>
      </c>
      <c r="G100" s="43">
        <f>'Three Statement Model'!G52</f>
        <v>135591</v>
      </c>
      <c r="H100" s="43">
        <f>'Three Statement Model'!H52</f>
        <v>160793</v>
      </c>
      <c r="I100" s="43">
        <f>'Three Statement Model'!I52</f>
        <v>169265</v>
      </c>
      <c r="J100" s="43">
        <f>'Three Statement Model'!J52</f>
        <v>186190</v>
      </c>
      <c r="K100" s="43">
        <f>'Three Statement Model'!K52</f>
        <v>210330</v>
      </c>
      <c r="L100" s="43">
        <f>'Three Statement Model'!L52</f>
        <v>210330</v>
      </c>
      <c r="M100" s="43">
        <f>'Three Statement Model'!M52</f>
        <v>234595</v>
      </c>
      <c r="N100" s="43">
        <f>'Three Statement Model'!N52</f>
        <v>253253</v>
      </c>
      <c r="O100" s="43">
        <f>'Three Statement Model'!O52</f>
        <v>256830</v>
      </c>
      <c r="P100" s="43">
        <f>'Three Statement Model'!P52</f>
        <v>252633</v>
      </c>
      <c r="Q100" s="43">
        <f>'Three Statement Model'!Q52</f>
        <v>252633</v>
      </c>
      <c r="R100" s="43">
        <f>'Three Statement Model'!R52</f>
        <v>248765</v>
      </c>
      <c r="S100" s="43">
        <f>'Three Statement Model'!S52</f>
        <v>244452</v>
      </c>
      <c r="T100" s="43">
        <f>'Three Statement Model'!T52</f>
        <v>243396.18</v>
      </c>
      <c r="U100" s="43">
        <f>'Three Statement Model'!U52</f>
        <v>242377.3137</v>
      </c>
      <c r="V100" s="43">
        <f>'Three Statement Model'!V52</f>
        <v>242377.3137</v>
      </c>
      <c r="W100" s="43">
        <f>'Three Statement Model'!W52</f>
        <v>238292.03605600001</v>
      </c>
      <c r="X100" s="43">
        <f>'Three Statement Model'!X52</f>
        <v>237196.99172928001</v>
      </c>
      <c r="Y100" s="43">
        <f>'Three Statement Model'!Y52</f>
        <v>238733.35272176639</v>
      </c>
    </row>
    <row r="101" spans="1:26" s="40" customFormat="1" x14ac:dyDescent="0.25">
      <c r="B101" t="s">
        <v>183</v>
      </c>
      <c r="C101" s="43">
        <f>'Three Statement Model'!C89</f>
        <v>7466</v>
      </c>
      <c r="D101" s="43">
        <f>'Three Statement Model'!D89</f>
        <v>7744</v>
      </c>
      <c r="E101" s="43">
        <f>'Three Statement Model'!E89</f>
        <v>7203</v>
      </c>
      <c r="F101" s="43">
        <f>'Three Statement Model'!F89</f>
        <v>7660</v>
      </c>
      <c r="G101" s="43">
        <f>'Three Statement Model'!G89</f>
        <v>30073</v>
      </c>
      <c r="H101" s="43">
        <f>'Three Statement Model'!H89</f>
        <v>7549</v>
      </c>
      <c r="I101" s="43">
        <f>'Three Statement Model'!I89</f>
        <v>7622</v>
      </c>
      <c r="J101" s="43">
        <f>'Three Statement Model'!J89</f>
        <v>6624</v>
      </c>
      <c r="K101" s="43">
        <f>'Three Statement Model'!K89</f>
        <v>9641</v>
      </c>
      <c r="L101" s="43">
        <f>'Three Statement Model'!L89</f>
        <v>31436</v>
      </c>
      <c r="M101" s="43">
        <f>'Three Statement Model'!M89</f>
        <v>9253</v>
      </c>
      <c r="N101" s="43">
        <f>'Three Statement Model'!N89</f>
        <v>8074</v>
      </c>
      <c r="O101" s="43">
        <f>'Three Statement Model'!O89</f>
        <v>6964</v>
      </c>
      <c r="P101" s="43">
        <f>'Three Statement Model'!P89</f>
        <v>8267</v>
      </c>
      <c r="Q101" s="43">
        <f>'Three Statement Model'!Q89</f>
        <v>32558</v>
      </c>
      <c r="R101" s="43">
        <f>'Three Statement Model'!R89</f>
        <v>8048</v>
      </c>
      <c r="S101" s="43">
        <f>'Three Statement Model'!S89</f>
        <v>8213</v>
      </c>
      <c r="T101" s="40">
        <f>S100*T102</f>
        <v>8555.8200000000015</v>
      </c>
      <c r="U101" s="40">
        <f>T100*U102</f>
        <v>8518.8662999999997</v>
      </c>
      <c r="V101" s="40">
        <f>SUM(R101:U101)</f>
        <v>33335.686300000001</v>
      </c>
      <c r="W101" s="40">
        <f>V100*W102</f>
        <v>29085.277643999998</v>
      </c>
      <c r="X101" s="40">
        <f>W100*X102</f>
        <v>28595.044326719999</v>
      </c>
      <c r="Y101" s="40">
        <f>X100*Y102</f>
        <v>28463.639007513601</v>
      </c>
    </row>
    <row r="102" spans="1:26" x14ac:dyDescent="0.25">
      <c r="B102" t="s">
        <v>184</v>
      </c>
      <c r="C102" s="45"/>
      <c r="D102" s="45">
        <f>D101/C100</f>
        <v>5.5462449687021041E-2</v>
      </c>
      <c r="E102" s="45">
        <f t="shared" ref="E102:K102" si="76">E101/D100</f>
        <v>5.2602751730786081E-2</v>
      </c>
      <c r="F102" s="45">
        <f t="shared" si="76"/>
        <v>5.6934740597591793E-2</v>
      </c>
      <c r="G102" s="45"/>
      <c r="H102" s="45">
        <f t="shared" si="76"/>
        <v>5.5674786674631799E-2</v>
      </c>
      <c r="I102" s="45">
        <f t="shared" si="76"/>
        <v>4.7402561056762424E-2</v>
      </c>
      <c r="J102" s="45">
        <f t="shared" si="76"/>
        <v>3.9133902460638643E-2</v>
      </c>
      <c r="K102" s="45">
        <f t="shared" si="76"/>
        <v>5.1780439336161985E-2</v>
      </c>
      <c r="L102" s="45">
        <f>L101/G100</f>
        <v>0.23184429645035437</v>
      </c>
      <c r="M102" s="45">
        <f t="shared" ref="M102" si="77">M101/L100</f>
        <v>4.3992773261065946E-2</v>
      </c>
      <c r="N102" s="45">
        <f t="shared" ref="N102" si="78">N101/M100</f>
        <v>3.4416760800528572E-2</v>
      </c>
      <c r="O102" s="45">
        <f t="shared" ref="O102" si="79">O101/N100</f>
        <v>2.7498193506098643E-2</v>
      </c>
      <c r="P102" s="45">
        <f t="shared" ref="P102" si="80">P101/O100</f>
        <v>3.2188607249931861E-2</v>
      </c>
      <c r="Q102" s="45">
        <f>Q101/L100</f>
        <v>0.15479484619407596</v>
      </c>
      <c r="R102" s="45">
        <f t="shared" ref="R102" si="81">R101/Q100</f>
        <v>3.1856487473924625E-2</v>
      </c>
      <c r="S102" s="45">
        <f t="shared" ref="S102" si="82">S101/R100</f>
        <v>3.3015094567161778E-2</v>
      </c>
      <c r="T102" s="59">
        <v>3.5000000000000003E-2</v>
      </c>
      <c r="U102" s="59">
        <v>3.5000000000000003E-2</v>
      </c>
      <c r="V102" s="45">
        <f>V101/Q100</f>
        <v>0.13195301603511814</v>
      </c>
      <c r="W102" s="59">
        <v>0.12</v>
      </c>
      <c r="X102" s="59">
        <v>0.12</v>
      </c>
      <c r="Y102" s="59">
        <v>0.12</v>
      </c>
    </row>
    <row r="104" spans="1:26" x14ac:dyDescent="0.25">
      <c r="B104" t="s">
        <v>161</v>
      </c>
      <c r="C104" s="40">
        <f>C69</f>
        <v>30056</v>
      </c>
      <c r="D104" s="40">
        <f t="shared" ref="D104:Y104" si="83">D69</f>
        <v>36603</v>
      </c>
      <c r="E104" s="40">
        <f t="shared" si="83"/>
        <v>30677</v>
      </c>
      <c r="F104" s="40">
        <f t="shared" si="83"/>
        <v>25575</v>
      </c>
      <c r="G104" s="40">
        <f t="shared" si="83"/>
        <v>122911</v>
      </c>
      <c r="H104" s="40">
        <f t="shared" si="83"/>
        <v>27554</v>
      </c>
      <c r="I104" s="40">
        <f t="shared" si="83"/>
        <v>26735</v>
      </c>
      <c r="J104" s="40">
        <f t="shared" si="83"/>
        <v>27705</v>
      </c>
      <c r="K104" s="40">
        <f t="shared" si="83"/>
        <v>24136</v>
      </c>
      <c r="L104" s="40">
        <f t="shared" si="83"/>
        <v>106130</v>
      </c>
      <c r="M104" s="40">
        <f t="shared" si="83"/>
        <v>26052</v>
      </c>
      <c r="N104" s="40">
        <f t="shared" si="83"/>
        <v>27998</v>
      </c>
      <c r="O104" s="40">
        <f t="shared" si="83"/>
        <v>28142</v>
      </c>
      <c r="P104" s="40">
        <f t="shared" si="83"/>
        <v>31122</v>
      </c>
      <c r="Q104" s="40">
        <f t="shared" si="83"/>
        <v>113314</v>
      </c>
      <c r="R104" s="40">
        <f t="shared" si="83"/>
        <v>26054</v>
      </c>
      <c r="S104" s="40">
        <f t="shared" si="83"/>
        <v>27574</v>
      </c>
      <c r="T104" s="40">
        <f t="shared" si="83"/>
        <v>29559.37240371498</v>
      </c>
      <c r="U104" s="40">
        <f t="shared" si="83"/>
        <v>31304.181034041252</v>
      </c>
      <c r="V104" s="40">
        <f t="shared" si="83"/>
        <v>114491.55343775623</v>
      </c>
      <c r="W104" s="40">
        <f t="shared" si="83"/>
        <v>115415.00971554682</v>
      </c>
      <c r="X104" s="40">
        <f t="shared" si="83"/>
        <v>120320.98631820409</v>
      </c>
      <c r="Y104" s="40">
        <f t="shared" si="83"/>
        <v>125436.58396485864</v>
      </c>
    </row>
    <row r="105" spans="1:26" s="99" customFormat="1" x14ac:dyDescent="0.25">
      <c r="B105" t="s">
        <v>185</v>
      </c>
      <c r="C105" s="100">
        <f>'Three Statement Model'!C94</f>
        <v>1452</v>
      </c>
      <c r="D105" s="100">
        <f>'Three Statement Model'!D94</f>
        <v>914</v>
      </c>
      <c r="E105" s="100">
        <f>'Three Statement Model'!E94</f>
        <v>1199</v>
      </c>
      <c r="F105" s="100">
        <f>'Three Statement Model'!F94</f>
        <v>971</v>
      </c>
      <c r="G105" s="100">
        <f>'Three Statement Model'!G94</f>
        <v>4536</v>
      </c>
      <c r="H105" s="100">
        <f>'Three Statement Model'!H94</f>
        <v>1177</v>
      </c>
      <c r="I105" s="100">
        <f>'Three Statement Model'!I94</f>
        <v>1428</v>
      </c>
      <c r="J105" s="100">
        <f>'Three Statement Model'!J94</f>
        <v>1254</v>
      </c>
      <c r="K105" s="100">
        <f>'Three Statement Model'!K94</f>
        <v>1243</v>
      </c>
      <c r="L105" s="100">
        <f>'Three Statement Model'!L94</f>
        <v>5102</v>
      </c>
      <c r="M105" s="100">
        <f>'Three Statement Model'!M94</f>
        <v>1276</v>
      </c>
      <c r="N105" s="100">
        <f>'Three Statement Model'!N94</f>
        <v>1483</v>
      </c>
      <c r="O105" s="100">
        <f>'Three Statement Model'!O94</f>
        <v>1505</v>
      </c>
      <c r="P105" s="100">
        <f>'Three Statement Model'!P94</f>
        <v>1419</v>
      </c>
      <c r="Q105" s="100">
        <f>'Three Statement Model'!Q94</f>
        <v>5683</v>
      </c>
      <c r="R105" s="100">
        <f>'Three Statement Model'!R94</f>
        <v>1854</v>
      </c>
      <c r="S105" s="100">
        <f>'Three Statement Model'!S94</f>
        <v>1868</v>
      </c>
      <c r="T105" s="99">
        <f>T104*T106</f>
        <v>1773.5623442228987</v>
      </c>
      <c r="U105" s="99">
        <f>U104*U106</f>
        <v>1878.2508620424751</v>
      </c>
      <c r="V105" s="40">
        <f>SUM(R105:U105)</f>
        <v>7373.813206265374</v>
      </c>
      <c r="W105" s="99">
        <f>W104*W106</f>
        <v>8656.1257286660111</v>
      </c>
      <c r="X105" s="99">
        <f>X104*X106</f>
        <v>9024.0739738653065</v>
      </c>
      <c r="Y105" s="99">
        <f>Y104*Y106</f>
        <v>9407.7437973643973</v>
      </c>
    </row>
    <row r="106" spans="1:26" x14ac:dyDescent="0.25">
      <c r="B106" t="s">
        <v>186</v>
      </c>
      <c r="C106" s="101">
        <f>C105/C104</f>
        <v>4.8309821666223052E-2</v>
      </c>
      <c r="D106" s="101">
        <f t="shared" ref="D106:S106" si="84">D105/D104</f>
        <v>2.4970630822610168E-2</v>
      </c>
      <c r="E106" s="101">
        <f t="shared" si="84"/>
        <v>3.908465625713075E-2</v>
      </c>
      <c r="F106" s="101">
        <f t="shared" si="84"/>
        <v>3.7966764418377319E-2</v>
      </c>
      <c r="G106" s="101">
        <f t="shared" si="84"/>
        <v>3.6904752219085353E-2</v>
      </c>
      <c r="H106" s="101">
        <f t="shared" si="84"/>
        <v>4.2716121071350803E-2</v>
      </c>
      <c r="I106" s="101">
        <f t="shared" si="84"/>
        <v>5.3413128857303163E-2</v>
      </c>
      <c r="J106" s="101">
        <f t="shared" si="84"/>
        <v>4.5262587980508931E-2</v>
      </c>
      <c r="K106" s="101">
        <f t="shared" si="84"/>
        <v>5.149983427245608E-2</v>
      </c>
      <c r="L106" s="101">
        <f t="shared" si="84"/>
        <v>4.8073117874305099E-2</v>
      </c>
      <c r="M106" s="101">
        <f t="shared" si="84"/>
        <v>4.8978965146629819E-2</v>
      </c>
      <c r="N106" s="101">
        <f t="shared" si="84"/>
        <v>5.2968069147796268E-2</v>
      </c>
      <c r="O106" s="101">
        <f t="shared" si="84"/>
        <v>5.3478786155923531E-2</v>
      </c>
      <c r="P106" s="101">
        <f t="shared" si="84"/>
        <v>4.559475612107191E-2</v>
      </c>
      <c r="Q106" s="101">
        <f t="shared" si="84"/>
        <v>5.0152673103058758E-2</v>
      </c>
      <c r="R106" s="101">
        <f t="shared" si="84"/>
        <v>7.115989867198895E-2</v>
      </c>
      <c r="S106" s="101">
        <f t="shared" si="84"/>
        <v>6.7744977152389932E-2</v>
      </c>
      <c r="T106" s="59">
        <v>0.06</v>
      </c>
      <c r="U106" s="59">
        <v>0.06</v>
      </c>
      <c r="V106" s="45">
        <f>V105/Q104</f>
        <v>6.5074158588218342E-2</v>
      </c>
      <c r="W106" s="59">
        <v>7.4999999999999997E-2</v>
      </c>
      <c r="X106" s="59">
        <v>7.4999999999999997E-2</v>
      </c>
      <c r="Y106" s="59">
        <v>7.4999999999999997E-2</v>
      </c>
    </row>
    <row r="108" spans="1:26" x14ac:dyDescent="0.25">
      <c r="B108" t="s">
        <v>187</v>
      </c>
      <c r="C108" s="43">
        <f>'Three Statement Model'!C115</f>
        <v>-5769</v>
      </c>
      <c r="D108" s="43">
        <f>'Three Statement Model'!D115</f>
        <v>-4344</v>
      </c>
      <c r="E108" s="43">
        <f>'Three Statement Model'!E115</f>
        <v>-4977</v>
      </c>
      <c r="F108" s="43">
        <f>'Three Statement Model'!F115</f>
        <v>-8882</v>
      </c>
      <c r="G108" s="43">
        <f>'Three Statement Model'!G115</f>
        <v>-23972</v>
      </c>
      <c r="H108" s="43">
        <f>'Three Statement Model'!H115</f>
        <v>-11538</v>
      </c>
      <c r="I108" s="43">
        <f>'Three Statement Model'!I115</f>
        <v>-27881</v>
      </c>
      <c r="J108" s="43">
        <f>'Three Statement Model'!J115</f>
        <v>-25167</v>
      </c>
      <c r="K108" s="43">
        <f>'Three Statement Model'!K115</f>
        <v>-24979</v>
      </c>
      <c r="L108" s="43">
        <f>'Three Statement Model'!L115</f>
        <v>-89565</v>
      </c>
      <c r="M108" s="43">
        <f>'Three Statement Model'!M115</f>
        <v>-32057</v>
      </c>
      <c r="N108" s="43">
        <f>'Three Statement Model'!N115</f>
        <v>-34926</v>
      </c>
      <c r="O108" s="43">
        <f>'Three Statement Model'!O115</f>
        <v>-18205</v>
      </c>
      <c r="P108" s="43">
        <f>'Three Statement Model'!P115</f>
        <v>-5571</v>
      </c>
      <c r="Q108" s="43">
        <f>'Three Statement Model'!Q115</f>
        <v>-90759</v>
      </c>
      <c r="R108" s="43">
        <f>'Three Statement Model'!R115</f>
        <v>-4702</v>
      </c>
      <c r="S108" s="43">
        <f>'Three Statement Model'!S115</f>
        <v>-3302</v>
      </c>
      <c r="T108" s="113">
        <v>-7500</v>
      </c>
      <c r="U108" s="113">
        <v>-7500</v>
      </c>
      <c r="V108" s="43">
        <f>'Three Statement Model'!V115</f>
        <v>-23004</v>
      </c>
      <c r="W108" s="113">
        <v>-25000</v>
      </c>
      <c r="X108" s="113">
        <v>-27500</v>
      </c>
      <c r="Y108" s="113">
        <v>-30000</v>
      </c>
      <c r="Z108" s="63" t="s">
        <v>188</v>
      </c>
    </row>
    <row r="110" spans="1:26" x14ac:dyDescent="0.25">
      <c r="A110" s="28" t="s">
        <v>97</v>
      </c>
      <c r="B110" s="32" t="s">
        <v>189</v>
      </c>
      <c r="C110" s="33" t="s">
        <v>99</v>
      </c>
      <c r="D110" s="33" t="s">
        <v>99</v>
      </c>
      <c r="E110" s="33" t="s">
        <v>100</v>
      </c>
      <c r="F110" s="33" t="s">
        <v>101</v>
      </c>
      <c r="G110" s="33" t="s">
        <v>102</v>
      </c>
      <c r="H110" s="33" t="s">
        <v>103</v>
      </c>
      <c r="I110" s="33" t="s">
        <v>104</v>
      </c>
      <c r="J110" s="33" t="s">
        <v>105</v>
      </c>
      <c r="K110" s="33" t="s">
        <v>106</v>
      </c>
      <c r="L110" s="33" t="s">
        <v>107</v>
      </c>
      <c r="M110" s="33" t="s">
        <v>108</v>
      </c>
      <c r="N110" s="33" t="s">
        <v>109</v>
      </c>
      <c r="O110" s="33" t="s">
        <v>110</v>
      </c>
      <c r="P110" s="33" t="s">
        <v>111</v>
      </c>
      <c r="Q110" s="33" t="s">
        <v>112</v>
      </c>
      <c r="R110" s="33" t="s">
        <v>113</v>
      </c>
      <c r="S110" s="33" t="s">
        <v>114</v>
      </c>
      <c r="T110" s="30" t="s">
        <v>115</v>
      </c>
      <c r="U110" s="30" t="s">
        <v>116</v>
      </c>
      <c r="V110" s="30" t="s">
        <v>117</v>
      </c>
      <c r="W110" s="30" t="s">
        <v>118</v>
      </c>
      <c r="X110" s="30" t="s">
        <v>119</v>
      </c>
      <c r="Y110" s="30" t="s">
        <v>120</v>
      </c>
    </row>
    <row r="111" spans="1:26" x14ac:dyDescent="0.25">
      <c r="B111" s="34" t="s">
        <v>151</v>
      </c>
      <c r="C111" s="35">
        <v>44408</v>
      </c>
      <c r="D111" s="35">
        <v>44500</v>
      </c>
      <c r="E111" s="35">
        <v>44592</v>
      </c>
      <c r="F111" s="35">
        <v>44681</v>
      </c>
      <c r="G111" s="35">
        <v>44681</v>
      </c>
      <c r="H111" s="35">
        <v>44773</v>
      </c>
      <c r="I111" s="35">
        <v>44865</v>
      </c>
      <c r="J111" s="35">
        <v>44957</v>
      </c>
      <c r="K111" s="35">
        <v>45046</v>
      </c>
      <c r="L111" s="35">
        <v>45046</v>
      </c>
      <c r="M111" s="35">
        <v>45138</v>
      </c>
      <c r="N111" s="35">
        <v>45230</v>
      </c>
      <c r="O111" s="35">
        <v>45322</v>
      </c>
      <c r="P111" s="35">
        <v>45412</v>
      </c>
      <c r="Q111" s="35">
        <v>45412</v>
      </c>
      <c r="R111" s="35">
        <v>45504</v>
      </c>
      <c r="S111" s="35">
        <v>45596</v>
      </c>
      <c r="T111" s="31">
        <v>45688</v>
      </c>
      <c r="U111" s="31">
        <v>45777</v>
      </c>
      <c r="V111" s="31">
        <v>45777</v>
      </c>
      <c r="W111" s="31">
        <v>46053</v>
      </c>
      <c r="X111" s="31">
        <v>46507</v>
      </c>
      <c r="Y111" s="31">
        <v>46873</v>
      </c>
    </row>
    <row r="113" spans="2:25" s="43" customFormat="1" x14ac:dyDescent="0.25">
      <c r="B113" t="s">
        <v>190</v>
      </c>
      <c r="C113" s="43">
        <f>'Three Statement Model'!C110</f>
        <v>109087</v>
      </c>
      <c r="D113" s="43">
        <f>'Three Statement Model'!D110</f>
        <v>-3723</v>
      </c>
      <c r="E113" s="43">
        <f>'Three Statement Model'!E110</f>
        <v>6911</v>
      </c>
      <c r="F113" s="43">
        <f>'Three Statement Model'!F110</f>
        <v>25539</v>
      </c>
      <c r="G113" s="43">
        <f>'Three Statement Model'!G110</f>
        <v>137814</v>
      </c>
      <c r="H113" s="43">
        <f>'Three Statement Model'!H110</f>
        <v>7145</v>
      </c>
      <c r="I113" s="43">
        <f>'Three Statement Model'!I110</f>
        <v>-35310</v>
      </c>
      <c r="J113" s="43">
        <f>'Three Statement Model'!J110</f>
        <v>6917</v>
      </c>
      <c r="K113" s="43">
        <f>'Three Statement Model'!K110</f>
        <v>37980</v>
      </c>
      <c r="L113" s="43">
        <f>'Three Statement Model'!L110</f>
        <v>16732</v>
      </c>
      <c r="M113" s="43">
        <f>'Three Statement Model'!M110</f>
        <v>40630</v>
      </c>
      <c r="N113" s="43">
        <f>'Three Statement Model'!N110</f>
        <v>-2874</v>
      </c>
      <c r="O113" s="43">
        <f>'Three Statement Model'!O110</f>
        <v>25367</v>
      </c>
      <c r="P113" s="43">
        <f>'Three Statement Model'!P110</f>
        <v>43617</v>
      </c>
      <c r="Q113" s="43">
        <f>'Three Statement Model'!Q110</f>
        <v>106739</v>
      </c>
      <c r="R113" s="43">
        <f>'Three Statement Model'!R110</f>
        <v>-30815</v>
      </c>
      <c r="S113" s="43">
        <f>'Three Statement Model'!S110</f>
        <v>-7397</v>
      </c>
      <c r="T113" s="43">
        <f>'Three Statement Model'!T110</f>
        <v>34732.268362782917</v>
      </c>
      <c r="U113" s="43">
        <f>'Three Statement Model'!U110</f>
        <v>55135.339649001944</v>
      </c>
      <c r="V113" s="43">
        <f>'Three Statement Model'!V110</f>
        <v>51796.608011784883</v>
      </c>
      <c r="W113" s="43">
        <f ca="1">'Three Statement Model'!W110</f>
        <v>67522.888971691165</v>
      </c>
      <c r="X113" s="43">
        <f ca="1">'Three Statement Model'!X110</f>
        <v>69926.920690835963</v>
      </c>
      <c r="Y113" s="43">
        <f ca="1">'Three Statement Model'!Y110</f>
        <v>75441.315979133331</v>
      </c>
    </row>
    <row r="114" spans="2:25" s="43" customFormat="1" x14ac:dyDescent="0.25">
      <c r="B114" t="s">
        <v>191</v>
      </c>
      <c r="C114" s="43">
        <f>'Three Statement Model'!C116</f>
        <v>-5768</v>
      </c>
      <c r="D114" s="43">
        <f>'Three Statement Model'!D116</f>
        <v>-4431</v>
      </c>
      <c r="E114" s="43">
        <f>'Three Statement Model'!E116</f>
        <v>-5012</v>
      </c>
      <c r="F114" s="43">
        <f>'Three Statement Model'!F116</f>
        <v>-8905</v>
      </c>
      <c r="G114" s="43">
        <f>'Three Statement Model'!G116</f>
        <v>-24116</v>
      </c>
      <c r="H114" s="43">
        <f>'Three Statement Model'!H116</f>
        <v>-11586</v>
      </c>
      <c r="I114" s="43">
        <f>'Three Statement Model'!I116</f>
        <v>-28004</v>
      </c>
      <c r="J114" s="43">
        <f>'Three Statement Model'!J116</f>
        <v>-25162</v>
      </c>
      <c r="K114" s="43">
        <f>'Three Statement Model'!K116</f>
        <v>-25029</v>
      </c>
      <c r="L114" s="43">
        <f>'Three Statement Model'!L116</f>
        <v>-89781</v>
      </c>
      <c r="M114" s="43">
        <f>'Three Statement Model'!M116</f>
        <v>-32067</v>
      </c>
      <c r="N114" s="43">
        <f>'Three Statement Model'!N116</f>
        <v>-34996</v>
      </c>
      <c r="O114" s="43">
        <f>'Three Statement Model'!O116</f>
        <v>-15412</v>
      </c>
      <c r="P114" s="43">
        <f>'Three Statement Model'!P116</f>
        <v>985</v>
      </c>
      <c r="Q114" s="43">
        <f>'Three Statement Model'!Q116</f>
        <v>-81490</v>
      </c>
      <c r="R114" s="43">
        <f>'Three Statement Model'!R116</f>
        <v>-4665</v>
      </c>
      <c r="S114" s="43">
        <f>'Three Statement Model'!S116</f>
        <v>-3214</v>
      </c>
      <c r="T114" s="43">
        <f>'Three Statement Model'!T116</f>
        <v>-7500</v>
      </c>
      <c r="U114" s="43">
        <f>'Three Statement Model'!U116</f>
        <v>-7500</v>
      </c>
      <c r="V114" s="43">
        <f>'Three Statement Model'!V116</f>
        <v>-23004</v>
      </c>
      <c r="W114" s="43">
        <f>'Three Statement Model'!W116</f>
        <v>-25000</v>
      </c>
      <c r="X114" s="43">
        <f>'Three Statement Model'!X116</f>
        <v>-27500</v>
      </c>
      <c r="Y114" s="43">
        <f>'Three Statement Model'!Y116</f>
        <v>-30000</v>
      </c>
    </row>
    <row r="115" spans="2:25" x14ac:dyDescent="0.25">
      <c r="B115" t="s">
        <v>192</v>
      </c>
      <c r="C115" s="43">
        <f>'Three Statement Model'!C123</f>
        <v>-3844</v>
      </c>
      <c r="D115" s="43">
        <f>'Three Statement Model'!D123</f>
        <v>-3848</v>
      </c>
      <c r="E115" s="43">
        <f>'Three Statement Model'!E123</f>
        <v>-3701</v>
      </c>
      <c r="F115" s="43">
        <f>'Three Statement Model'!F123</f>
        <v>-3642</v>
      </c>
      <c r="G115" s="43">
        <f>'Three Statement Model'!G123</f>
        <v>-15035</v>
      </c>
      <c r="H115" s="43">
        <f>'Three Statement Model'!H123</f>
        <v>-4576</v>
      </c>
      <c r="I115" s="43">
        <f>'Three Statement Model'!I123</f>
        <v>-4577</v>
      </c>
      <c r="J115" s="43">
        <f>'Three Statement Model'!J123</f>
        <v>-4591</v>
      </c>
      <c r="K115" s="43">
        <f>'Three Statement Model'!K123</f>
        <v>-4589</v>
      </c>
      <c r="L115" s="43">
        <f>'Three Statement Model'!L123</f>
        <v>-18333</v>
      </c>
      <c r="M115" s="43">
        <f>'Three Statement Model'!M123</f>
        <v>-5536</v>
      </c>
      <c r="N115" s="43">
        <f>'Three Statement Model'!N123</f>
        <v>-5544</v>
      </c>
      <c r="O115" s="43">
        <f>'Three Statement Model'!O123</f>
        <v>-5477</v>
      </c>
      <c r="P115" s="43">
        <f>'Three Statement Model'!P123</f>
        <v>-5463</v>
      </c>
      <c r="Q115" s="43">
        <f>'Three Statement Model'!Q123</f>
        <v>-22020</v>
      </c>
      <c r="R115" s="43">
        <f>'Three Statement Model'!R123</f>
        <v>-5886</v>
      </c>
      <c r="S115" s="43">
        <f>'Three Statement Model'!S123</f>
        <v>-5766</v>
      </c>
      <c r="T115" s="40">
        <f>T116*S134*-1</f>
        <v>-5720.3513900000007</v>
      </c>
      <c r="U115" s="40">
        <f ca="1">U116*T134*-1</f>
        <v>-5663.1795921372341</v>
      </c>
      <c r="V115" s="43">
        <f ca="1">'Three Statement Model'!V123</f>
        <v>-23035.530982137236</v>
      </c>
      <c r="W115" s="40">
        <f ca="1">W116*V134*-1</f>
        <v>-21682.926105357117</v>
      </c>
      <c r="X115" s="40">
        <f ca="1">X116*W134*-1</f>
        <v>-21577.527581871844</v>
      </c>
      <c r="Y115" s="40">
        <f ca="1">Y116*X134*-1</f>
        <v>-21368.774720873786</v>
      </c>
    </row>
    <row r="116" spans="2:25" x14ac:dyDescent="0.25">
      <c r="B116" s="36" t="s">
        <v>193</v>
      </c>
      <c r="T116" s="170">
        <v>0.13</v>
      </c>
      <c r="U116" s="170">
        <v>0.13</v>
      </c>
      <c r="V116" s="111"/>
      <c r="W116" s="170">
        <v>0.52</v>
      </c>
      <c r="X116" s="170">
        <v>0.52</v>
      </c>
      <c r="Y116" s="170">
        <v>0.52</v>
      </c>
    </row>
    <row r="117" spans="2:25" s="40" customFormat="1" x14ac:dyDescent="0.25">
      <c r="B117" t="s">
        <v>194</v>
      </c>
      <c r="C117" s="40">
        <f>SUM(C113:C115)</f>
        <v>99475</v>
      </c>
      <c r="D117" s="40">
        <f t="shared" ref="D117:Y117" si="85">SUM(D113:D115)</f>
        <v>-12002</v>
      </c>
      <c r="E117" s="40">
        <f t="shared" si="85"/>
        <v>-1802</v>
      </c>
      <c r="F117" s="40">
        <f t="shared" si="85"/>
        <v>12992</v>
      </c>
      <c r="G117" s="40">
        <f t="shared" si="85"/>
        <v>98663</v>
      </c>
      <c r="H117" s="40">
        <f t="shared" si="85"/>
        <v>-9017</v>
      </c>
      <c r="I117" s="40">
        <f t="shared" si="85"/>
        <v>-67891</v>
      </c>
      <c r="J117" s="40">
        <f t="shared" si="85"/>
        <v>-22836</v>
      </c>
      <c r="K117" s="40">
        <f t="shared" si="85"/>
        <v>8362</v>
      </c>
      <c r="L117" s="40">
        <f t="shared" si="85"/>
        <v>-91382</v>
      </c>
      <c r="M117" s="40">
        <f t="shared" si="85"/>
        <v>3027</v>
      </c>
      <c r="N117" s="40">
        <f t="shared" si="85"/>
        <v>-43414</v>
      </c>
      <c r="O117" s="40">
        <f t="shared" si="85"/>
        <v>4478</v>
      </c>
      <c r="P117" s="40">
        <f t="shared" si="85"/>
        <v>39139</v>
      </c>
      <c r="Q117" s="40">
        <f t="shared" si="85"/>
        <v>3229</v>
      </c>
      <c r="R117" s="40">
        <f t="shared" si="85"/>
        <v>-41366</v>
      </c>
      <c r="S117" s="40">
        <f t="shared" si="85"/>
        <v>-16377</v>
      </c>
      <c r="T117" s="40">
        <f t="shared" si="85"/>
        <v>21511.916972782918</v>
      </c>
      <c r="U117" s="40">
        <f t="shared" ca="1" si="85"/>
        <v>41972.160056864712</v>
      </c>
      <c r="V117" s="40">
        <f t="shared" ca="1" si="85"/>
        <v>5757.0770296476476</v>
      </c>
      <c r="W117" s="40">
        <f t="shared" ca="1" si="85"/>
        <v>20839.962866334048</v>
      </c>
      <c r="X117" s="40">
        <f t="shared" ca="1" si="85"/>
        <v>20849.393108964119</v>
      </c>
      <c r="Y117" s="40">
        <f t="shared" ca="1" si="85"/>
        <v>24072.541258259545</v>
      </c>
    </row>
    <row r="119" spans="2:25" x14ac:dyDescent="0.25">
      <c r="B119" t="s">
        <v>195</v>
      </c>
      <c r="T119" s="113">
        <v>-15000</v>
      </c>
      <c r="U119" s="113">
        <v>-20000</v>
      </c>
      <c r="W119" s="113">
        <v>-10000</v>
      </c>
      <c r="X119" s="113">
        <v>-7500</v>
      </c>
      <c r="Y119" s="113">
        <v>-5000</v>
      </c>
    </row>
    <row r="120" spans="2:25" x14ac:dyDescent="0.25">
      <c r="B120" t="s">
        <v>196</v>
      </c>
      <c r="C120" s="43">
        <f>'Three Statement Model'!C121</f>
        <v>0</v>
      </c>
      <c r="D120" s="43">
        <f>'Three Statement Model'!D121</f>
        <v>0</v>
      </c>
      <c r="E120" s="43">
        <f>'Three Statement Model'!E121</f>
        <v>0</v>
      </c>
      <c r="F120" s="43">
        <f>'Three Statement Model'!F121</f>
        <v>0</v>
      </c>
      <c r="G120" s="43">
        <f>'Three Statement Model'!G121</f>
        <v>0</v>
      </c>
      <c r="H120" s="43">
        <f>'Three Statement Model'!H121</f>
        <v>0</v>
      </c>
      <c r="I120" s="43">
        <f>'Three Statement Model'!I121</f>
        <v>0</v>
      </c>
      <c r="J120" s="43">
        <f>'Three Statement Model'!J121</f>
        <v>-231</v>
      </c>
      <c r="K120" s="43">
        <f>'Three Statement Model'!K121</f>
        <v>231</v>
      </c>
      <c r="L120" s="43">
        <f>'Three Statement Model'!L121</f>
        <v>0</v>
      </c>
      <c r="M120" s="43">
        <f>'Three Statement Model'!M121</f>
        <v>0</v>
      </c>
      <c r="N120" s="43">
        <f>'Three Statement Model'!N121</f>
        <v>-10000</v>
      </c>
      <c r="O120" s="43">
        <f>'Three Statement Model'!O121</f>
        <v>0</v>
      </c>
      <c r="P120" s="43">
        <f>'Three Statement Model'!P121</f>
        <v>-25000</v>
      </c>
      <c r="Q120" s="43">
        <f>'Three Statement Model'!Q121</f>
        <v>-35000</v>
      </c>
      <c r="R120" s="43">
        <f>'Three Statement Model'!R121</f>
        <v>0</v>
      </c>
      <c r="S120" s="43">
        <f>'Three Statement Model'!S121</f>
        <v>0</v>
      </c>
      <c r="T120" s="40">
        <f>IF((IF((T117*-1)&lt;T119,T119,(T117*-1)))&lt;0,(IF((T117*-1)&lt;T119,T119,(T117*-1))),0)</f>
        <v>-15000</v>
      </c>
      <c r="U120" s="40">
        <f ca="1">IF((IF((U117*-1)&lt;U119,U119,(U117*-1)))&lt;0,(IF((U117*-1)&lt;U119,U119,(U117*-1))),0)</f>
        <v>-20000</v>
      </c>
      <c r="V120" s="43">
        <f ca="1">'Three Statement Model'!V121</f>
        <v>-35000</v>
      </c>
      <c r="W120" s="40">
        <f ca="1">IF((IF((W117*-1)&lt;W119,W119,(W117*-1)))&lt;0,(IF((W117*-1)&lt;W119,W119,(W117*-1))),0)</f>
        <v>-10000</v>
      </c>
      <c r="X120" s="40">
        <f ca="1">IF((IF((X117*-1)&lt;X119,X119,(X117*-1)))&lt;0,(IF((X117*-1)&lt;X119,X119,(X117*-1))),0)</f>
        <v>-7500</v>
      </c>
      <c r="Y120" s="40">
        <f ca="1">IF((IF((Y117*-1)&lt;Y119,Y119,(Y117*-1)))&lt;0,(IF((Y117*-1)&lt;Y119,Y119,(Y117*-1))),0)</f>
        <v>-5000</v>
      </c>
    </row>
    <row r="121" spans="2:25" x14ac:dyDescent="0.25">
      <c r="B121" t="s">
        <v>197</v>
      </c>
      <c r="C121" s="43">
        <f>'Three Statement Model'!C118</f>
        <v>0</v>
      </c>
      <c r="D121" s="43">
        <f>'Three Statement Model'!D118</f>
        <v>0</v>
      </c>
      <c r="E121" s="43">
        <f>'Three Statement Model'!E118</f>
        <v>0</v>
      </c>
      <c r="F121" s="43">
        <f>'Three Statement Model'!F118</f>
        <v>0</v>
      </c>
      <c r="G121" s="43">
        <f>'Three Statement Model'!G118</f>
        <v>0</v>
      </c>
      <c r="H121" s="43">
        <f>'Three Statement Model'!H118</f>
        <v>0</v>
      </c>
      <c r="I121" s="43">
        <f>'Three Statement Model'!I118</f>
        <v>0</v>
      </c>
      <c r="J121" s="43">
        <f>'Three Statement Model'!J118</f>
        <v>25000</v>
      </c>
      <c r="K121" s="43">
        <f>'Three Statement Model'!K118</f>
        <v>0</v>
      </c>
      <c r="L121" s="43">
        <f>'Three Statement Model'!L118</f>
        <v>25000</v>
      </c>
      <c r="M121" s="43">
        <f>'Three Statement Model'!M118</f>
        <v>0</v>
      </c>
      <c r="N121" s="43">
        <f>'Three Statement Model'!N118</f>
        <v>50000</v>
      </c>
      <c r="O121" s="43">
        <f>'Three Statement Model'!O118</f>
        <v>0</v>
      </c>
      <c r="P121" s="43">
        <f>'Three Statement Model'!P118</f>
        <v>0</v>
      </c>
      <c r="Q121" s="43">
        <f>'Three Statement Model'!Q118</f>
        <v>50000</v>
      </c>
      <c r="R121" s="43">
        <f>'Three Statement Model'!R118</f>
        <v>30000</v>
      </c>
      <c r="S121" s="43">
        <f>'Three Statement Model'!S118</f>
        <v>30000</v>
      </c>
      <c r="T121" s="40">
        <f>IF((IF((T117*-1)&lt;T119,T119,(T117*-1)))&gt;0,(IF((T117*-1)&lt;T119,T119,(T117*-1))),0)</f>
        <v>0</v>
      </c>
      <c r="U121" s="40">
        <f ca="1">IF((IF((U117*-1)&lt;U119,U119,(U117*-1)))&gt;0,(IF((U117*-1)&lt;U119,U119,(U117*-1))),0)</f>
        <v>0</v>
      </c>
      <c r="V121" s="43">
        <f ca="1">'Three Statement Model'!V118</f>
        <v>60000</v>
      </c>
      <c r="W121" s="40">
        <f ca="1">IF((IF((W117*-1)&lt;W119,W119,(W117*-1)))&gt;0,(IF((W117*-1)&lt;W119,W119,(W117*-1))),0)</f>
        <v>0</v>
      </c>
      <c r="X121" s="40">
        <f ca="1">IF((IF((X117*-1)&lt;X119,X119,(X117*-1)))&gt;0,(IF((X117*-1)&lt;X119,X119,(X117*-1))),0)</f>
        <v>0</v>
      </c>
      <c r="Y121" s="40">
        <f ca="1">IF((IF((Y117*-1)&lt;Y119,Y119,(Y117*-1)))&gt;0,(IF((Y117*-1)&lt;Y119,Y119,(Y117*-1))),0)</f>
        <v>0</v>
      </c>
    </row>
    <row r="122" spans="2:25" x14ac:dyDescent="0.25">
      <c r="B122" t="s">
        <v>198</v>
      </c>
      <c r="T122" s="40">
        <f>T117+T120+T121</f>
        <v>6511.9169727829176</v>
      </c>
      <c r="U122" s="40">
        <f ca="1">U117+U120+U121</f>
        <v>21972.160056864712</v>
      </c>
      <c r="W122" s="40">
        <f ca="1">W117+W120+W121</f>
        <v>10839.962866334048</v>
      </c>
      <c r="X122" s="40">
        <f ca="1">X117+X120+X121</f>
        <v>13349.393108964119</v>
      </c>
      <c r="Y122" s="40">
        <f ca="1">Y117+Y120+Y121</f>
        <v>19072.541258259545</v>
      </c>
    </row>
    <row r="124" spans="2:25" x14ac:dyDescent="0.25">
      <c r="B124" t="s">
        <v>199</v>
      </c>
      <c r="C124" s="43">
        <f>'Three Statement Model'!C122</f>
        <v>-40000</v>
      </c>
      <c r="D124" s="43">
        <f>'Three Statement Model'!D122</f>
        <v>0</v>
      </c>
      <c r="E124" s="43">
        <f>'Three Statement Model'!E122</f>
        <v>-50000</v>
      </c>
      <c r="F124" s="43">
        <f>'Three Statement Model'!F122</f>
        <v>0</v>
      </c>
      <c r="G124" s="43">
        <f>'Three Statement Model'!G122</f>
        <v>-90000</v>
      </c>
      <c r="H124" s="43">
        <f>'Three Statement Model'!H122</f>
        <v>0</v>
      </c>
      <c r="I124" s="43">
        <f>'Three Statement Model'!I122</f>
        <v>0</v>
      </c>
      <c r="J124" s="43">
        <f>'Three Statement Model'!J122</f>
        <v>0</v>
      </c>
      <c r="K124" s="43">
        <f>'Three Statement Model'!K122</f>
        <v>0</v>
      </c>
      <c r="L124" s="43">
        <f>'Three Statement Model'!L122</f>
        <v>0</v>
      </c>
      <c r="M124" s="43">
        <f>'Three Statement Model'!M122</f>
        <v>0</v>
      </c>
      <c r="N124" s="43">
        <f>'Three Statement Model'!N122</f>
        <v>-8212</v>
      </c>
      <c r="O124" s="43">
        <f>'Three Statement Model'!O122</f>
        <v>-916</v>
      </c>
      <c r="P124" s="43">
        <f>'Three Statement Model'!P122</f>
        <v>-1085</v>
      </c>
      <c r="Q124" s="43">
        <f>'Three Statement Model'!Q122</f>
        <v>-10213</v>
      </c>
      <c r="R124" s="43">
        <f>'Three Statement Model'!R122</f>
        <v>-12856</v>
      </c>
      <c r="S124" s="43">
        <f>'Three Statement Model'!S122</f>
        <v>-9764</v>
      </c>
      <c r="T124" s="40">
        <f>T122*-1</f>
        <v>-6511.9169727829176</v>
      </c>
      <c r="U124" s="40">
        <f ca="1">U122*-1</f>
        <v>-21972.160056864712</v>
      </c>
      <c r="V124" s="43">
        <f ca="1">'Three Statement Model'!V122</f>
        <v>-51104.077029647626</v>
      </c>
      <c r="W124" s="40">
        <f ca="1">W122*-1</f>
        <v>-10839.962866334048</v>
      </c>
      <c r="X124" s="40">
        <f ca="1">X122*-1</f>
        <v>-13349.393108964119</v>
      </c>
      <c r="Y124" s="40">
        <f ca="1">Y122*-1</f>
        <v>-19072.541258259545</v>
      </c>
    </row>
    <row r="126" spans="2:25" x14ac:dyDescent="0.25">
      <c r="B126" t="s">
        <v>200</v>
      </c>
      <c r="C126" s="43">
        <f>'Three Statement Model'!C119</f>
        <v>0</v>
      </c>
      <c r="D126" s="43">
        <f>'Three Statement Model'!D119</f>
        <v>0</v>
      </c>
      <c r="E126" s="43">
        <f>'Three Statement Model'!E119</f>
        <v>0</v>
      </c>
      <c r="F126" s="43">
        <f>'Three Statement Model'!F119</f>
        <v>0</v>
      </c>
      <c r="G126" s="43">
        <f>'Three Statement Model'!G119</f>
        <v>0</v>
      </c>
      <c r="H126" s="43">
        <f>'Three Statement Model'!H119</f>
        <v>0</v>
      </c>
      <c r="I126" s="43">
        <f>'Three Statement Model'!I119</f>
        <v>0</v>
      </c>
      <c r="J126" s="43">
        <f>'Three Statement Model'!J119</f>
        <v>0</v>
      </c>
      <c r="K126" s="43">
        <f>'Three Statement Model'!K119</f>
        <v>0</v>
      </c>
      <c r="L126" s="43">
        <f>'Three Statement Model'!L119</f>
        <v>0</v>
      </c>
      <c r="M126" s="43">
        <f>'Three Statement Model'!M119</f>
        <v>0</v>
      </c>
      <c r="N126" s="43">
        <f>'Three Statement Model'!N119</f>
        <v>0</v>
      </c>
      <c r="O126" s="43">
        <f>'Three Statement Model'!O119</f>
        <v>0</v>
      </c>
      <c r="P126" s="43">
        <f>'Three Statement Model'!P119</f>
        <v>0</v>
      </c>
      <c r="Q126" s="43">
        <f>'Three Statement Model'!Q119</f>
        <v>0</v>
      </c>
      <c r="R126" s="43">
        <f>'Three Statement Model'!R119</f>
        <v>0</v>
      </c>
      <c r="S126" s="43">
        <f>'Three Statement Model'!S119</f>
        <v>-941</v>
      </c>
      <c r="T126" s="113">
        <v>0</v>
      </c>
      <c r="U126" s="113">
        <v>0</v>
      </c>
      <c r="V126" s="43">
        <f>'Three Statement Model'!V119</f>
        <v>-941</v>
      </c>
      <c r="W126" s="113">
        <v>0</v>
      </c>
      <c r="X126" s="113">
        <v>0</v>
      </c>
      <c r="Y126" s="113">
        <v>0</v>
      </c>
    </row>
    <row r="127" spans="2:25" x14ac:dyDescent="0.25">
      <c r="B127" t="s">
        <v>201</v>
      </c>
      <c r="C127" s="43">
        <f>'Three Statement Model'!C120</f>
        <v>-264</v>
      </c>
      <c r="D127" s="43">
        <f>'Three Statement Model'!D120</f>
        <v>-267</v>
      </c>
      <c r="E127" s="43">
        <f>'Three Statement Model'!E120</f>
        <v>-282</v>
      </c>
      <c r="F127" s="43">
        <f>'Three Statement Model'!F120</f>
        <v>-274</v>
      </c>
      <c r="G127" s="43">
        <f>'Three Statement Model'!G120</f>
        <v>-1087</v>
      </c>
      <c r="H127" s="43">
        <f>'Three Statement Model'!H120</f>
        <v>-278</v>
      </c>
      <c r="I127" s="43">
        <f>'Three Statement Model'!I120</f>
        <v>-281</v>
      </c>
      <c r="J127" s="43">
        <f>'Three Statement Model'!J120</f>
        <v>-297</v>
      </c>
      <c r="K127" s="43">
        <f>'Three Statement Model'!K120</f>
        <v>-397</v>
      </c>
      <c r="L127" s="43">
        <f>'Three Statement Model'!L120</f>
        <v>-1253</v>
      </c>
      <c r="M127" s="43">
        <f>'Three Statement Model'!M120</f>
        <v>-338</v>
      </c>
      <c r="N127" s="43">
        <f>'Three Statement Model'!N120</f>
        <v>-343</v>
      </c>
      <c r="O127" s="43">
        <f>'Three Statement Model'!O120</f>
        <v>-368</v>
      </c>
      <c r="P127" s="43">
        <f>'Three Statement Model'!P120</f>
        <v>-329</v>
      </c>
      <c r="Q127" s="43">
        <f>'Three Statement Model'!Q120</f>
        <v>-1378</v>
      </c>
      <c r="R127" s="43">
        <f>'Three Statement Model'!R120</f>
        <v>-44</v>
      </c>
      <c r="S127" s="43">
        <f>'Three Statement Model'!S120</f>
        <v>-45</v>
      </c>
      <c r="T127" s="113">
        <v>-45</v>
      </c>
      <c r="U127" s="113">
        <v>-45</v>
      </c>
      <c r="V127" s="43">
        <f>'Three Statement Model'!V120</f>
        <v>-179</v>
      </c>
      <c r="W127" s="113">
        <v>-180</v>
      </c>
      <c r="X127" s="113">
        <v>-180</v>
      </c>
      <c r="Y127" s="113">
        <v>-180</v>
      </c>
    </row>
    <row r="128" spans="2:25" x14ac:dyDescent="0.25">
      <c r="B128" t="s">
        <v>202</v>
      </c>
      <c r="C128" s="43">
        <f>'Three Statement Model'!C124</f>
        <v>0</v>
      </c>
      <c r="D128" s="43">
        <f>'Three Statement Model'!D124</f>
        <v>831</v>
      </c>
      <c r="E128" s="43">
        <f>'Three Statement Model'!E124</f>
        <v>15</v>
      </c>
      <c r="F128" s="43">
        <f>'Three Statement Model'!F124</f>
        <v>873</v>
      </c>
      <c r="G128" s="43">
        <f>'Three Statement Model'!G124</f>
        <v>1719</v>
      </c>
      <c r="H128" s="43">
        <f>'Three Statement Model'!H124</f>
        <v>0</v>
      </c>
      <c r="I128" s="43">
        <f>'Three Statement Model'!I124</f>
        <v>753</v>
      </c>
      <c r="J128" s="43">
        <f>'Three Statement Model'!J124</f>
        <v>0</v>
      </c>
      <c r="K128" s="43">
        <f>'Three Statement Model'!K124</f>
        <v>775</v>
      </c>
      <c r="L128" s="43">
        <f>'Three Statement Model'!L124</f>
        <v>1528</v>
      </c>
      <c r="M128" s="43">
        <f>'Three Statement Model'!M124</f>
        <v>0</v>
      </c>
      <c r="N128" s="43">
        <f>'Three Statement Model'!N124</f>
        <v>722</v>
      </c>
      <c r="O128" s="43">
        <f>'Three Statement Model'!O124</f>
        <v>0</v>
      </c>
      <c r="P128" s="43">
        <f>'Three Statement Model'!P124</f>
        <v>762</v>
      </c>
      <c r="Q128" s="43">
        <f>'Three Statement Model'!Q124</f>
        <v>1484</v>
      </c>
      <c r="R128" s="43">
        <f>'Three Statement Model'!R124</f>
        <v>0</v>
      </c>
      <c r="S128" s="43">
        <f>'Three Statement Model'!S124</f>
        <v>749</v>
      </c>
      <c r="T128" s="113">
        <v>0</v>
      </c>
      <c r="U128" s="113">
        <v>0</v>
      </c>
      <c r="V128" s="43">
        <f>'Three Statement Model'!V124</f>
        <v>749</v>
      </c>
      <c r="W128" s="113">
        <v>0</v>
      </c>
      <c r="X128" s="113">
        <v>0</v>
      </c>
      <c r="Y128" s="113">
        <v>0</v>
      </c>
    </row>
    <row r="129" spans="1:25" x14ac:dyDescent="0.25">
      <c r="B129" t="s">
        <v>203</v>
      </c>
      <c r="C129" s="43">
        <f>'Three Statement Model'!C125</f>
        <v>-815</v>
      </c>
      <c r="D129" s="43">
        <f>'Three Statement Model'!D125</f>
        <v>-584</v>
      </c>
      <c r="E129" s="43">
        <f>'Three Statement Model'!E125</f>
        <v>-54</v>
      </c>
      <c r="F129" s="43">
        <f>'Three Statement Model'!F125</f>
        <v>-131</v>
      </c>
      <c r="G129" s="43">
        <f>'Three Statement Model'!G125</f>
        <v>-1584</v>
      </c>
      <c r="H129" s="43">
        <f>'Three Statement Model'!H125</f>
        <v>-981</v>
      </c>
      <c r="I129" s="43">
        <f>'Three Statement Model'!I125</f>
        <v>-58</v>
      </c>
      <c r="J129" s="43">
        <f>'Three Statement Model'!J125</f>
        <v>-15</v>
      </c>
      <c r="K129" s="43">
        <f>'Three Statement Model'!K125</f>
        <v>-11</v>
      </c>
      <c r="L129" s="43">
        <f>'Three Statement Model'!L125</f>
        <v>-1065</v>
      </c>
      <c r="M129" s="43">
        <f>'Three Statement Model'!M125</f>
        <v>-766</v>
      </c>
      <c r="N129" s="43">
        <f>'Three Statement Model'!N125</f>
        <v>-40</v>
      </c>
      <c r="O129" s="43">
        <f>'Three Statement Model'!O125</f>
        <v>-19</v>
      </c>
      <c r="P129" s="43">
        <f>'Three Statement Model'!P125</f>
        <v>-14</v>
      </c>
      <c r="Q129" s="43">
        <f>'Three Statement Model'!Q125</f>
        <v>-839</v>
      </c>
      <c r="R129" s="43">
        <f>'Three Statement Model'!R125</f>
        <v>-1058</v>
      </c>
      <c r="S129" s="43">
        <f>'Three Statement Model'!S125</f>
        <v>-44</v>
      </c>
      <c r="T129" s="113">
        <v>0</v>
      </c>
      <c r="U129" s="113">
        <v>0</v>
      </c>
      <c r="V129" s="43">
        <f>'Three Statement Model'!V125</f>
        <v>-1102</v>
      </c>
      <c r="W129" s="113">
        <v>0</v>
      </c>
      <c r="X129" s="113">
        <v>0</v>
      </c>
      <c r="Y129" s="113">
        <v>0</v>
      </c>
    </row>
    <row r="131" spans="1:25" x14ac:dyDescent="0.25">
      <c r="A131" s="28" t="s">
        <v>97</v>
      </c>
      <c r="B131" s="32" t="s">
        <v>204</v>
      </c>
      <c r="C131" s="33" t="s">
        <v>99</v>
      </c>
      <c r="D131" s="33" t="s">
        <v>99</v>
      </c>
      <c r="E131" s="33" t="s">
        <v>100</v>
      </c>
      <c r="F131" s="33" t="s">
        <v>101</v>
      </c>
      <c r="G131" s="33" t="s">
        <v>102</v>
      </c>
      <c r="H131" s="33" t="s">
        <v>103</v>
      </c>
      <c r="I131" s="33" t="s">
        <v>104</v>
      </c>
      <c r="J131" s="33" t="s">
        <v>105</v>
      </c>
      <c r="K131" s="33" t="s">
        <v>106</v>
      </c>
      <c r="L131" s="33" t="s">
        <v>107</v>
      </c>
      <c r="M131" s="33" t="s">
        <v>108</v>
      </c>
      <c r="N131" s="33" t="s">
        <v>109</v>
      </c>
      <c r="O131" s="33" t="s">
        <v>110</v>
      </c>
      <c r="P131" s="33" t="s">
        <v>111</v>
      </c>
      <c r="Q131" s="33" t="s">
        <v>112</v>
      </c>
      <c r="R131" s="33" t="s">
        <v>113</v>
      </c>
      <c r="S131" s="33" t="s">
        <v>114</v>
      </c>
      <c r="T131" s="30" t="s">
        <v>115</v>
      </c>
      <c r="U131" s="30" t="s">
        <v>116</v>
      </c>
      <c r="V131" s="30" t="s">
        <v>117</v>
      </c>
      <c r="W131" s="30" t="s">
        <v>118</v>
      </c>
      <c r="X131" s="30" t="s">
        <v>119</v>
      </c>
      <c r="Y131" s="30" t="s">
        <v>120</v>
      </c>
    </row>
    <row r="132" spans="1:25" x14ac:dyDescent="0.25">
      <c r="B132" s="34" t="s">
        <v>151</v>
      </c>
      <c r="C132" s="35">
        <v>44408</v>
      </c>
      <c r="D132" s="35">
        <v>44500</v>
      </c>
      <c r="E132" s="35">
        <v>44592</v>
      </c>
      <c r="F132" s="35">
        <v>44681</v>
      </c>
      <c r="G132" s="35">
        <v>44681</v>
      </c>
      <c r="H132" s="35">
        <v>44773</v>
      </c>
      <c r="I132" s="35">
        <v>44865</v>
      </c>
      <c r="J132" s="35">
        <v>44957</v>
      </c>
      <c r="K132" s="35">
        <v>45046</v>
      </c>
      <c r="L132" s="35">
        <v>45046</v>
      </c>
      <c r="M132" s="35">
        <v>45138</v>
      </c>
      <c r="N132" s="35">
        <v>45230</v>
      </c>
      <c r="O132" s="35">
        <v>45322</v>
      </c>
      <c r="P132" s="35">
        <v>45412</v>
      </c>
      <c r="Q132" s="35">
        <v>45412</v>
      </c>
      <c r="R132" s="35">
        <v>45504</v>
      </c>
      <c r="S132" s="35">
        <v>45596</v>
      </c>
      <c r="T132" s="31">
        <v>45688</v>
      </c>
      <c r="U132" s="31">
        <v>45777</v>
      </c>
      <c r="V132" s="31">
        <v>45777</v>
      </c>
      <c r="W132" s="31">
        <v>46053</v>
      </c>
      <c r="X132" s="31">
        <v>46507</v>
      </c>
      <c r="Y132" s="31">
        <v>46873</v>
      </c>
    </row>
    <row r="134" spans="1:25" s="43" customFormat="1" x14ac:dyDescent="0.25">
      <c r="B134" t="s">
        <v>205</v>
      </c>
      <c r="S134" s="42">
        <v>44002.703000000001</v>
      </c>
      <c r="T134" s="43">
        <f ca="1">S134+T138+T141</f>
        <v>43562.919939517182</v>
      </c>
      <c r="U134" s="43">
        <f ca="1">T134+U138+U141</f>
        <v>41697.934817994457</v>
      </c>
      <c r="V134" s="40">
        <f ca="1">U134</f>
        <v>41697.934817994457</v>
      </c>
      <c r="W134" s="43">
        <f ca="1">V134+W138+W141</f>
        <v>41495.245349753546</v>
      </c>
      <c r="X134" s="43">
        <f ca="1">W134+X138+X141</f>
        <v>41093.797540141895</v>
      </c>
      <c r="Y134" s="43">
        <f ca="1">X134+Y138+Y141</f>
        <v>40196.774303282415</v>
      </c>
    </row>
    <row r="135" spans="1:25" s="43" customFormat="1" x14ac:dyDescent="0.25">
      <c r="B135" t="s">
        <v>206</v>
      </c>
      <c r="T135" s="170">
        <f ca="1">Dashboard!D23</f>
        <v>10.7743</v>
      </c>
      <c r="U135" s="170">
        <f ca="1">Dashboard!D23</f>
        <v>10.7743</v>
      </c>
      <c r="W135" s="170">
        <f ca="1">U135</f>
        <v>10.7743</v>
      </c>
      <c r="X135" s="170">
        <f ca="1">W135</f>
        <v>10.7743</v>
      </c>
      <c r="Y135" s="170">
        <f ca="1">X135</f>
        <v>10.7743</v>
      </c>
    </row>
    <row r="137" spans="1:25" s="43" customFormat="1" x14ac:dyDescent="0.25">
      <c r="B137" t="s">
        <v>185</v>
      </c>
      <c r="T137" s="43">
        <f>'Three Statement Model'!T94</f>
        <v>1773.5623442228987</v>
      </c>
      <c r="U137" s="43">
        <f>'Three Statement Model'!U94</f>
        <v>1878.2508620424751</v>
      </c>
      <c r="W137" s="43">
        <f>'Three Statement Model'!W94</f>
        <v>8656.1257286660111</v>
      </c>
      <c r="X137" s="43">
        <f>'Three Statement Model'!X94</f>
        <v>9024.0739738653065</v>
      </c>
      <c r="Y137" s="43">
        <f>'Three Statement Model'!Y94</f>
        <v>9407.7437973643973</v>
      </c>
    </row>
    <row r="138" spans="1:25" s="43" customFormat="1" x14ac:dyDescent="0.25">
      <c r="B138" s="36" t="s">
        <v>207</v>
      </c>
      <c r="T138" s="40">
        <f ca="1">T137/T135</f>
        <v>164.61044747435088</v>
      </c>
      <c r="U138" s="40">
        <f ca="1">U137/U135</f>
        <v>174.32695043227633</v>
      </c>
      <c r="V138" s="40"/>
      <c r="W138" s="40">
        <f ca="1">W137/W135</f>
        <v>803.40492919874248</v>
      </c>
      <c r="X138" s="40">
        <f ca="1">X137/X135</f>
        <v>837.55547681661972</v>
      </c>
      <c r="Y138" s="40">
        <f ca="1">Y137/Y135</f>
        <v>873.16519842257935</v>
      </c>
    </row>
    <row r="140" spans="1:25" x14ac:dyDescent="0.25">
      <c r="B140" t="s">
        <v>199</v>
      </c>
      <c r="T140" s="40">
        <f>T124</f>
        <v>-6511.9169727829176</v>
      </c>
      <c r="U140" s="40">
        <f ca="1">U124</f>
        <v>-21972.160056864712</v>
      </c>
      <c r="W140" s="40">
        <f ca="1">W124</f>
        <v>-10839.962866334048</v>
      </c>
      <c r="X140" s="40">
        <f ca="1">X124</f>
        <v>-13349.393108964119</v>
      </c>
      <c r="Y140" s="40">
        <f ca="1">Y124</f>
        <v>-19072.541258259545</v>
      </c>
    </row>
    <row r="141" spans="1:25" s="40" customFormat="1" x14ac:dyDescent="0.25">
      <c r="B141" s="36" t="s">
        <v>207</v>
      </c>
      <c r="T141" s="40">
        <f ca="1">T140/T135</f>
        <v>-604.39350795716825</v>
      </c>
      <c r="U141" s="40">
        <f ca="1">U140/U135</f>
        <v>-2039.3120719549959</v>
      </c>
      <c r="W141" s="40">
        <f ca="1">W140/W135</f>
        <v>-1006.0943974396525</v>
      </c>
      <c r="X141" s="40">
        <f ca="1">X140/X135</f>
        <v>-1239.0032864282709</v>
      </c>
      <c r="Y141" s="40">
        <f ca="1">Y140/Y135</f>
        <v>-1770.1884352820643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74765-EA44-4158-8495-6C44DE605B82}">
  <sheetPr>
    <tabColor rgb="FF0070C0"/>
  </sheetPr>
  <dimension ref="A2:Y132"/>
  <sheetViews>
    <sheetView topLeftCell="A31" zoomScale="70" zoomScaleNormal="70" workbookViewId="0">
      <pane xSplit="2" topLeftCell="T1" activePane="topRight" state="frozen"/>
      <selection pane="topRight" activeCell="B121" sqref="B121"/>
    </sheetView>
  </sheetViews>
  <sheetFormatPr defaultRowHeight="15" outlineLevelCol="1" x14ac:dyDescent="0.25"/>
  <cols>
    <col min="2" max="2" width="73.140625" customWidth="1"/>
    <col min="3" max="6" width="18.28515625" customWidth="1" outlineLevel="1"/>
    <col min="7" max="7" width="18.28515625" customWidth="1"/>
    <col min="8" max="11" width="18.28515625" customWidth="1" outlineLevel="1"/>
    <col min="12" max="12" width="18.28515625" customWidth="1"/>
    <col min="13" max="16" width="18.28515625" customWidth="1" outlineLevel="1"/>
    <col min="17" max="17" width="18.28515625" customWidth="1"/>
    <col min="18" max="21" width="18.28515625" customWidth="1" outlineLevel="1"/>
    <col min="22" max="25" width="18.28515625" customWidth="1"/>
  </cols>
  <sheetData>
    <row r="2" spans="1:25" x14ac:dyDescent="0.25">
      <c r="A2" s="28" t="s">
        <v>97</v>
      </c>
      <c r="B2" s="32" t="s">
        <v>208</v>
      </c>
      <c r="C2" s="33" t="s">
        <v>99</v>
      </c>
      <c r="D2" s="33" t="s">
        <v>99</v>
      </c>
      <c r="E2" s="33" t="s">
        <v>100</v>
      </c>
      <c r="F2" s="33" t="s">
        <v>101</v>
      </c>
      <c r="G2" s="33" t="s">
        <v>102</v>
      </c>
      <c r="H2" s="33" t="s">
        <v>103</v>
      </c>
      <c r="I2" s="33" t="s">
        <v>104</v>
      </c>
      <c r="J2" s="33" t="s">
        <v>105</v>
      </c>
      <c r="K2" s="33" t="s">
        <v>106</v>
      </c>
      <c r="L2" s="33" t="s">
        <v>107</v>
      </c>
      <c r="M2" s="33" t="s">
        <v>108</v>
      </c>
      <c r="N2" s="33" t="s">
        <v>109</v>
      </c>
      <c r="O2" s="33" t="s">
        <v>110</v>
      </c>
      <c r="P2" s="33" t="s">
        <v>111</v>
      </c>
      <c r="Q2" s="33" t="s">
        <v>112</v>
      </c>
      <c r="R2" s="33" t="s">
        <v>113</v>
      </c>
      <c r="S2" s="33" t="s">
        <v>114</v>
      </c>
      <c r="T2" s="30" t="s">
        <v>115</v>
      </c>
      <c r="U2" s="30" t="s">
        <v>116</v>
      </c>
      <c r="V2" s="30" t="s">
        <v>117</v>
      </c>
      <c r="W2" s="30" t="s">
        <v>118</v>
      </c>
      <c r="X2" s="30" t="s">
        <v>119</v>
      </c>
      <c r="Y2" s="30" t="s">
        <v>120</v>
      </c>
    </row>
    <row r="3" spans="1:25" x14ac:dyDescent="0.25">
      <c r="B3" s="34" t="s">
        <v>151</v>
      </c>
      <c r="C3" s="35">
        <v>44408</v>
      </c>
      <c r="D3" s="35">
        <v>44500</v>
      </c>
      <c r="E3" s="35">
        <v>44592</v>
      </c>
      <c r="F3" s="35">
        <v>44681</v>
      </c>
      <c r="G3" s="35">
        <v>44681</v>
      </c>
      <c r="H3" s="35">
        <v>44773</v>
      </c>
      <c r="I3" s="35">
        <v>44865</v>
      </c>
      <c r="J3" s="35">
        <v>44957</v>
      </c>
      <c r="K3" s="35">
        <v>45046</v>
      </c>
      <c r="L3" s="35">
        <v>45046</v>
      </c>
      <c r="M3" s="35">
        <v>45138</v>
      </c>
      <c r="N3" s="35">
        <v>45230</v>
      </c>
      <c r="O3" s="35">
        <v>45322</v>
      </c>
      <c r="P3" s="35">
        <v>45412</v>
      </c>
      <c r="Q3" s="35">
        <v>45412</v>
      </c>
      <c r="R3" s="35">
        <v>45504</v>
      </c>
      <c r="S3" s="35">
        <v>45596</v>
      </c>
      <c r="T3" s="31">
        <v>45688</v>
      </c>
      <c r="U3" s="31">
        <v>45777</v>
      </c>
      <c r="V3" s="31">
        <v>45777</v>
      </c>
      <c r="W3" s="31">
        <v>46142</v>
      </c>
      <c r="X3" s="31">
        <v>46507</v>
      </c>
      <c r="Y3" s="31">
        <v>46873</v>
      </c>
    </row>
    <row r="5" spans="1:25" x14ac:dyDescent="0.25">
      <c r="B5" t="s">
        <v>122</v>
      </c>
      <c r="C5" s="40">
        <f t="shared" ref="C5:Y5" si="0">C21</f>
        <v>274609</v>
      </c>
      <c r="D5" s="40">
        <f t="shared" si="0"/>
        <v>230479</v>
      </c>
      <c r="E5" s="40">
        <f t="shared" si="0"/>
        <v>177738</v>
      </c>
      <c r="F5" s="40">
        <f t="shared" si="0"/>
        <v>181300</v>
      </c>
      <c r="G5" s="40">
        <f t="shared" si="0"/>
        <v>864126</v>
      </c>
      <c r="H5" s="40">
        <f t="shared" si="0"/>
        <v>84394</v>
      </c>
      <c r="I5" s="40">
        <f t="shared" si="0"/>
        <v>121035</v>
      </c>
      <c r="J5" s="40">
        <f t="shared" si="0"/>
        <v>129036</v>
      </c>
      <c r="K5" s="40">
        <f t="shared" si="0"/>
        <v>144777</v>
      </c>
      <c r="L5" s="40">
        <f t="shared" si="0"/>
        <v>479242</v>
      </c>
      <c r="M5" s="40">
        <f t="shared" si="0"/>
        <v>114243</v>
      </c>
      <c r="N5" s="40">
        <f t="shared" si="0"/>
        <v>124958</v>
      </c>
      <c r="O5" s="40">
        <f t="shared" si="0"/>
        <v>137484</v>
      </c>
      <c r="P5" s="40">
        <f t="shared" si="0"/>
        <v>159148</v>
      </c>
      <c r="Q5" s="40">
        <f t="shared" si="0"/>
        <v>535833</v>
      </c>
      <c r="R5" s="40">
        <f t="shared" si="0"/>
        <v>88334</v>
      </c>
      <c r="S5" s="40">
        <f t="shared" si="0"/>
        <v>129679</v>
      </c>
      <c r="T5" s="40">
        <f t="shared" si="0"/>
        <v>137046.73431224987</v>
      </c>
      <c r="U5" s="40">
        <f t="shared" si="0"/>
        <v>154230.17310029466</v>
      </c>
      <c r="V5" s="40">
        <f t="shared" si="0"/>
        <v>509289.90741254453</v>
      </c>
      <c r="W5" s="40">
        <f t="shared" si="0"/>
        <v>534888.81222762016</v>
      </c>
      <c r="X5" s="40">
        <f t="shared" si="0"/>
        <v>562346.49445162632</v>
      </c>
      <c r="Y5" s="40">
        <f t="shared" si="0"/>
        <v>591102.74264281325</v>
      </c>
    </row>
    <row r="6" spans="1:25" s="63" customFormat="1" x14ac:dyDescent="0.25">
      <c r="B6" s="103" t="s">
        <v>209</v>
      </c>
      <c r="T6" s="175">
        <v>119300</v>
      </c>
      <c r="U6" s="175">
        <v>153700</v>
      </c>
      <c r="V6" s="175">
        <v>491000</v>
      </c>
      <c r="W6" s="175">
        <v>524500</v>
      </c>
    </row>
    <row r="8" spans="1:25" x14ac:dyDescent="0.25">
      <c r="B8" t="s">
        <v>152</v>
      </c>
      <c r="C8" s="40">
        <f t="shared" ref="C8:Y8" si="1">C23</f>
        <v>129942</v>
      </c>
      <c r="D8" s="40">
        <f t="shared" si="1"/>
        <v>101995</v>
      </c>
      <c r="E8" s="40">
        <f t="shared" si="1"/>
        <v>70399</v>
      </c>
      <c r="F8" s="40">
        <f t="shared" si="1"/>
        <v>72228</v>
      </c>
      <c r="G8" s="40">
        <f t="shared" si="1"/>
        <v>374564</v>
      </c>
      <c r="H8" s="40">
        <f t="shared" si="1"/>
        <v>31471</v>
      </c>
      <c r="I8" s="40">
        <f t="shared" si="1"/>
        <v>39262</v>
      </c>
      <c r="J8" s="40">
        <f t="shared" si="1"/>
        <v>41841</v>
      </c>
      <c r="K8" s="40">
        <f t="shared" si="1"/>
        <v>41963</v>
      </c>
      <c r="L8" s="40">
        <f t="shared" si="1"/>
        <v>154537</v>
      </c>
      <c r="M8" s="40">
        <f t="shared" si="1"/>
        <v>30401</v>
      </c>
      <c r="N8" s="40">
        <f t="shared" si="1"/>
        <v>31766</v>
      </c>
      <c r="O8" s="40">
        <f t="shared" si="1"/>
        <v>39424</v>
      </c>
      <c r="P8" s="40">
        <f t="shared" si="1"/>
        <v>56502</v>
      </c>
      <c r="Q8" s="40">
        <f t="shared" si="1"/>
        <v>158093</v>
      </c>
      <c r="R8" s="40">
        <f t="shared" si="1"/>
        <v>24192</v>
      </c>
      <c r="S8" s="40">
        <f t="shared" si="1"/>
        <v>34546</v>
      </c>
      <c r="T8" s="40">
        <f t="shared" si="1"/>
        <v>37184.890420942756</v>
      </c>
      <c r="U8" s="40">
        <f t="shared" si="1"/>
        <v>50433.266603796357</v>
      </c>
      <c r="V8" s="40">
        <f t="shared" si="1"/>
        <v>146356.15702473914</v>
      </c>
      <c r="W8" s="40">
        <f t="shared" si="1"/>
        <v>165815.53179056224</v>
      </c>
      <c r="X8" s="40">
        <f t="shared" si="1"/>
        <v>177139.14575226229</v>
      </c>
      <c r="Y8" s="40">
        <f t="shared" si="1"/>
        <v>189152.87764570024</v>
      </c>
    </row>
    <row r="9" spans="1:25" x14ac:dyDescent="0.25">
      <c r="A9" s="63"/>
      <c r="B9" s="103" t="s">
        <v>209</v>
      </c>
      <c r="C9" s="63"/>
      <c r="D9" s="63"/>
      <c r="E9" s="63"/>
      <c r="F9" s="63"/>
      <c r="G9" s="63"/>
      <c r="H9" s="63"/>
      <c r="I9" s="63"/>
      <c r="J9" s="63"/>
      <c r="K9" s="63"/>
      <c r="L9" s="63"/>
      <c r="M9" s="63"/>
      <c r="N9" s="63"/>
      <c r="O9" s="63"/>
      <c r="P9" s="63"/>
      <c r="Q9" s="63"/>
      <c r="R9" s="63"/>
      <c r="S9" s="63"/>
      <c r="T9" s="175">
        <v>32400</v>
      </c>
      <c r="U9" s="175">
        <v>50200</v>
      </c>
      <c r="V9" s="175">
        <v>141600</v>
      </c>
      <c r="W9" s="175">
        <v>163900</v>
      </c>
      <c r="X9" s="63"/>
      <c r="Y9" s="63"/>
    </row>
    <row r="10" spans="1:25" x14ac:dyDescent="0.25">
      <c r="B10" s="36" t="s">
        <v>210</v>
      </c>
      <c r="C10" s="45">
        <f t="shared" ref="C10:Y10" si="2">C8/C21</f>
        <v>0.47318915257693667</v>
      </c>
      <c r="D10" s="45">
        <f t="shared" si="2"/>
        <v>0.44253489471925861</v>
      </c>
      <c r="E10" s="45">
        <f t="shared" si="2"/>
        <v>0.39608299857093027</v>
      </c>
      <c r="F10" s="45">
        <f t="shared" si="2"/>
        <v>0.39838940981798127</v>
      </c>
      <c r="G10" s="45">
        <f t="shared" si="2"/>
        <v>0.43345993524092552</v>
      </c>
      <c r="H10" s="45">
        <f t="shared" si="2"/>
        <v>0.37290565680024645</v>
      </c>
      <c r="I10" s="45">
        <f t="shared" si="2"/>
        <v>0.32438550832403851</v>
      </c>
      <c r="J10" s="45">
        <f t="shared" si="2"/>
        <v>0.32425834650795127</v>
      </c>
      <c r="K10" s="45">
        <f t="shared" si="2"/>
        <v>0.28984576279381391</v>
      </c>
      <c r="L10" s="45">
        <f t="shared" si="2"/>
        <v>0.32246130347507107</v>
      </c>
      <c r="M10" s="45">
        <f t="shared" si="2"/>
        <v>0.26610820794271861</v>
      </c>
      <c r="N10" s="45">
        <f t="shared" si="2"/>
        <v>0.2542134157076778</v>
      </c>
      <c r="O10" s="45">
        <f t="shared" si="2"/>
        <v>0.28675336766460097</v>
      </c>
      <c r="P10" s="45">
        <f t="shared" si="2"/>
        <v>0.35502802422901952</v>
      </c>
      <c r="Q10" s="45">
        <f t="shared" si="2"/>
        <v>0.29504155212538236</v>
      </c>
      <c r="R10" s="45">
        <f t="shared" si="2"/>
        <v>0.27386963117259494</v>
      </c>
      <c r="S10" s="45">
        <f t="shared" si="2"/>
        <v>0.26639625536902661</v>
      </c>
      <c r="T10" s="45">
        <f t="shared" si="2"/>
        <v>0.27133000000000002</v>
      </c>
      <c r="U10" s="45">
        <f t="shared" si="2"/>
        <v>0.32700000000000001</v>
      </c>
      <c r="V10" s="45">
        <f t="shared" si="2"/>
        <v>0.28737297734467959</v>
      </c>
      <c r="W10" s="45">
        <f t="shared" si="2"/>
        <v>0.31</v>
      </c>
      <c r="X10" s="45">
        <f t="shared" si="2"/>
        <v>0.315</v>
      </c>
      <c r="Y10" s="45">
        <f t="shared" si="2"/>
        <v>0.32</v>
      </c>
    </row>
    <row r="11" spans="1:25" x14ac:dyDescent="0.25">
      <c r="A11" s="63"/>
      <c r="B11" s="176" t="s">
        <v>209</v>
      </c>
      <c r="C11" s="63"/>
      <c r="D11" s="63"/>
      <c r="E11" s="63"/>
      <c r="F11" s="63"/>
      <c r="G11" s="63"/>
      <c r="H11" s="63"/>
      <c r="I11" s="63"/>
      <c r="J11" s="63"/>
      <c r="K11" s="63"/>
      <c r="L11" s="63"/>
      <c r="M11" s="63"/>
      <c r="N11" s="63"/>
      <c r="O11" s="63"/>
      <c r="P11" s="63"/>
      <c r="Q11" s="63"/>
      <c r="R11" s="63"/>
      <c r="S11" s="63"/>
      <c r="T11" s="177">
        <v>0.27129999999999999</v>
      </c>
      <c r="U11" s="177">
        <v>0.32700000000000001</v>
      </c>
      <c r="V11" s="177">
        <v>0.2883</v>
      </c>
      <c r="W11" s="177">
        <v>0.3125</v>
      </c>
      <c r="X11" s="63"/>
      <c r="Y11" s="63"/>
    </row>
    <row r="13" spans="1:25" x14ac:dyDescent="0.25">
      <c r="B13" t="s">
        <v>211</v>
      </c>
      <c r="C13" s="40">
        <f t="shared" ref="C13:P13" si="3">C31+C89</f>
        <v>107352</v>
      </c>
      <c r="D13" s="40">
        <f t="shared" si="3"/>
        <v>73136</v>
      </c>
      <c r="E13" s="40">
        <f t="shared" si="3"/>
        <v>46925</v>
      </c>
      <c r="F13" s="40">
        <f t="shared" si="3"/>
        <v>54313</v>
      </c>
      <c r="G13" s="40">
        <f t="shared" si="3"/>
        <v>281726</v>
      </c>
      <c r="H13" s="40">
        <f t="shared" si="3"/>
        <v>11466</v>
      </c>
      <c r="I13" s="40">
        <f t="shared" si="3"/>
        <v>20149</v>
      </c>
      <c r="J13" s="40">
        <f t="shared" si="3"/>
        <v>20760</v>
      </c>
      <c r="K13" s="40">
        <f t="shared" si="3"/>
        <v>27468</v>
      </c>
      <c r="L13" s="40">
        <f t="shared" si="3"/>
        <v>79843</v>
      </c>
      <c r="M13" s="40">
        <f t="shared" si="3"/>
        <v>13602</v>
      </c>
      <c r="N13" s="40">
        <f t="shared" si="3"/>
        <v>11842</v>
      </c>
      <c r="O13" s="40">
        <f t="shared" si="3"/>
        <v>18246</v>
      </c>
      <c r="P13" s="40">
        <f t="shared" si="3"/>
        <v>33647</v>
      </c>
      <c r="Q13" s="40">
        <f t="shared" ref="Q13:Y13" si="4">Q31+Q89</f>
        <v>77337</v>
      </c>
      <c r="R13" s="40">
        <f t="shared" si="4"/>
        <v>6186</v>
      </c>
      <c r="S13" s="40">
        <f t="shared" si="4"/>
        <v>15185</v>
      </c>
      <c r="T13" s="40">
        <f t="shared" si="4"/>
        <v>16181.338017227778</v>
      </c>
      <c r="U13" s="40">
        <f t="shared" si="4"/>
        <v>27647.951869755103</v>
      </c>
      <c r="V13" s="40">
        <f t="shared" si="4"/>
        <v>65200.289886982908</v>
      </c>
      <c r="W13" s="40">
        <f t="shared" si="4"/>
        <v>79485.799719015413</v>
      </c>
      <c r="X13" s="40">
        <f t="shared" si="4"/>
        <v>85413.203760778211</v>
      </c>
      <c r="Y13" s="40">
        <f t="shared" si="4"/>
        <v>92179.932688355198</v>
      </c>
    </row>
    <row r="14" spans="1:25" s="63" customFormat="1" x14ac:dyDescent="0.25">
      <c r="B14" s="103" t="s">
        <v>209</v>
      </c>
      <c r="T14" s="175">
        <v>12500</v>
      </c>
      <c r="U14" s="175">
        <v>29250</v>
      </c>
      <c r="V14" s="175">
        <v>68500</v>
      </c>
      <c r="W14" s="175">
        <v>82200</v>
      </c>
    </row>
    <row r="15" spans="1:25" x14ac:dyDescent="0.25">
      <c r="B15" s="36" t="s">
        <v>212</v>
      </c>
      <c r="C15" s="45">
        <f t="shared" ref="C15:Y15" si="5">C13/C21</f>
        <v>0.39092673583167342</v>
      </c>
      <c r="D15" s="45">
        <f t="shared" si="5"/>
        <v>0.31732175165633314</v>
      </c>
      <c r="E15" s="45">
        <f t="shared" si="5"/>
        <v>0.26401219772924189</v>
      </c>
      <c r="F15" s="45">
        <f t="shared" si="5"/>
        <v>0.29957528957528956</v>
      </c>
      <c r="G15" s="45">
        <f t="shared" si="5"/>
        <v>0.32602421406137533</v>
      </c>
      <c r="H15" s="45">
        <f t="shared" si="5"/>
        <v>0.13586273905727894</v>
      </c>
      <c r="I15" s="45">
        <f t="shared" si="5"/>
        <v>0.16647250795224522</v>
      </c>
      <c r="J15" s="45">
        <f t="shared" si="5"/>
        <v>0.16088533432530458</v>
      </c>
      <c r="K15" s="45">
        <f t="shared" si="5"/>
        <v>0.18972626867527301</v>
      </c>
      <c r="L15" s="45">
        <f t="shared" si="5"/>
        <v>0.16660267672699805</v>
      </c>
      <c r="M15" s="45">
        <f t="shared" si="5"/>
        <v>0.11906199942228408</v>
      </c>
      <c r="N15" s="45">
        <f t="shared" si="5"/>
        <v>9.4767841994910285E-2</v>
      </c>
      <c r="O15" s="45">
        <f t="shared" si="5"/>
        <v>0.13271362485816532</v>
      </c>
      <c r="P15" s="45">
        <f t="shared" si="5"/>
        <v>0.211419559152487</v>
      </c>
      <c r="Q15" s="45">
        <f t="shared" si="5"/>
        <v>0.14433041637973026</v>
      </c>
      <c r="R15" s="45">
        <f t="shared" si="5"/>
        <v>7.0029660153508269E-2</v>
      </c>
      <c r="S15" s="45">
        <f t="shared" si="5"/>
        <v>0.11709683140678136</v>
      </c>
      <c r="T15" s="45">
        <f t="shared" si="5"/>
        <v>0.11807167896726317</v>
      </c>
      <c r="U15" s="45">
        <f t="shared" si="5"/>
        <v>0.17926422122197749</v>
      </c>
      <c r="V15" s="45">
        <f t="shared" si="5"/>
        <v>0.1280219555463685</v>
      </c>
      <c r="W15" s="45">
        <f t="shared" si="5"/>
        <v>0.1486024719567148</v>
      </c>
      <c r="X15" s="45">
        <f t="shared" si="5"/>
        <v>0.15188714538723874</v>
      </c>
      <c r="Y15" s="45">
        <f t="shared" si="5"/>
        <v>0.15594570290135998</v>
      </c>
    </row>
    <row r="16" spans="1:25" s="63" customFormat="1" x14ac:dyDescent="0.25">
      <c r="B16" s="176" t="s">
        <v>209</v>
      </c>
      <c r="T16" s="177">
        <f>T14/T6</f>
        <v>0.10477787091366303</v>
      </c>
      <c r="U16" s="177">
        <f>U14/U6</f>
        <v>0.19030579050097593</v>
      </c>
      <c r="V16" s="177">
        <f>V14/V6</f>
        <v>0.1395112016293279</v>
      </c>
      <c r="W16" s="177">
        <f>W14/W6</f>
        <v>0.15672068636796949</v>
      </c>
    </row>
    <row r="18" spans="1:25" s="28" customFormat="1" x14ac:dyDescent="0.25">
      <c r="A18" s="28" t="s">
        <v>97</v>
      </c>
      <c r="B18" s="32" t="s">
        <v>213</v>
      </c>
      <c r="C18" s="33" t="s">
        <v>99</v>
      </c>
      <c r="D18" s="33" t="s">
        <v>99</v>
      </c>
      <c r="E18" s="33" t="s">
        <v>100</v>
      </c>
      <c r="F18" s="33" t="s">
        <v>101</v>
      </c>
      <c r="G18" s="33" t="s">
        <v>102</v>
      </c>
      <c r="H18" s="33" t="s">
        <v>103</v>
      </c>
      <c r="I18" s="33" t="s">
        <v>104</v>
      </c>
      <c r="J18" s="33" t="s">
        <v>105</v>
      </c>
      <c r="K18" s="33" t="s">
        <v>106</v>
      </c>
      <c r="L18" s="33" t="s">
        <v>107</v>
      </c>
      <c r="M18" s="33" t="s">
        <v>108</v>
      </c>
      <c r="N18" s="33" t="s">
        <v>109</v>
      </c>
      <c r="O18" s="33" t="s">
        <v>110</v>
      </c>
      <c r="P18" s="33" t="s">
        <v>111</v>
      </c>
      <c r="Q18" s="33" t="s">
        <v>112</v>
      </c>
      <c r="R18" s="33" t="s">
        <v>113</v>
      </c>
      <c r="S18" s="33" t="s">
        <v>114</v>
      </c>
      <c r="T18" s="30" t="s">
        <v>115</v>
      </c>
      <c r="U18" s="30" t="s">
        <v>116</v>
      </c>
      <c r="V18" s="30" t="s">
        <v>117</v>
      </c>
      <c r="W18" s="30" t="s">
        <v>118</v>
      </c>
      <c r="X18" s="30" t="s">
        <v>119</v>
      </c>
      <c r="Y18" s="30" t="s">
        <v>120</v>
      </c>
    </row>
    <row r="19" spans="1:25" s="28" customFormat="1" x14ac:dyDescent="0.25">
      <c r="B19" s="34" t="s">
        <v>151</v>
      </c>
      <c r="C19" s="35">
        <v>44408</v>
      </c>
      <c r="D19" s="35">
        <v>44500</v>
      </c>
      <c r="E19" s="35">
        <v>44592</v>
      </c>
      <c r="F19" s="35">
        <v>44681</v>
      </c>
      <c r="G19" s="35">
        <v>44681</v>
      </c>
      <c r="H19" s="35">
        <v>44773</v>
      </c>
      <c r="I19" s="35">
        <v>44865</v>
      </c>
      <c r="J19" s="35">
        <v>44957</v>
      </c>
      <c r="K19" s="35">
        <v>45046</v>
      </c>
      <c r="L19" s="35">
        <v>45046</v>
      </c>
      <c r="M19" s="35">
        <v>45138</v>
      </c>
      <c r="N19" s="35">
        <v>45230</v>
      </c>
      <c r="O19" s="35">
        <v>45322</v>
      </c>
      <c r="P19" s="35">
        <v>45412</v>
      </c>
      <c r="Q19" s="35">
        <v>45412</v>
      </c>
      <c r="R19" s="35">
        <v>45504</v>
      </c>
      <c r="S19" s="35">
        <v>45596</v>
      </c>
      <c r="T19" s="31">
        <v>45688</v>
      </c>
      <c r="U19" s="31">
        <v>45777</v>
      </c>
      <c r="V19" s="31">
        <v>45777</v>
      </c>
      <c r="W19" s="31">
        <v>46142</v>
      </c>
      <c r="X19" s="31">
        <v>46507</v>
      </c>
      <c r="Y19" s="31">
        <v>46873</v>
      </c>
    </row>
    <row r="21" spans="1:25" s="42" customFormat="1" x14ac:dyDescent="0.25">
      <c r="B21" t="s">
        <v>122</v>
      </c>
      <c r="C21" s="42">
        <v>274609</v>
      </c>
      <c r="D21" s="42">
        <v>230479</v>
      </c>
      <c r="E21" s="42">
        <v>177738</v>
      </c>
      <c r="F21" s="40">
        <f>G21-SUM(C21:E21)</f>
        <v>181300</v>
      </c>
      <c r="G21" s="42">
        <v>864126</v>
      </c>
      <c r="H21" s="42">
        <v>84394</v>
      </c>
      <c r="I21" s="42">
        <v>121035</v>
      </c>
      <c r="J21" s="42">
        <v>129036</v>
      </c>
      <c r="K21" s="40">
        <f>L21-SUM(H21:J21)</f>
        <v>144777</v>
      </c>
      <c r="L21" s="42">
        <v>479242</v>
      </c>
      <c r="M21" s="42">
        <v>114243</v>
      </c>
      <c r="N21" s="42">
        <v>124958</v>
      </c>
      <c r="O21" s="42">
        <v>137484</v>
      </c>
      <c r="P21" s="40">
        <f>Q21-SUM(M21:O21)</f>
        <v>159148</v>
      </c>
      <c r="Q21" s="42">
        <v>535833</v>
      </c>
      <c r="R21" s="42">
        <v>88334</v>
      </c>
      <c r="S21" s="42">
        <v>129679</v>
      </c>
      <c r="T21" s="43">
        <f>Assumptions!T5</f>
        <v>137046.73431224987</v>
      </c>
      <c r="U21" s="43">
        <f>Assumptions!U5</f>
        <v>154230.17310029466</v>
      </c>
      <c r="V21" s="40">
        <f>SUM(R21:U21)</f>
        <v>509289.90741254453</v>
      </c>
      <c r="W21" s="43">
        <f>Assumptions!W5</f>
        <v>534888.81222762016</v>
      </c>
      <c r="X21" s="43">
        <f>Assumptions!X5</f>
        <v>562346.49445162632</v>
      </c>
      <c r="Y21" s="43">
        <f>Assumptions!Y5</f>
        <v>591102.74264281325</v>
      </c>
    </row>
    <row r="22" spans="1:25" s="42" customFormat="1" x14ac:dyDescent="0.25">
      <c r="B22" t="s">
        <v>214</v>
      </c>
      <c r="C22" s="42">
        <v>144667</v>
      </c>
      <c r="D22" s="42">
        <v>128484</v>
      </c>
      <c r="E22" s="42">
        <v>107339</v>
      </c>
      <c r="F22" s="40">
        <f>G22-SUM(C22:E22)</f>
        <v>109072</v>
      </c>
      <c r="G22" s="42">
        <v>489562</v>
      </c>
      <c r="H22" s="42">
        <v>52923</v>
      </c>
      <c r="I22" s="42">
        <v>81773</v>
      </c>
      <c r="J22" s="42">
        <v>87195</v>
      </c>
      <c r="K22" s="40">
        <f>L22-SUM(H22:J22)</f>
        <v>102814</v>
      </c>
      <c r="L22" s="42">
        <v>324705</v>
      </c>
      <c r="M22" s="42">
        <v>83842</v>
      </c>
      <c r="N22" s="42">
        <v>93192</v>
      </c>
      <c r="O22" s="42">
        <v>98060</v>
      </c>
      <c r="P22" s="40">
        <f>Q22-SUM(M22:O22)</f>
        <v>102646</v>
      </c>
      <c r="Q22" s="42">
        <v>377740</v>
      </c>
      <c r="R22" s="42">
        <v>64142</v>
      </c>
      <c r="S22" s="42">
        <v>95133</v>
      </c>
      <c r="T22" s="61">
        <f>T21-T23</f>
        <v>99861.843891307115</v>
      </c>
      <c r="U22" s="61">
        <f>U21-U23</f>
        <v>103796.9064964983</v>
      </c>
      <c r="V22" s="40">
        <f>SUM(R22:U22)</f>
        <v>362933.7503878054</v>
      </c>
      <c r="W22" s="62">
        <f>W21-W23</f>
        <v>369073.28043705795</v>
      </c>
      <c r="X22" s="62">
        <f>X21-X23</f>
        <v>385207.348699364</v>
      </c>
      <c r="Y22" s="62">
        <f>Y21-Y23</f>
        <v>401949.86499711301</v>
      </c>
    </row>
    <row r="23" spans="1:25" s="40" customFormat="1" x14ac:dyDescent="0.25">
      <c r="B23" s="38" t="s">
        <v>152</v>
      </c>
      <c r="C23" s="41">
        <f t="shared" ref="C23:S23" si="6">C21-C22</f>
        <v>129942</v>
      </c>
      <c r="D23" s="41">
        <f t="shared" si="6"/>
        <v>101995</v>
      </c>
      <c r="E23" s="41">
        <f t="shared" si="6"/>
        <v>70399</v>
      </c>
      <c r="F23" s="41">
        <f t="shared" si="6"/>
        <v>72228</v>
      </c>
      <c r="G23" s="41">
        <f t="shared" si="6"/>
        <v>374564</v>
      </c>
      <c r="H23" s="41">
        <f t="shared" si="6"/>
        <v>31471</v>
      </c>
      <c r="I23" s="41">
        <f t="shared" si="6"/>
        <v>39262</v>
      </c>
      <c r="J23" s="41">
        <f t="shared" si="6"/>
        <v>41841</v>
      </c>
      <c r="K23" s="41">
        <f t="shared" si="6"/>
        <v>41963</v>
      </c>
      <c r="L23" s="41">
        <f t="shared" si="6"/>
        <v>154537</v>
      </c>
      <c r="M23" s="41">
        <f t="shared" si="6"/>
        <v>30401</v>
      </c>
      <c r="N23" s="41">
        <f t="shared" si="6"/>
        <v>31766</v>
      </c>
      <c r="O23" s="41">
        <f t="shared" si="6"/>
        <v>39424</v>
      </c>
      <c r="P23" s="41">
        <f t="shared" si="6"/>
        <v>56502</v>
      </c>
      <c r="Q23" s="41">
        <f t="shared" si="6"/>
        <v>158093</v>
      </c>
      <c r="R23" s="41">
        <f t="shared" si="6"/>
        <v>24192</v>
      </c>
      <c r="S23" s="41">
        <f t="shared" si="6"/>
        <v>34546</v>
      </c>
      <c r="T23" s="60">
        <f>Assumptions!T46</f>
        <v>37184.890420942756</v>
      </c>
      <c r="U23" s="60">
        <f>Assumptions!U46</f>
        <v>50433.266603796357</v>
      </c>
      <c r="V23" s="41">
        <f>V21-V22</f>
        <v>146356.15702473914</v>
      </c>
      <c r="W23" s="60">
        <f>Assumptions!W46</f>
        <v>165815.53179056224</v>
      </c>
      <c r="X23" s="60">
        <f>Assumptions!X46</f>
        <v>177139.14575226229</v>
      </c>
      <c r="Y23" s="60">
        <f>Assumptions!Y46</f>
        <v>189152.87764570024</v>
      </c>
    </row>
    <row r="24" spans="1:25" s="40" customFormat="1" x14ac:dyDescent="0.25">
      <c r="B24"/>
    </row>
    <row r="25" spans="1:25" s="40" customFormat="1" x14ac:dyDescent="0.25">
      <c r="B25" t="s">
        <v>215</v>
      </c>
    </row>
    <row r="26" spans="1:25" s="42" customFormat="1" x14ac:dyDescent="0.25">
      <c r="B26" s="36" t="s">
        <v>157</v>
      </c>
      <c r="C26" s="42">
        <v>1808</v>
      </c>
      <c r="D26" s="42">
        <v>1744</v>
      </c>
      <c r="E26" s="42">
        <v>1716</v>
      </c>
      <c r="F26" s="40">
        <f>G26-SUM(C26:E26)</f>
        <v>1994</v>
      </c>
      <c r="G26" s="42">
        <v>7262</v>
      </c>
      <c r="H26" s="42">
        <v>1673</v>
      </c>
      <c r="I26" s="42">
        <v>1869</v>
      </c>
      <c r="J26" s="42">
        <v>2133</v>
      </c>
      <c r="K26" s="40">
        <f>L26-SUM(H26:J26)</f>
        <v>1875</v>
      </c>
      <c r="L26" s="42">
        <v>7550</v>
      </c>
      <c r="M26" s="42">
        <v>1799</v>
      </c>
      <c r="N26" s="42">
        <v>1724</v>
      </c>
      <c r="O26" s="42">
        <v>1969</v>
      </c>
      <c r="P26" s="40">
        <f>Q26-SUM(M26:O26)</f>
        <v>1774</v>
      </c>
      <c r="Q26" s="42">
        <v>7266</v>
      </c>
      <c r="R26" s="42">
        <v>2515</v>
      </c>
      <c r="S26" s="42">
        <v>2221</v>
      </c>
      <c r="T26" s="43">
        <f>Assumptions!T53</f>
        <v>2740.9346862449975</v>
      </c>
      <c r="U26" s="43">
        <f>Assumptions!U53</f>
        <v>3084.6034620058931</v>
      </c>
      <c r="V26" s="40">
        <f>SUM(R26:U26)</f>
        <v>10561.538148250891</v>
      </c>
      <c r="W26" s="43">
        <f>Assumptions!W53</f>
        <v>10697.776244552404</v>
      </c>
      <c r="X26" s="43">
        <f>Assumptions!X53</f>
        <v>11246.929889032526</v>
      </c>
      <c r="Y26" s="43">
        <f>Assumptions!Y53</f>
        <v>11822.054852856265</v>
      </c>
    </row>
    <row r="27" spans="1:25" s="42" customFormat="1" x14ac:dyDescent="0.25">
      <c r="B27" s="36" t="s">
        <v>159</v>
      </c>
      <c r="C27" s="42">
        <v>10634</v>
      </c>
      <c r="D27" s="42">
        <v>11423</v>
      </c>
      <c r="E27" s="42">
        <v>11518</v>
      </c>
      <c r="F27" s="40">
        <f>G27-SUM(C27:E27)</f>
        <v>9581</v>
      </c>
      <c r="G27" s="42">
        <v>43156</v>
      </c>
      <c r="H27" s="42">
        <v>8027</v>
      </c>
      <c r="I27" s="42">
        <v>9431</v>
      </c>
      <c r="J27" s="42">
        <v>9996</v>
      </c>
      <c r="K27" s="40">
        <f>L27-SUM(H27:J27)</f>
        <v>9522</v>
      </c>
      <c r="L27" s="42">
        <v>36976</v>
      </c>
      <c r="M27" s="42">
        <v>10040</v>
      </c>
      <c r="N27" s="42">
        <v>10952</v>
      </c>
      <c r="O27" s="42">
        <v>10108</v>
      </c>
      <c r="P27" s="40">
        <f>Q27-SUM(M27:O27)</f>
        <v>9464</v>
      </c>
      <c r="Q27" s="42">
        <v>40564</v>
      </c>
      <c r="R27" s="42">
        <v>9837</v>
      </c>
      <c r="S27" s="42">
        <v>9574</v>
      </c>
      <c r="T27" s="43">
        <f>Assumptions!T58</f>
        <v>10372.829599999999</v>
      </c>
      <c r="U27" s="43">
        <f>Assumptions!U58</f>
        <v>9711.9567999999999</v>
      </c>
      <c r="V27" s="40">
        <f>SUM(R27:U27)</f>
        <v>39495.786399999997</v>
      </c>
      <c r="W27" s="43">
        <f>Assumptions!W58</f>
        <v>40530.576003679998</v>
      </c>
      <c r="X27" s="43">
        <f>Assumptions!X58</f>
        <v>41592.477094976413</v>
      </c>
      <c r="Y27" s="43">
        <f>Assumptions!Y58</f>
        <v>42682.199994864794</v>
      </c>
    </row>
    <row r="28" spans="1:25" s="42" customFormat="1" x14ac:dyDescent="0.25">
      <c r="B28" s="36" t="s">
        <v>160</v>
      </c>
      <c r="C28" s="42">
        <v>17614</v>
      </c>
      <c r="D28" s="42">
        <v>23436</v>
      </c>
      <c r="E28" s="42">
        <v>17443</v>
      </c>
      <c r="F28" s="40">
        <f>G28-SUM(C28:E28)</f>
        <v>14000</v>
      </c>
      <c r="G28" s="42">
        <v>72493</v>
      </c>
      <c r="H28" s="42">
        <v>17854</v>
      </c>
      <c r="I28" s="42">
        <v>15435</v>
      </c>
      <c r="J28" s="42">
        <v>15576</v>
      </c>
      <c r="K28" s="40">
        <f>L28-SUM(H28:J28)</f>
        <v>12739</v>
      </c>
      <c r="L28" s="42">
        <v>61604</v>
      </c>
      <c r="M28" s="42">
        <v>14213</v>
      </c>
      <c r="N28" s="42">
        <v>15322</v>
      </c>
      <c r="O28" s="42">
        <v>16065</v>
      </c>
      <c r="P28" s="40">
        <f>Q28-SUM(M28:O28)</f>
        <v>19884</v>
      </c>
      <c r="Q28" s="42">
        <v>65484</v>
      </c>
      <c r="R28" s="42">
        <v>13702</v>
      </c>
      <c r="S28" s="42">
        <v>15779</v>
      </c>
      <c r="T28" s="43">
        <f>Assumptions!T63</f>
        <v>16445.608117469983</v>
      </c>
      <c r="U28" s="43">
        <f>Assumptions!U63</f>
        <v>18507.62077203536</v>
      </c>
      <c r="V28" s="40">
        <f>SUM(R28:U28)</f>
        <v>64434.228889505335</v>
      </c>
      <c r="W28" s="43">
        <f>Assumptions!W63</f>
        <v>64186.657467314421</v>
      </c>
      <c r="X28" s="43">
        <f>Assumptions!X63</f>
        <v>67481.57933419515</v>
      </c>
      <c r="Y28" s="43">
        <f>Assumptions!Y63</f>
        <v>70932.329117137589</v>
      </c>
    </row>
    <row r="29" spans="1:25" s="40" customFormat="1" x14ac:dyDescent="0.25">
      <c r="B29" s="39" t="s">
        <v>161</v>
      </c>
      <c r="C29" s="41">
        <f t="shared" ref="C29:Y29" si="7">SUM(C26:C28)</f>
        <v>30056</v>
      </c>
      <c r="D29" s="41">
        <f t="shared" si="7"/>
        <v>36603</v>
      </c>
      <c r="E29" s="41">
        <f t="shared" si="7"/>
        <v>30677</v>
      </c>
      <c r="F29" s="41">
        <f t="shared" si="7"/>
        <v>25575</v>
      </c>
      <c r="G29" s="41">
        <f t="shared" si="7"/>
        <v>122911</v>
      </c>
      <c r="H29" s="41">
        <f t="shared" si="7"/>
        <v>27554</v>
      </c>
      <c r="I29" s="41">
        <f t="shared" si="7"/>
        <v>26735</v>
      </c>
      <c r="J29" s="41">
        <f t="shared" si="7"/>
        <v>27705</v>
      </c>
      <c r="K29" s="41">
        <f t="shared" si="7"/>
        <v>24136</v>
      </c>
      <c r="L29" s="41">
        <f t="shared" si="7"/>
        <v>106130</v>
      </c>
      <c r="M29" s="41">
        <f t="shared" si="7"/>
        <v>26052</v>
      </c>
      <c r="N29" s="41">
        <f t="shared" si="7"/>
        <v>27998</v>
      </c>
      <c r="O29" s="41">
        <f t="shared" si="7"/>
        <v>28142</v>
      </c>
      <c r="P29" s="41">
        <f t="shared" si="7"/>
        <v>31122</v>
      </c>
      <c r="Q29" s="41">
        <f t="shared" si="7"/>
        <v>113314</v>
      </c>
      <c r="R29" s="41">
        <f t="shared" si="7"/>
        <v>26054</v>
      </c>
      <c r="S29" s="41">
        <f t="shared" si="7"/>
        <v>27574</v>
      </c>
      <c r="T29" s="41">
        <f t="shared" si="7"/>
        <v>29559.37240371498</v>
      </c>
      <c r="U29" s="41">
        <f t="shared" si="7"/>
        <v>31304.181034041252</v>
      </c>
      <c r="V29" s="41">
        <f>SUM(V26:V28)</f>
        <v>114491.55343775623</v>
      </c>
      <c r="W29" s="41">
        <f t="shared" si="7"/>
        <v>115415.00971554682</v>
      </c>
      <c r="X29" s="41">
        <f t="shared" si="7"/>
        <v>120320.98631820409</v>
      </c>
      <c r="Y29" s="41">
        <f t="shared" si="7"/>
        <v>125436.58396485864</v>
      </c>
    </row>
    <row r="30" spans="1:25" s="40" customFormat="1" x14ac:dyDescent="0.25">
      <c r="B30"/>
    </row>
    <row r="31" spans="1:25" s="40" customFormat="1" x14ac:dyDescent="0.25">
      <c r="B31" t="s">
        <v>216</v>
      </c>
      <c r="C31" s="40">
        <f t="shared" ref="C31:Y31" si="8">C23-C29</f>
        <v>99886</v>
      </c>
      <c r="D31" s="40">
        <f t="shared" si="8"/>
        <v>65392</v>
      </c>
      <c r="E31" s="40">
        <f t="shared" si="8"/>
        <v>39722</v>
      </c>
      <c r="F31" s="40">
        <f t="shared" si="8"/>
        <v>46653</v>
      </c>
      <c r="G31" s="40">
        <f t="shared" si="8"/>
        <v>251653</v>
      </c>
      <c r="H31" s="40">
        <f t="shared" si="8"/>
        <v>3917</v>
      </c>
      <c r="I31" s="40">
        <f t="shared" si="8"/>
        <v>12527</v>
      </c>
      <c r="J31" s="40">
        <f t="shared" si="8"/>
        <v>14136</v>
      </c>
      <c r="K31" s="40">
        <f t="shared" si="8"/>
        <v>17827</v>
      </c>
      <c r="L31" s="40">
        <f t="shared" si="8"/>
        <v>48407</v>
      </c>
      <c r="M31" s="40">
        <f t="shared" si="8"/>
        <v>4349</v>
      </c>
      <c r="N31" s="40">
        <f t="shared" si="8"/>
        <v>3768</v>
      </c>
      <c r="O31" s="40">
        <f t="shared" si="8"/>
        <v>11282</v>
      </c>
      <c r="P31" s="40">
        <f t="shared" si="8"/>
        <v>25380</v>
      </c>
      <c r="Q31" s="40">
        <f t="shared" si="8"/>
        <v>44779</v>
      </c>
      <c r="R31" s="40">
        <f t="shared" si="8"/>
        <v>-1862</v>
      </c>
      <c r="S31" s="40">
        <f t="shared" si="8"/>
        <v>6972</v>
      </c>
      <c r="T31" s="40">
        <f t="shared" si="8"/>
        <v>7625.518017227776</v>
      </c>
      <c r="U31" s="40">
        <f t="shared" si="8"/>
        <v>19129.085569755105</v>
      </c>
      <c r="V31" s="40">
        <f t="shared" si="8"/>
        <v>31864.603586982907</v>
      </c>
      <c r="W31" s="40">
        <f t="shared" si="8"/>
        <v>50400.522075015411</v>
      </c>
      <c r="X31" s="40">
        <f t="shared" si="8"/>
        <v>56818.159434058209</v>
      </c>
      <c r="Y31" s="40">
        <f t="shared" si="8"/>
        <v>63716.293680841598</v>
      </c>
    </row>
    <row r="32" spans="1:25" s="40" customFormat="1" x14ac:dyDescent="0.25">
      <c r="B32"/>
    </row>
    <row r="33" spans="1:25" s="40" customFormat="1" x14ac:dyDescent="0.25">
      <c r="B33" t="s">
        <v>217</v>
      </c>
    </row>
    <row r="34" spans="1:25" s="42" customFormat="1" x14ac:dyDescent="0.25">
      <c r="B34" s="36" t="s">
        <v>218</v>
      </c>
      <c r="C34" s="42">
        <v>660</v>
      </c>
      <c r="D34" s="42">
        <v>833</v>
      </c>
      <c r="E34" s="42">
        <v>751</v>
      </c>
      <c r="F34" s="40">
        <f>G34-SUM(C34:E34)</f>
        <v>624</v>
      </c>
      <c r="G34" s="42">
        <v>2868</v>
      </c>
      <c r="H34" s="42">
        <v>673</v>
      </c>
      <c r="I34" s="42">
        <v>790</v>
      </c>
      <c r="J34" s="42">
        <v>840</v>
      </c>
      <c r="K34" s="40">
        <f>L34-SUM(H34:J34)</f>
        <v>-2153</v>
      </c>
      <c r="L34" s="42">
        <v>150</v>
      </c>
      <c r="M34" s="42">
        <v>47</v>
      </c>
      <c r="N34" s="42">
        <v>141</v>
      </c>
      <c r="O34" s="42">
        <v>-11</v>
      </c>
      <c r="P34" s="40">
        <f>Q34-SUM(M34:O34)</f>
        <v>6495</v>
      </c>
      <c r="Q34" s="42">
        <v>6672</v>
      </c>
      <c r="R34" s="42">
        <v>-6</v>
      </c>
      <c r="S34" s="42">
        <v>-5</v>
      </c>
      <c r="T34" s="42">
        <v>0</v>
      </c>
      <c r="U34" s="42">
        <v>0</v>
      </c>
      <c r="V34" s="40">
        <f>SUM(R34:U34)</f>
        <v>-11</v>
      </c>
      <c r="W34" s="42">
        <v>0</v>
      </c>
      <c r="X34" s="42">
        <v>0</v>
      </c>
      <c r="Y34" s="42">
        <v>0</v>
      </c>
    </row>
    <row r="35" spans="1:25" s="42" customFormat="1" x14ac:dyDescent="0.25">
      <c r="B35" s="36" t="s">
        <v>164</v>
      </c>
      <c r="C35" s="42">
        <v>-544</v>
      </c>
      <c r="D35" s="42">
        <v>-466</v>
      </c>
      <c r="E35" s="42">
        <v>-594</v>
      </c>
      <c r="F35" s="40">
        <f>G35-SUM(C35:E35)</f>
        <v>-531</v>
      </c>
      <c r="G35" s="42">
        <v>-2135</v>
      </c>
      <c r="H35" s="42">
        <v>-433</v>
      </c>
      <c r="I35" s="42">
        <v>-420</v>
      </c>
      <c r="J35" s="42">
        <v>-508</v>
      </c>
      <c r="K35" s="40">
        <f>L35-SUM(H35:J35)</f>
        <v>1030</v>
      </c>
      <c r="L35" s="42">
        <v>-331</v>
      </c>
      <c r="M35" s="42">
        <v>153</v>
      </c>
      <c r="N35" s="42">
        <v>-646</v>
      </c>
      <c r="O35" s="42">
        <v>-955</v>
      </c>
      <c r="P35" s="40">
        <f>Q35-SUM(M35:O35)</f>
        <v>-607</v>
      </c>
      <c r="Q35" s="42">
        <v>-2055</v>
      </c>
      <c r="R35" s="42">
        <v>-732</v>
      </c>
      <c r="S35" s="42">
        <v>-1419</v>
      </c>
      <c r="T35" s="43">
        <f>Assumptions!T74</f>
        <v>-2003.58</v>
      </c>
      <c r="U35" s="43">
        <f>Assumptions!U74</f>
        <v>-1777.905</v>
      </c>
      <c r="V35" s="40">
        <f>SUM(R35:U35)</f>
        <v>-5932.4849999999997</v>
      </c>
      <c r="W35" s="43">
        <f ca="1">Assumptions!W74</f>
        <v>-5908.92</v>
      </c>
      <c r="X35" s="43">
        <f ca="1">Assumptions!X74</f>
        <v>-5298.12</v>
      </c>
      <c r="Y35" s="43">
        <f ca="1">Assumptions!Y74</f>
        <v>-4837.32</v>
      </c>
    </row>
    <row r="36" spans="1:25" s="40" customFormat="1" x14ac:dyDescent="0.25">
      <c r="B36" s="39" t="s">
        <v>219</v>
      </c>
      <c r="C36" s="41">
        <f t="shared" ref="C36:Y36" si="9">SUM(C34:C35)</f>
        <v>116</v>
      </c>
      <c r="D36" s="41">
        <f t="shared" si="9"/>
        <v>367</v>
      </c>
      <c r="E36" s="41">
        <f t="shared" si="9"/>
        <v>157</v>
      </c>
      <c r="F36" s="41">
        <f t="shared" si="9"/>
        <v>93</v>
      </c>
      <c r="G36" s="41">
        <f t="shared" si="9"/>
        <v>733</v>
      </c>
      <c r="H36" s="41">
        <f t="shared" si="9"/>
        <v>240</v>
      </c>
      <c r="I36" s="41">
        <f t="shared" si="9"/>
        <v>370</v>
      </c>
      <c r="J36" s="41">
        <f t="shared" si="9"/>
        <v>332</v>
      </c>
      <c r="K36" s="41">
        <f t="shared" si="9"/>
        <v>-1123</v>
      </c>
      <c r="L36" s="41">
        <f t="shared" si="9"/>
        <v>-181</v>
      </c>
      <c r="M36" s="41">
        <f t="shared" si="9"/>
        <v>200</v>
      </c>
      <c r="N36" s="41">
        <f t="shared" si="9"/>
        <v>-505</v>
      </c>
      <c r="O36" s="41">
        <f t="shared" si="9"/>
        <v>-966</v>
      </c>
      <c r="P36" s="41">
        <f t="shared" si="9"/>
        <v>5888</v>
      </c>
      <c r="Q36" s="41">
        <f t="shared" si="9"/>
        <v>4617</v>
      </c>
      <c r="R36" s="41">
        <f t="shared" si="9"/>
        <v>-738</v>
      </c>
      <c r="S36" s="41">
        <f t="shared" si="9"/>
        <v>-1424</v>
      </c>
      <c r="T36" s="41">
        <f t="shared" si="9"/>
        <v>-2003.58</v>
      </c>
      <c r="U36" s="41">
        <f t="shared" si="9"/>
        <v>-1777.905</v>
      </c>
      <c r="V36" s="41">
        <f>SUM(V34:V35)</f>
        <v>-5943.4849999999997</v>
      </c>
      <c r="W36" s="41">
        <f t="shared" ca="1" si="9"/>
        <v>-5908.92</v>
      </c>
      <c r="X36" s="41">
        <f t="shared" ca="1" si="9"/>
        <v>-5298.12</v>
      </c>
      <c r="Y36" s="41">
        <f t="shared" ca="1" si="9"/>
        <v>-4837.32</v>
      </c>
    </row>
    <row r="37" spans="1:25" s="40" customFormat="1" x14ac:dyDescent="0.25">
      <c r="B37"/>
    </row>
    <row r="38" spans="1:25" s="40" customFormat="1" x14ac:dyDescent="0.25">
      <c r="B38" t="s">
        <v>166</v>
      </c>
      <c r="C38" s="40">
        <f t="shared" ref="C38:Y38" si="10">C31+C36</f>
        <v>100002</v>
      </c>
      <c r="D38" s="40">
        <f t="shared" si="10"/>
        <v>65759</v>
      </c>
      <c r="E38" s="40">
        <f t="shared" si="10"/>
        <v>39879</v>
      </c>
      <c r="F38" s="40">
        <f t="shared" si="10"/>
        <v>46746</v>
      </c>
      <c r="G38" s="40">
        <f t="shared" si="10"/>
        <v>252386</v>
      </c>
      <c r="H38" s="40">
        <f t="shared" si="10"/>
        <v>4157</v>
      </c>
      <c r="I38" s="40">
        <f t="shared" si="10"/>
        <v>12897</v>
      </c>
      <c r="J38" s="40">
        <f t="shared" si="10"/>
        <v>14468</v>
      </c>
      <c r="K38" s="40">
        <f t="shared" si="10"/>
        <v>16704</v>
      </c>
      <c r="L38" s="40">
        <f t="shared" si="10"/>
        <v>48226</v>
      </c>
      <c r="M38" s="40">
        <f t="shared" si="10"/>
        <v>4549</v>
      </c>
      <c r="N38" s="40">
        <f t="shared" si="10"/>
        <v>3263</v>
      </c>
      <c r="O38" s="40">
        <f t="shared" si="10"/>
        <v>10316</v>
      </c>
      <c r="P38" s="40">
        <f t="shared" si="10"/>
        <v>31268</v>
      </c>
      <c r="Q38" s="40">
        <f t="shared" si="10"/>
        <v>49396</v>
      </c>
      <c r="R38" s="40">
        <f t="shared" si="10"/>
        <v>-2600</v>
      </c>
      <c r="S38" s="40">
        <f t="shared" si="10"/>
        <v>5548</v>
      </c>
      <c r="T38" s="40">
        <f t="shared" si="10"/>
        <v>5621.9380172277761</v>
      </c>
      <c r="U38" s="40">
        <f t="shared" si="10"/>
        <v>17351.180569755106</v>
      </c>
      <c r="V38" s="40">
        <f t="shared" si="10"/>
        <v>25921.118586982906</v>
      </c>
      <c r="W38" s="40">
        <f t="shared" ca="1" si="10"/>
        <v>44491.602075015413</v>
      </c>
      <c r="X38" s="40">
        <f t="shared" ca="1" si="10"/>
        <v>51520.039434058206</v>
      </c>
      <c r="Y38" s="40">
        <f t="shared" ca="1" si="10"/>
        <v>58878.973680841598</v>
      </c>
    </row>
    <row r="39" spans="1:25" s="42" customFormat="1" x14ac:dyDescent="0.25">
      <c r="B39" t="s">
        <v>167</v>
      </c>
      <c r="C39" s="42">
        <v>23120</v>
      </c>
      <c r="D39" s="42">
        <v>14824</v>
      </c>
      <c r="E39" s="42">
        <v>9337</v>
      </c>
      <c r="F39" s="40">
        <f>G39-SUM(C39:E39)</f>
        <v>10611</v>
      </c>
      <c r="G39" s="42">
        <v>57892</v>
      </c>
      <c r="H39" s="42">
        <v>845</v>
      </c>
      <c r="I39" s="42">
        <v>3249</v>
      </c>
      <c r="J39" s="42">
        <v>3389</v>
      </c>
      <c r="K39" s="40">
        <f>L39-SUM(H39:J39)</f>
        <v>3867</v>
      </c>
      <c r="L39" s="42">
        <v>11350</v>
      </c>
      <c r="M39" s="42">
        <v>1431</v>
      </c>
      <c r="N39" s="42">
        <v>765</v>
      </c>
      <c r="O39" s="42">
        <v>2434</v>
      </c>
      <c r="P39" s="40">
        <f>Q39-SUM(M39:O39)</f>
        <v>5157</v>
      </c>
      <c r="Q39" s="42">
        <v>9787</v>
      </c>
      <c r="R39" s="42">
        <v>-494</v>
      </c>
      <c r="S39" s="42">
        <v>1414</v>
      </c>
      <c r="T39" s="43">
        <f>Assumptions!T78</f>
        <v>1405.484504306944</v>
      </c>
      <c r="U39" s="43">
        <f>Assumptions!U78</f>
        <v>4337.7951424387766</v>
      </c>
      <c r="V39" s="40">
        <f>SUM(R39:U39)</f>
        <v>6663.279646745721</v>
      </c>
      <c r="W39" s="43">
        <f ca="1">Assumptions!W78</f>
        <v>11122.900518753853</v>
      </c>
      <c r="X39" s="43">
        <f ca="1">Assumptions!X78</f>
        <v>12880.009858514552</v>
      </c>
      <c r="Y39" s="43">
        <f ca="1">Assumptions!Y78</f>
        <v>14719.7434202104</v>
      </c>
    </row>
    <row r="40" spans="1:25" s="40" customFormat="1" x14ac:dyDescent="0.25">
      <c r="B40" s="38" t="s">
        <v>220</v>
      </c>
      <c r="C40" s="41">
        <f t="shared" ref="C40:Y40" si="11">C38-C39</f>
        <v>76882</v>
      </c>
      <c r="D40" s="41">
        <f t="shared" si="11"/>
        <v>50935</v>
      </c>
      <c r="E40" s="41">
        <f t="shared" si="11"/>
        <v>30542</v>
      </c>
      <c r="F40" s="41">
        <f t="shared" si="11"/>
        <v>36135</v>
      </c>
      <c r="G40" s="41">
        <f t="shared" si="11"/>
        <v>194494</v>
      </c>
      <c r="H40" s="41">
        <f t="shared" si="11"/>
        <v>3312</v>
      </c>
      <c r="I40" s="41">
        <f t="shared" si="11"/>
        <v>9648</v>
      </c>
      <c r="J40" s="41">
        <f t="shared" si="11"/>
        <v>11079</v>
      </c>
      <c r="K40" s="41">
        <f t="shared" si="11"/>
        <v>12837</v>
      </c>
      <c r="L40" s="41">
        <f t="shared" si="11"/>
        <v>36876</v>
      </c>
      <c r="M40" s="41">
        <f t="shared" si="11"/>
        <v>3118</v>
      </c>
      <c r="N40" s="41">
        <f t="shared" si="11"/>
        <v>2498</v>
      </c>
      <c r="O40" s="41">
        <f t="shared" si="11"/>
        <v>7882</v>
      </c>
      <c r="P40" s="41">
        <f t="shared" si="11"/>
        <v>26111</v>
      </c>
      <c r="Q40" s="41">
        <f t="shared" si="11"/>
        <v>39609</v>
      </c>
      <c r="R40" s="41">
        <f t="shared" si="11"/>
        <v>-2106</v>
      </c>
      <c r="S40" s="41">
        <f t="shared" si="11"/>
        <v>4134</v>
      </c>
      <c r="T40" s="41">
        <f t="shared" si="11"/>
        <v>4216.4535129208325</v>
      </c>
      <c r="U40" s="41">
        <f t="shared" si="11"/>
        <v>13013.385427316331</v>
      </c>
      <c r="V40" s="41">
        <f t="shared" si="11"/>
        <v>19257.838940237183</v>
      </c>
      <c r="W40" s="41">
        <f t="shared" ca="1" si="11"/>
        <v>33368.701556261556</v>
      </c>
      <c r="X40" s="41">
        <f t="shared" ca="1" si="11"/>
        <v>38640.029575543653</v>
      </c>
      <c r="Y40" s="41">
        <f t="shared" ca="1" si="11"/>
        <v>44159.230260631201</v>
      </c>
    </row>
    <row r="42" spans="1:25" x14ac:dyDescent="0.25">
      <c r="A42" s="28" t="s">
        <v>97</v>
      </c>
      <c r="B42" s="32" t="s">
        <v>221</v>
      </c>
      <c r="C42" s="33" t="s">
        <v>99</v>
      </c>
      <c r="D42" s="33" t="s">
        <v>99</v>
      </c>
      <c r="E42" s="33" t="s">
        <v>100</v>
      </c>
      <c r="F42" s="33" t="s">
        <v>101</v>
      </c>
      <c r="G42" s="33" t="s">
        <v>102</v>
      </c>
      <c r="H42" s="33" t="s">
        <v>103</v>
      </c>
      <c r="I42" s="33" t="s">
        <v>104</v>
      </c>
      <c r="J42" s="33" t="s">
        <v>105</v>
      </c>
      <c r="K42" s="33" t="s">
        <v>106</v>
      </c>
      <c r="L42" s="33" t="s">
        <v>107</v>
      </c>
      <c r="M42" s="33" t="s">
        <v>108</v>
      </c>
      <c r="N42" s="33" t="s">
        <v>109</v>
      </c>
      <c r="O42" s="33" t="s">
        <v>110</v>
      </c>
      <c r="P42" s="33" t="s">
        <v>111</v>
      </c>
      <c r="Q42" s="33" t="s">
        <v>112</v>
      </c>
      <c r="R42" s="33" t="s">
        <v>113</v>
      </c>
      <c r="S42" s="33" t="s">
        <v>114</v>
      </c>
      <c r="T42" s="30" t="s">
        <v>115</v>
      </c>
      <c r="U42" s="30" t="s">
        <v>116</v>
      </c>
      <c r="V42" s="30" t="s">
        <v>117</v>
      </c>
      <c r="W42" s="30" t="s">
        <v>118</v>
      </c>
      <c r="X42" s="30" t="s">
        <v>119</v>
      </c>
      <c r="Y42" s="30" t="s">
        <v>120</v>
      </c>
    </row>
    <row r="43" spans="1:25" x14ac:dyDescent="0.25">
      <c r="B43" s="34" t="s">
        <v>151</v>
      </c>
      <c r="C43" s="35">
        <v>44408</v>
      </c>
      <c r="D43" s="35">
        <v>44500</v>
      </c>
      <c r="E43" s="35">
        <v>44592</v>
      </c>
      <c r="F43" s="35">
        <v>44681</v>
      </c>
      <c r="G43" s="35">
        <v>44681</v>
      </c>
      <c r="H43" s="35">
        <v>44773</v>
      </c>
      <c r="I43" s="35">
        <v>44865</v>
      </c>
      <c r="J43" s="35">
        <v>44957</v>
      </c>
      <c r="K43" s="35">
        <v>45046</v>
      </c>
      <c r="L43" s="35">
        <v>45046</v>
      </c>
      <c r="M43" s="35">
        <v>45138</v>
      </c>
      <c r="N43" s="35">
        <v>45230</v>
      </c>
      <c r="O43" s="35">
        <v>45322</v>
      </c>
      <c r="P43" s="35">
        <v>45412</v>
      </c>
      <c r="Q43" s="35">
        <v>45412</v>
      </c>
      <c r="R43" s="35">
        <v>45504</v>
      </c>
      <c r="S43" s="35">
        <v>45596</v>
      </c>
      <c r="T43" s="31">
        <v>45688</v>
      </c>
      <c r="U43" s="31">
        <v>45777</v>
      </c>
      <c r="V43" s="31">
        <v>45777</v>
      </c>
      <c r="W43" s="31">
        <v>46142</v>
      </c>
      <c r="X43" s="31">
        <v>46507</v>
      </c>
      <c r="Y43" s="31">
        <v>46873</v>
      </c>
    </row>
    <row r="45" spans="1:25" x14ac:dyDescent="0.25">
      <c r="B45" t="s">
        <v>222</v>
      </c>
      <c r="V45" s="40"/>
    </row>
    <row r="46" spans="1:25" s="42" customFormat="1" x14ac:dyDescent="0.25">
      <c r="B46" s="36" t="s">
        <v>223</v>
      </c>
      <c r="C46" s="42">
        <v>171413</v>
      </c>
      <c r="D46" s="42">
        <v>159391</v>
      </c>
      <c r="E46" s="42">
        <v>107268</v>
      </c>
      <c r="F46" s="40">
        <f>G46</f>
        <v>120728</v>
      </c>
      <c r="G46" s="42">
        <v>120728</v>
      </c>
      <c r="H46" s="42">
        <v>110452</v>
      </c>
      <c r="I46" s="42">
        <v>42975</v>
      </c>
      <c r="J46" s="42">
        <v>44596</v>
      </c>
      <c r="K46" s="40">
        <f>L46</f>
        <v>53556</v>
      </c>
      <c r="L46" s="42">
        <v>53556</v>
      </c>
      <c r="M46" s="42">
        <v>55479</v>
      </c>
      <c r="N46" s="42">
        <v>44192</v>
      </c>
      <c r="O46" s="42">
        <v>47367</v>
      </c>
      <c r="P46" s="40">
        <f>Q46</f>
        <v>60839</v>
      </c>
      <c r="Q46" s="42">
        <v>60839</v>
      </c>
      <c r="R46" s="42">
        <v>35515</v>
      </c>
      <c r="S46" s="42">
        <v>39093</v>
      </c>
      <c r="T46" s="40">
        <f t="shared" ref="T46:Y46" si="12">T130</f>
        <v>39048</v>
      </c>
      <c r="U46" s="40">
        <f t="shared" ca="1" si="12"/>
        <v>39003</v>
      </c>
      <c r="V46" s="40">
        <f ca="1">V130</f>
        <v>39003.000000000022</v>
      </c>
      <c r="W46" s="40">
        <f ca="1">W130</f>
        <v>38823.000000000022</v>
      </c>
      <c r="X46" s="40">
        <f t="shared" ca="1" si="12"/>
        <v>38643.000000000022</v>
      </c>
      <c r="Y46" s="40">
        <f t="shared" ca="1" si="12"/>
        <v>38463.000000000022</v>
      </c>
    </row>
    <row r="47" spans="1:25" s="42" customFormat="1" x14ac:dyDescent="0.25">
      <c r="B47" s="36" t="s">
        <v>224</v>
      </c>
      <c r="C47" s="42">
        <v>41198</v>
      </c>
      <c r="D47" s="42">
        <v>44226</v>
      </c>
      <c r="E47" s="42">
        <v>49386</v>
      </c>
      <c r="F47" s="40">
        <f>G47</f>
        <v>62695</v>
      </c>
      <c r="G47" s="42">
        <v>62695</v>
      </c>
      <c r="H47" s="42">
        <v>23781</v>
      </c>
      <c r="I47" s="42">
        <v>44384</v>
      </c>
      <c r="J47" s="42">
        <v>58252</v>
      </c>
      <c r="K47" s="40">
        <f>L47</f>
        <v>55153</v>
      </c>
      <c r="L47" s="42">
        <v>55153</v>
      </c>
      <c r="M47" s="42">
        <v>28164</v>
      </c>
      <c r="N47" s="42">
        <v>59773</v>
      </c>
      <c r="O47" s="42">
        <v>60647</v>
      </c>
      <c r="P47" s="40">
        <f>Q47</f>
        <v>59071</v>
      </c>
      <c r="Q47" s="42">
        <v>59071</v>
      </c>
      <c r="R47" s="42">
        <v>47762</v>
      </c>
      <c r="S47" s="42">
        <v>52707</v>
      </c>
      <c r="T47" s="43">
        <f>(T21/91.25)*Assumptions!T85</f>
        <v>60454.113175606013</v>
      </c>
      <c r="U47" s="43">
        <f>(U21/91.25)*Assumptions!U85</f>
        <v>57245.649051244793</v>
      </c>
      <c r="V47" s="40">
        <f>U47</f>
        <v>57245.649051244793</v>
      </c>
      <c r="W47" s="43">
        <f>(W21/365)*Assumptions!W85</f>
        <v>60123.039511592149</v>
      </c>
      <c r="X47" s="43">
        <f>(X21/365)*Assumptions!X85</f>
        <v>63209.361893949535</v>
      </c>
      <c r="Y47" s="43">
        <f>(Y21/365)*Assumptions!Y85</f>
        <v>66441.646822481838</v>
      </c>
    </row>
    <row r="48" spans="1:25" s="42" customFormat="1" x14ac:dyDescent="0.25">
      <c r="B48" s="36" t="s">
        <v>225</v>
      </c>
      <c r="C48" s="42">
        <v>97140</v>
      </c>
      <c r="D48" s="42">
        <v>120277</v>
      </c>
      <c r="E48" s="42">
        <v>134268</v>
      </c>
      <c r="F48" s="40">
        <f>G48</f>
        <v>136660</v>
      </c>
      <c r="G48" s="42">
        <v>136660</v>
      </c>
      <c r="H48" s="42">
        <v>182501</v>
      </c>
      <c r="I48" s="42">
        <v>196474</v>
      </c>
      <c r="J48" s="42">
        <v>193426</v>
      </c>
      <c r="K48" s="40">
        <f>L48</f>
        <v>177118</v>
      </c>
      <c r="L48" s="42">
        <v>177118</v>
      </c>
      <c r="M48" s="42">
        <v>170754</v>
      </c>
      <c r="N48" s="42">
        <v>163291</v>
      </c>
      <c r="O48" s="42">
        <v>153529</v>
      </c>
      <c r="P48" s="40">
        <f>Q48</f>
        <v>160500</v>
      </c>
      <c r="Q48" s="42">
        <v>160500</v>
      </c>
      <c r="R48" s="42">
        <v>189814</v>
      </c>
      <c r="S48" s="42">
        <v>196035</v>
      </c>
      <c r="T48" s="43">
        <f>(T22/91.25)*Assumptions!T86</f>
        <v>180572.10128291149</v>
      </c>
      <c r="U48" s="43">
        <f>(U22/91.25)*Assumptions!U86</f>
        <v>164937.55004923017</v>
      </c>
      <c r="V48" s="40">
        <f>U48</f>
        <v>164937.55004923017</v>
      </c>
      <c r="W48" s="43">
        <f>(W22/365)*Assumptions!W86</f>
        <v>166841.3459509988</v>
      </c>
      <c r="X48" s="43">
        <f>(X22/365)*Assumptions!X86</f>
        <v>174134.82886409605</v>
      </c>
      <c r="Y48" s="43">
        <f>(Y22/365)*Assumptions!Y86</f>
        <v>181703.3636288319</v>
      </c>
    </row>
    <row r="49" spans="2:25" s="42" customFormat="1" x14ac:dyDescent="0.25">
      <c r="B49" s="36" t="s">
        <v>226</v>
      </c>
      <c r="C49" s="42">
        <v>8504</v>
      </c>
      <c r="D49" s="42">
        <v>8321</v>
      </c>
      <c r="E49" s="42">
        <v>7521</v>
      </c>
      <c r="F49" s="40">
        <f>G49</f>
        <v>5569</v>
      </c>
      <c r="G49" s="42">
        <v>5569</v>
      </c>
      <c r="H49" s="42">
        <v>8893</v>
      </c>
      <c r="I49" s="42">
        <v>8062</v>
      </c>
      <c r="J49" s="42">
        <v>5954</v>
      </c>
      <c r="K49" s="40">
        <f>L49</f>
        <v>4917</v>
      </c>
      <c r="L49" s="42">
        <v>4917</v>
      </c>
      <c r="M49" s="42">
        <v>8741</v>
      </c>
      <c r="N49" s="42">
        <v>9870</v>
      </c>
      <c r="O49" s="42">
        <v>9020</v>
      </c>
      <c r="P49" s="40">
        <f>Q49</f>
        <v>4973</v>
      </c>
      <c r="Q49" s="42">
        <v>4973</v>
      </c>
      <c r="R49" s="42">
        <v>9040</v>
      </c>
      <c r="S49" s="42">
        <v>10112</v>
      </c>
      <c r="T49" s="43">
        <f>(T29/91.25)*Assumptions!T91</f>
        <v>9474.2924838856197</v>
      </c>
      <c r="U49" s="43">
        <f>(U29/91.25)*Assumptions!U91</f>
        <v>5002.1107988653403</v>
      </c>
      <c r="V49" s="40">
        <f>U49</f>
        <v>5002.1107988653403</v>
      </c>
      <c r="W49" s="43">
        <f>(W29/365)*Assumptions!W91</f>
        <v>5042.4564006212604</v>
      </c>
      <c r="X49" s="43">
        <f>(X29/365)*Assumptions!X91</f>
        <v>5256.7974398183042</v>
      </c>
      <c r="Y49" s="43">
        <f>(Y29/365)*Assumptions!Y91</f>
        <v>5480.2967763426559</v>
      </c>
    </row>
    <row r="50" spans="2:25" s="42" customFormat="1" x14ac:dyDescent="0.25">
      <c r="B50" s="36" t="s">
        <v>227</v>
      </c>
      <c r="C50" s="42">
        <v>0</v>
      </c>
      <c r="D50" s="42">
        <v>1717</v>
      </c>
      <c r="E50" s="42">
        <v>2233</v>
      </c>
      <c r="F50" s="40">
        <f>G50</f>
        <v>1945</v>
      </c>
      <c r="G50" s="42">
        <v>1945</v>
      </c>
      <c r="H50" s="42">
        <v>748</v>
      </c>
      <c r="I50" s="42">
        <v>10988</v>
      </c>
      <c r="J50" s="42">
        <v>7660</v>
      </c>
      <c r="K50" s="40">
        <f>L50</f>
        <v>1176</v>
      </c>
      <c r="L50" s="42">
        <v>1176</v>
      </c>
      <c r="M50" s="42">
        <v>1015</v>
      </c>
      <c r="N50" s="42">
        <v>4713</v>
      </c>
      <c r="O50" s="42">
        <v>5613</v>
      </c>
      <c r="P50" s="40">
        <f>Q50</f>
        <v>2495</v>
      </c>
      <c r="Q50" s="42">
        <v>2495</v>
      </c>
      <c r="R50" s="42">
        <v>3183</v>
      </c>
      <c r="S50" s="42">
        <v>8120</v>
      </c>
      <c r="T50" s="42">
        <v>8120</v>
      </c>
      <c r="U50" s="42">
        <v>8120</v>
      </c>
      <c r="V50" s="40">
        <f>U50</f>
        <v>8120</v>
      </c>
      <c r="W50" s="42">
        <v>8120</v>
      </c>
      <c r="X50" s="42">
        <v>8120</v>
      </c>
      <c r="Y50" s="42">
        <v>8120</v>
      </c>
    </row>
    <row r="51" spans="2:25" s="40" customFormat="1" x14ac:dyDescent="0.25">
      <c r="B51" s="39" t="s">
        <v>228</v>
      </c>
      <c r="C51" s="41">
        <f t="shared" ref="C51:Y51" si="13">SUM(C46:C50)</f>
        <v>318255</v>
      </c>
      <c r="D51" s="41">
        <f t="shared" si="13"/>
        <v>333932</v>
      </c>
      <c r="E51" s="41">
        <f t="shared" si="13"/>
        <v>300676</v>
      </c>
      <c r="F51" s="41">
        <f t="shared" si="13"/>
        <v>327597</v>
      </c>
      <c r="G51" s="41">
        <f t="shared" si="13"/>
        <v>327597</v>
      </c>
      <c r="H51" s="41">
        <f t="shared" si="13"/>
        <v>326375</v>
      </c>
      <c r="I51" s="41">
        <f t="shared" si="13"/>
        <v>302883</v>
      </c>
      <c r="J51" s="41">
        <f t="shared" si="13"/>
        <v>309888</v>
      </c>
      <c r="K51" s="41">
        <f t="shared" si="13"/>
        <v>291920</v>
      </c>
      <c r="L51" s="41">
        <f t="shared" si="13"/>
        <v>291920</v>
      </c>
      <c r="M51" s="41">
        <f t="shared" si="13"/>
        <v>264153</v>
      </c>
      <c r="N51" s="41">
        <f t="shared" si="13"/>
        <v>281839</v>
      </c>
      <c r="O51" s="41">
        <f t="shared" si="13"/>
        <v>276176</v>
      </c>
      <c r="P51" s="41">
        <f t="shared" si="13"/>
        <v>287878</v>
      </c>
      <c r="Q51" s="41">
        <f t="shared" si="13"/>
        <v>287878</v>
      </c>
      <c r="R51" s="41">
        <f t="shared" si="13"/>
        <v>285314</v>
      </c>
      <c r="S51" s="41">
        <f t="shared" si="13"/>
        <v>306067</v>
      </c>
      <c r="T51" s="41">
        <f t="shared" si="13"/>
        <v>297668.5069424031</v>
      </c>
      <c r="U51" s="41">
        <f t="shared" ca="1" si="13"/>
        <v>274308.30989934027</v>
      </c>
      <c r="V51" s="41">
        <f t="shared" ca="1" si="13"/>
        <v>274308.30989934033</v>
      </c>
      <c r="W51" s="41">
        <f t="shared" ca="1" si="13"/>
        <v>278949.84186321223</v>
      </c>
      <c r="X51" s="41">
        <f t="shared" ca="1" si="13"/>
        <v>289363.98819786398</v>
      </c>
      <c r="Y51" s="41">
        <f t="shared" ca="1" si="13"/>
        <v>300208.30722765642</v>
      </c>
    </row>
    <row r="52" spans="2:25" s="42" customFormat="1" x14ac:dyDescent="0.25">
      <c r="B52" t="s">
        <v>182</v>
      </c>
      <c r="C52" s="42">
        <v>139626</v>
      </c>
      <c r="D52" s="42">
        <v>136932</v>
      </c>
      <c r="E52" s="42">
        <v>134540</v>
      </c>
      <c r="F52" s="40">
        <f>G52</f>
        <v>135591</v>
      </c>
      <c r="G52" s="42">
        <v>135591</v>
      </c>
      <c r="H52" s="42">
        <v>160793</v>
      </c>
      <c r="I52" s="42">
        <v>169265</v>
      </c>
      <c r="J52" s="42">
        <v>186190</v>
      </c>
      <c r="K52" s="40">
        <f>L52</f>
        <v>210330</v>
      </c>
      <c r="L52" s="42">
        <v>210330</v>
      </c>
      <c r="M52" s="42">
        <v>234595</v>
      </c>
      <c r="N52" s="42">
        <v>253253</v>
      </c>
      <c r="O52" s="42">
        <v>256830</v>
      </c>
      <c r="P52" s="40">
        <f>Q52</f>
        <v>252633</v>
      </c>
      <c r="Q52" s="42">
        <v>252633</v>
      </c>
      <c r="R52" s="42">
        <v>248765</v>
      </c>
      <c r="S52" s="42">
        <v>244452</v>
      </c>
      <c r="T52" s="40">
        <f>S52-T89-T115</f>
        <v>243396.18</v>
      </c>
      <c r="U52" s="40">
        <f>T52-U89-U115</f>
        <v>242377.3137</v>
      </c>
      <c r="V52" s="40">
        <f>U52</f>
        <v>242377.3137</v>
      </c>
      <c r="W52" s="40">
        <f>V52-W89-W115</f>
        <v>238292.03605600001</v>
      </c>
      <c r="X52" s="40">
        <f>W52-X89-X115</f>
        <v>237196.99172928001</v>
      </c>
      <c r="Y52" s="40">
        <f>X52-Y89-Y115</f>
        <v>238733.35272176639</v>
      </c>
    </row>
    <row r="53" spans="2:25" s="42" customFormat="1" x14ac:dyDescent="0.25">
      <c r="B53" t="s">
        <v>229</v>
      </c>
      <c r="C53" s="42">
        <v>4360</v>
      </c>
      <c r="D53" s="42">
        <v>4322</v>
      </c>
      <c r="E53" s="42">
        <v>4257</v>
      </c>
      <c r="F53" s="40">
        <f>G53</f>
        <v>3608</v>
      </c>
      <c r="G53" s="42">
        <v>3608</v>
      </c>
      <c r="H53" s="42">
        <v>3614</v>
      </c>
      <c r="I53" s="42">
        <v>3688</v>
      </c>
      <c r="J53" s="42">
        <v>3594</v>
      </c>
      <c r="K53" s="40">
        <f>L53</f>
        <v>3588</v>
      </c>
      <c r="L53" s="42">
        <v>3588</v>
      </c>
      <c r="M53" s="42">
        <v>3534</v>
      </c>
      <c r="N53" s="42">
        <v>2823</v>
      </c>
      <c r="O53" s="42">
        <v>2670</v>
      </c>
      <c r="P53" s="40">
        <f>Q53</f>
        <v>2598</v>
      </c>
      <c r="Q53" s="42">
        <v>2598</v>
      </c>
      <c r="R53" s="42">
        <v>2526</v>
      </c>
      <c r="S53" s="42">
        <v>2523</v>
      </c>
      <c r="T53" s="42">
        <v>2523</v>
      </c>
      <c r="U53" s="42">
        <v>2523</v>
      </c>
      <c r="V53" s="40">
        <f>U53</f>
        <v>2523</v>
      </c>
      <c r="W53" s="42">
        <v>2523</v>
      </c>
      <c r="X53" s="42">
        <v>2523</v>
      </c>
      <c r="Y53" s="42">
        <v>2523</v>
      </c>
    </row>
    <row r="54" spans="2:25" s="42" customFormat="1" x14ac:dyDescent="0.25">
      <c r="B54" t="s">
        <v>230</v>
      </c>
      <c r="C54" s="42">
        <v>19024</v>
      </c>
      <c r="D54" s="42">
        <v>19024</v>
      </c>
      <c r="E54" s="42">
        <v>19024</v>
      </c>
      <c r="F54" s="40">
        <f>G54</f>
        <v>19024</v>
      </c>
      <c r="G54" s="42">
        <v>19024</v>
      </c>
      <c r="H54" s="42">
        <v>19024</v>
      </c>
      <c r="I54" s="42">
        <v>19024</v>
      </c>
      <c r="J54" s="42">
        <v>19024</v>
      </c>
      <c r="K54" s="40">
        <f>L54</f>
        <v>19024</v>
      </c>
      <c r="L54" s="42">
        <v>19024</v>
      </c>
      <c r="M54" s="42">
        <v>19024</v>
      </c>
      <c r="N54" s="42">
        <v>19024</v>
      </c>
      <c r="O54" s="42">
        <v>19024</v>
      </c>
      <c r="P54" s="40">
        <f>Q54</f>
        <v>19024</v>
      </c>
      <c r="Q54" s="42">
        <v>19024</v>
      </c>
      <c r="R54" s="42">
        <v>19024</v>
      </c>
      <c r="S54" s="42">
        <v>19024</v>
      </c>
      <c r="T54" s="42">
        <v>19024</v>
      </c>
      <c r="U54" s="42">
        <v>19024</v>
      </c>
      <c r="V54" s="40">
        <f>U54</f>
        <v>19024</v>
      </c>
      <c r="W54" s="42">
        <v>19024</v>
      </c>
      <c r="X54" s="42">
        <v>19024</v>
      </c>
      <c r="Y54" s="42">
        <v>19024</v>
      </c>
    </row>
    <row r="55" spans="2:25" s="42" customFormat="1" x14ac:dyDescent="0.25">
      <c r="B55" t="s">
        <v>231</v>
      </c>
      <c r="C55" s="42">
        <v>0</v>
      </c>
      <c r="D55" s="42">
        <v>0</v>
      </c>
      <c r="E55" s="42">
        <v>0</v>
      </c>
      <c r="F55" s="40">
        <f>G55</f>
        <v>1221</v>
      </c>
      <c r="G55" s="42">
        <v>1221</v>
      </c>
      <c r="H55" s="42">
        <v>1221</v>
      </c>
      <c r="I55" s="42">
        <v>1221</v>
      </c>
      <c r="J55" s="42">
        <v>1221</v>
      </c>
      <c r="K55" s="40">
        <f>L55</f>
        <v>8085</v>
      </c>
      <c r="L55" s="42">
        <v>8085</v>
      </c>
      <c r="M55" s="42">
        <v>8085</v>
      </c>
      <c r="N55" s="42">
        <v>8085</v>
      </c>
      <c r="O55" s="42">
        <v>7781</v>
      </c>
      <c r="P55" s="40">
        <f>Q55</f>
        <v>7249</v>
      </c>
      <c r="Q55" s="42">
        <v>7249</v>
      </c>
      <c r="R55" s="42">
        <v>7249</v>
      </c>
      <c r="S55" s="42">
        <v>7249</v>
      </c>
      <c r="T55" s="42">
        <f>S55</f>
        <v>7249</v>
      </c>
      <c r="U55" s="42">
        <f>T55</f>
        <v>7249</v>
      </c>
      <c r="V55" s="40">
        <f>U55</f>
        <v>7249</v>
      </c>
      <c r="W55" s="42">
        <f t="shared" ref="W55:Y56" si="14">V55</f>
        <v>7249</v>
      </c>
      <c r="X55" s="42">
        <f t="shared" si="14"/>
        <v>7249</v>
      </c>
      <c r="Y55" s="42">
        <f t="shared" si="14"/>
        <v>7249</v>
      </c>
    </row>
    <row r="56" spans="2:25" s="42" customFormat="1" x14ac:dyDescent="0.25">
      <c r="B56" t="s">
        <v>232</v>
      </c>
      <c r="C56" s="42">
        <v>11405</v>
      </c>
      <c r="D56" s="42">
        <v>10966</v>
      </c>
      <c r="E56" s="42">
        <v>10808</v>
      </c>
      <c r="F56" s="40">
        <f>G56</f>
        <v>10435</v>
      </c>
      <c r="G56" s="42">
        <v>10435</v>
      </c>
      <c r="H56" s="42">
        <v>10229</v>
      </c>
      <c r="I56" s="42">
        <v>9914</v>
      </c>
      <c r="J56" s="42">
        <v>9276</v>
      </c>
      <c r="K56" s="40">
        <f>L56</f>
        <v>8347</v>
      </c>
      <c r="L56" s="42">
        <v>8347</v>
      </c>
      <c r="M56" s="42">
        <v>8271</v>
      </c>
      <c r="N56" s="42">
        <v>7949</v>
      </c>
      <c r="O56" s="42">
        <v>8085</v>
      </c>
      <c r="P56" s="40">
        <f>Q56</f>
        <v>8614</v>
      </c>
      <c r="Q56" s="42">
        <v>8614</v>
      </c>
      <c r="R56" s="42">
        <v>8390</v>
      </c>
      <c r="S56" s="42">
        <v>8128</v>
      </c>
      <c r="T56" s="42">
        <f>S56</f>
        <v>8128</v>
      </c>
      <c r="U56" s="42">
        <f>T56</f>
        <v>8128</v>
      </c>
      <c r="V56" s="40">
        <f>U56</f>
        <v>8128</v>
      </c>
      <c r="W56" s="42">
        <f t="shared" si="14"/>
        <v>8128</v>
      </c>
      <c r="X56" s="42">
        <f t="shared" si="14"/>
        <v>8128</v>
      </c>
      <c r="Y56" s="42">
        <f t="shared" si="14"/>
        <v>8128</v>
      </c>
    </row>
    <row r="57" spans="2:25" s="40" customFormat="1" x14ac:dyDescent="0.25">
      <c r="B57" s="38" t="s">
        <v>233</v>
      </c>
      <c r="C57" s="41">
        <f t="shared" ref="C57:Y57" si="15">SUM(C51:C56)</f>
        <v>492670</v>
      </c>
      <c r="D57" s="41">
        <f t="shared" si="15"/>
        <v>505176</v>
      </c>
      <c r="E57" s="41">
        <f t="shared" si="15"/>
        <v>469305</v>
      </c>
      <c r="F57" s="41">
        <f t="shared" si="15"/>
        <v>497476</v>
      </c>
      <c r="G57" s="41">
        <f t="shared" si="15"/>
        <v>497476</v>
      </c>
      <c r="H57" s="41">
        <f t="shared" si="15"/>
        <v>521256</v>
      </c>
      <c r="I57" s="41">
        <f t="shared" si="15"/>
        <v>505995</v>
      </c>
      <c r="J57" s="41">
        <f t="shared" si="15"/>
        <v>529193</v>
      </c>
      <c r="K57" s="41">
        <f t="shared" si="15"/>
        <v>541294</v>
      </c>
      <c r="L57" s="41">
        <f t="shared" si="15"/>
        <v>541294</v>
      </c>
      <c r="M57" s="41">
        <f t="shared" si="15"/>
        <v>537662</v>
      </c>
      <c r="N57" s="41">
        <f t="shared" si="15"/>
        <v>572973</v>
      </c>
      <c r="O57" s="41">
        <f t="shared" si="15"/>
        <v>570566</v>
      </c>
      <c r="P57" s="41">
        <f t="shared" si="15"/>
        <v>577996</v>
      </c>
      <c r="Q57" s="41">
        <f t="shared" si="15"/>
        <v>577996</v>
      </c>
      <c r="R57" s="41">
        <f t="shared" si="15"/>
        <v>571268</v>
      </c>
      <c r="S57" s="41">
        <f t="shared" si="15"/>
        <v>587443</v>
      </c>
      <c r="T57" s="41">
        <f t="shared" si="15"/>
        <v>577988.68694240309</v>
      </c>
      <c r="U57" s="41">
        <f t="shared" ca="1" si="15"/>
        <v>553609.62359934021</v>
      </c>
      <c r="V57" s="41">
        <f t="shared" ca="1" si="15"/>
        <v>553609.62359934032</v>
      </c>
      <c r="W57" s="41">
        <f t="shared" ca="1" si="15"/>
        <v>554165.87791921222</v>
      </c>
      <c r="X57" s="41">
        <f t="shared" ca="1" si="15"/>
        <v>563484.97992714401</v>
      </c>
      <c r="Y57" s="41">
        <f t="shared" ca="1" si="15"/>
        <v>575865.65994942281</v>
      </c>
    </row>
    <row r="58" spans="2:25" x14ac:dyDescent="0.25">
      <c r="T58" s="40"/>
      <c r="U58" s="40"/>
      <c r="V58" s="40"/>
      <c r="W58" s="40"/>
      <c r="X58" s="40"/>
      <c r="Y58" s="40"/>
    </row>
    <row r="59" spans="2:25" s="42" customFormat="1" x14ac:dyDescent="0.25">
      <c r="B59" t="s">
        <v>234</v>
      </c>
    </row>
    <row r="60" spans="2:25" s="42" customFormat="1" x14ac:dyDescent="0.25">
      <c r="B60" s="36" t="s">
        <v>235</v>
      </c>
      <c r="C60" s="42">
        <v>54583</v>
      </c>
      <c r="D60" s="42">
        <v>49070</v>
      </c>
      <c r="E60" s="42">
        <v>36060</v>
      </c>
      <c r="F60" s="40">
        <f t="shared" ref="F60:F65" si="16">G60</f>
        <v>30042</v>
      </c>
      <c r="G60" s="42">
        <v>30042</v>
      </c>
      <c r="H60" s="42">
        <v>53865</v>
      </c>
      <c r="I60" s="42">
        <v>45178</v>
      </c>
      <c r="J60" s="42">
        <v>37761</v>
      </c>
      <c r="K60" s="40">
        <f t="shared" ref="K60:K65" si="17">L60</f>
        <v>36795</v>
      </c>
      <c r="L60" s="42">
        <v>36795</v>
      </c>
      <c r="M60" s="42">
        <v>36335</v>
      </c>
      <c r="N60" s="42">
        <v>44536</v>
      </c>
      <c r="O60" s="42">
        <v>36141</v>
      </c>
      <c r="P60" s="40">
        <f t="shared" ref="P60:P65" si="18">Q60</f>
        <v>41831</v>
      </c>
      <c r="Q60" s="42">
        <v>41831</v>
      </c>
      <c r="R60" s="42">
        <v>29453</v>
      </c>
      <c r="S60" s="42">
        <v>31627</v>
      </c>
      <c r="T60" s="43">
        <f>(T22/91.25)*Assumptions!T87</f>
        <v>36805.08770217959</v>
      </c>
      <c r="U60" s="43">
        <f>(U22/91.25)*Assumptions!U87</f>
        <v>42300.02528744442</v>
      </c>
      <c r="V60" s="40">
        <f t="shared" ref="V60:V65" si="19">U60</f>
        <v>42300.02528744442</v>
      </c>
      <c r="W60" s="43">
        <f>(W22/365)*Assumptions!W87</f>
        <v>43015.589150157408</v>
      </c>
      <c r="X60" s="43">
        <f>(X22/365)*Assumptions!X87</f>
        <v>44896.019103986881</v>
      </c>
      <c r="Y60" s="43">
        <f>(Y22/365)*Assumptions!Y87</f>
        <v>46847.363838428057</v>
      </c>
    </row>
    <row r="61" spans="2:25" s="42" customFormat="1" x14ac:dyDescent="0.25">
      <c r="B61" s="36" t="s">
        <v>236</v>
      </c>
      <c r="C61" s="42">
        <v>33554</v>
      </c>
      <c r="D61" s="42">
        <v>31958</v>
      </c>
      <c r="E61" s="42">
        <v>26857</v>
      </c>
      <c r="F61" s="40">
        <f t="shared" si="16"/>
        <v>23482</v>
      </c>
      <c r="G61" s="42">
        <v>23482</v>
      </c>
      <c r="H61" s="42">
        <v>24628</v>
      </c>
      <c r="I61" s="42">
        <v>23845</v>
      </c>
      <c r="J61" s="42">
        <v>19485</v>
      </c>
      <c r="K61" s="40">
        <f t="shared" si="17"/>
        <v>20149</v>
      </c>
      <c r="L61" s="42">
        <v>20149</v>
      </c>
      <c r="M61" s="42">
        <v>16041</v>
      </c>
      <c r="N61" s="42">
        <v>23197</v>
      </c>
      <c r="O61" s="42">
        <v>24333</v>
      </c>
      <c r="P61" s="40">
        <f t="shared" si="18"/>
        <v>26811</v>
      </c>
      <c r="Q61" s="42">
        <v>26811</v>
      </c>
      <c r="R61" s="42">
        <v>27887</v>
      </c>
      <c r="S61" s="42">
        <v>29979</v>
      </c>
      <c r="T61" s="43">
        <f>(T29/91.25)*Assumptions!T94</f>
        <v>25558.532041063059</v>
      </c>
      <c r="U61" s="43">
        <f>(U29/91.25)*Assumptions!U94</f>
        <v>26967.945431003147</v>
      </c>
      <c r="V61" s="40">
        <f t="shared" si="19"/>
        <v>26967.945431003147</v>
      </c>
      <c r="W61" s="43">
        <f>(W29/365)*Assumptions!W94</f>
        <v>27185.461201901591</v>
      </c>
      <c r="X61" s="43">
        <f>(X29/365)*Assumptions!X94</f>
        <v>28341.040852396654</v>
      </c>
      <c r="Y61" s="43">
        <f>(Y29/365)*Assumptions!Y94</f>
        <v>29545.995751160859</v>
      </c>
    </row>
    <row r="62" spans="2:25" s="42" customFormat="1" x14ac:dyDescent="0.25">
      <c r="B62" s="36" t="s">
        <v>237</v>
      </c>
      <c r="C62" s="42">
        <v>8267</v>
      </c>
      <c r="D62" s="42">
        <v>11068</v>
      </c>
      <c r="E62" s="42">
        <v>16223</v>
      </c>
      <c r="F62" s="40">
        <f t="shared" si="16"/>
        <v>17371</v>
      </c>
      <c r="G62" s="42">
        <v>17371</v>
      </c>
      <c r="H62" s="42">
        <v>15936</v>
      </c>
      <c r="I62" s="42">
        <v>17042</v>
      </c>
      <c r="J62" s="42">
        <v>18444</v>
      </c>
      <c r="K62" s="40">
        <f t="shared" si="17"/>
        <v>18565</v>
      </c>
      <c r="L62" s="42">
        <v>18565</v>
      </c>
      <c r="M62" s="42">
        <v>20117</v>
      </c>
      <c r="N62" s="42">
        <v>19889</v>
      </c>
      <c r="O62" s="42">
        <v>19897</v>
      </c>
      <c r="P62" s="40">
        <f t="shared" si="18"/>
        <v>17147</v>
      </c>
      <c r="Q62" s="42">
        <v>17147</v>
      </c>
      <c r="R62" s="42">
        <v>12308</v>
      </c>
      <c r="S62" s="42">
        <v>13198</v>
      </c>
      <c r="T62" s="43">
        <f>(T29/91.25)*Assumptions!T92</f>
        <v>20899.112810628845</v>
      </c>
      <c r="U62" s="43">
        <f>(U29/91.25)*Assumptions!U92</f>
        <v>17247.37459644963</v>
      </c>
      <c r="V62" s="40">
        <f t="shared" si="19"/>
        <v>17247.37459644963</v>
      </c>
      <c r="W62" s="43">
        <f>(W29/365)*Assumptions!W92</f>
        <v>17386.487010145342</v>
      </c>
      <c r="X62" s="43">
        <f>(X29/365)*Assumptions!X92</f>
        <v>18125.539050988235</v>
      </c>
      <c r="Y62" s="43">
        <f>(Y29/365)*Assumptions!Y92</f>
        <v>18896.169077809682</v>
      </c>
    </row>
    <row r="63" spans="2:25" s="42" customFormat="1" x14ac:dyDescent="0.25">
      <c r="B63" s="36" t="s">
        <v>238</v>
      </c>
      <c r="C63" s="42">
        <v>22236</v>
      </c>
      <c r="D63" s="42">
        <v>1722</v>
      </c>
      <c r="E63" s="42">
        <v>362</v>
      </c>
      <c r="F63" s="40">
        <f t="shared" si="16"/>
        <v>2673</v>
      </c>
      <c r="G63" s="42">
        <v>2673</v>
      </c>
      <c r="H63" s="42">
        <v>1829</v>
      </c>
      <c r="I63" s="42">
        <v>161</v>
      </c>
      <c r="J63" s="42">
        <v>169</v>
      </c>
      <c r="K63" s="40">
        <f t="shared" si="17"/>
        <v>1831</v>
      </c>
      <c r="L63" s="42">
        <v>1831</v>
      </c>
      <c r="M63" s="42">
        <v>2585</v>
      </c>
      <c r="N63" s="42">
        <v>190</v>
      </c>
      <c r="O63" s="42">
        <v>190</v>
      </c>
      <c r="P63" s="40">
        <f t="shared" si="18"/>
        <v>0</v>
      </c>
      <c r="Q63" s="42">
        <v>0</v>
      </c>
      <c r="R63" s="42">
        <v>0</v>
      </c>
      <c r="S63" s="42">
        <v>0</v>
      </c>
      <c r="T63" s="42">
        <v>0</v>
      </c>
      <c r="U63" s="42">
        <v>0</v>
      </c>
      <c r="V63" s="40">
        <f t="shared" si="19"/>
        <v>0</v>
      </c>
      <c r="W63" s="42">
        <v>0</v>
      </c>
      <c r="X63" s="42">
        <v>0</v>
      </c>
      <c r="Y63" s="42">
        <v>0</v>
      </c>
    </row>
    <row r="64" spans="2:25" s="42" customFormat="1" x14ac:dyDescent="0.25">
      <c r="B64" s="36" t="s">
        <v>239</v>
      </c>
      <c r="C64" s="42">
        <v>18279</v>
      </c>
      <c r="D64" s="42">
        <v>7777</v>
      </c>
      <c r="E64" s="42">
        <v>11502</v>
      </c>
      <c r="F64" s="40">
        <f t="shared" si="16"/>
        <v>13543</v>
      </c>
      <c r="G64" s="42">
        <v>13543</v>
      </c>
      <c r="H64" s="42">
        <v>17031</v>
      </c>
      <c r="I64" s="42">
        <v>5628</v>
      </c>
      <c r="J64" s="42">
        <v>7807</v>
      </c>
      <c r="K64" s="40">
        <f t="shared" si="17"/>
        <v>8203</v>
      </c>
      <c r="L64" s="42">
        <v>8203</v>
      </c>
      <c r="M64" s="42">
        <v>8971</v>
      </c>
      <c r="N64" s="42">
        <v>1504</v>
      </c>
      <c r="O64" s="42">
        <v>3473</v>
      </c>
      <c r="P64" s="40">
        <f t="shared" si="18"/>
        <v>9098</v>
      </c>
      <c r="Q64" s="42">
        <v>9098</v>
      </c>
      <c r="R64" s="42">
        <v>9098</v>
      </c>
      <c r="S64" s="42">
        <v>892</v>
      </c>
      <c r="T64" s="43">
        <f>(T29/91.25)*Assumptions!T93</f>
        <v>3647.9177158020793</v>
      </c>
      <c r="U64" s="43">
        <f>(U29/91.25)*Assumptions!U93</f>
        <v>9151.2576006589316</v>
      </c>
      <c r="V64" s="40">
        <f t="shared" si="19"/>
        <v>9151.2576006589316</v>
      </c>
      <c r="W64" s="43">
        <f>(W29/365)*Assumptions!W93</f>
        <v>9225.0690393831137</v>
      </c>
      <c r="X64" s="43">
        <f>(X29/365)*Assumptions!X93</f>
        <v>9617.2015096454707</v>
      </c>
      <c r="Y64" s="43">
        <f>(Y29/365)*Assumptions!Y93</f>
        <v>10026.088894262111</v>
      </c>
    </row>
    <row r="65" spans="2:25" s="42" customFormat="1" x14ac:dyDescent="0.25">
      <c r="B65" s="36" t="s">
        <v>240</v>
      </c>
      <c r="C65" s="42">
        <v>1902</v>
      </c>
      <c r="D65" s="42">
        <v>2142</v>
      </c>
      <c r="E65" s="42">
        <v>2040</v>
      </c>
      <c r="F65" s="40">
        <f t="shared" si="16"/>
        <v>1838</v>
      </c>
      <c r="G65" s="42">
        <v>1838</v>
      </c>
      <c r="H65" s="42">
        <v>1763</v>
      </c>
      <c r="I65" s="42">
        <v>1708</v>
      </c>
      <c r="J65" s="42">
        <v>1682</v>
      </c>
      <c r="K65" s="40">
        <f t="shared" si="17"/>
        <v>1670</v>
      </c>
      <c r="L65" s="42">
        <v>1670</v>
      </c>
      <c r="M65" s="42">
        <v>1753</v>
      </c>
      <c r="N65" s="42">
        <v>1578</v>
      </c>
      <c r="O65" s="42">
        <v>2110</v>
      </c>
      <c r="P65" s="40">
        <f t="shared" si="18"/>
        <v>1813</v>
      </c>
      <c r="Q65" s="42">
        <v>1813</v>
      </c>
      <c r="R65" s="42">
        <v>1743</v>
      </c>
      <c r="S65" s="42">
        <v>1485</v>
      </c>
      <c r="T65" s="43">
        <f>(T21/91.25)*Assumptions!T95</f>
        <v>2103.2891783687355</v>
      </c>
      <c r="U65" s="43">
        <f>(U21/91.25)*Assumptions!U95</f>
        <v>1756.9765490664931</v>
      </c>
      <c r="V65" s="40">
        <f t="shared" si="19"/>
        <v>1756.9765490664931</v>
      </c>
      <c r="W65" s="43">
        <f>(W21/365)*Assumptions!W95</f>
        <v>1845.289069670677</v>
      </c>
      <c r="X65" s="43">
        <f>(X21/365)*Assumptions!X95</f>
        <v>1940.0141035995753</v>
      </c>
      <c r="Y65" s="43">
        <f>(Y21/365)*Assumptions!Y95</f>
        <v>2039.2190023727305</v>
      </c>
    </row>
    <row r="66" spans="2:25" s="40" customFormat="1" x14ac:dyDescent="0.25">
      <c r="B66" s="39" t="s">
        <v>241</v>
      </c>
      <c r="C66" s="41">
        <f t="shared" ref="C66:Y66" si="20">SUM(C60:C65)</f>
        <v>138821</v>
      </c>
      <c r="D66" s="41">
        <f t="shared" si="20"/>
        <v>103737</v>
      </c>
      <c r="E66" s="41">
        <f t="shared" si="20"/>
        <v>93044</v>
      </c>
      <c r="F66" s="41">
        <f t="shared" si="20"/>
        <v>88949</v>
      </c>
      <c r="G66" s="41">
        <f t="shared" si="20"/>
        <v>88949</v>
      </c>
      <c r="H66" s="41">
        <f t="shared" si="20"/>
        <v>115052</v>
      </c>
      <c r="I66" s="41">
        <f t="shared" si="20"/>
        <v>93562</v>
      </c>
      <c r="J66" s="41">
        <f t="shared" si="20"/>
        <v>85348</v>
      </c>
      <c r="K66" s="41">
        <f t="shared" si="20"/>
        <v>87213</v>
      </c>
      <c r="L66" s="41">
        <f t="shared" si="20"/>
        <v>87213</v>
      </c>
      <c r="M66" s="41">
        <f t="shared" si="20"/>
        <v>85802</v>
      </c>
      <c r="N66" s="41">
        <f t="shared" si="20"/>
        <v>90894</v>
      </c>
      <c r="O66" s="41">
        <f t="shared" si="20"/>
        <v>86144</v>
      </c>
      <c r="P66" s="41">
        <f t="shared" si="20"/>
        <v>96700</v>
      </c>
      <c r="Q66" s="41">
        <f t="shared" si="20"/>
        <v>96700</v>
      </c>
      <c r="R66" s="41">
        <f t="shared" si="20"/>
        <v>80489</v>
      </c>
      <c r="S66" s="41">
        <f t="shared" si="20"/>
        <v>77181</v>
      </c>
      <c r="T66" s="41">
        <f>SUM(T60:T65)</f>
        <v>89013.939448042307</v>
      </c>
      <c r="U66" s="41">
        <f t="shared" si="20"/>
        <v>97423.579464622628</v>
      </c>
      <c r="V66" s="41">
        <f t="shared" si="20"/>
        <v>97423.579464622628</v>
      </c>
      <c r="W66" s="41">
        <f t="shared" si="20"/>
        <v>98657.895471258133</v>
      </c>
      <c r="X66" s="41">
        <f t="shared" si="20"/>
        <v>102919.81462061683</v>
      </c>
      <c r="Y66" s="41">
        <f t="shared" si="20"/>
        <v>107354.83656403344</v>
      </c>
    </row>
    <row r="67" spans="2:25" s="42" customFormat="1" x14ac:dyDescent="0.25">
      <c r="B67" t="s">
        <v>231</v>
      </c>
      <c r="C67" s="42">
        <v>904</v>
      </c>
      <c r="D67" s="42">
        <v>904</v>
      </c>
      <c r="E67" s="42">
        <v>904</v>
      </c>
      <c r="F67" s="40">
        <f>G67</f>
        <v>0</v>
      </c>
      <c r="G67" s="42">
        <v>0</v>
      </c>
      <c r="H67" s="42">
        <v>0</v>
      </c>
      <c r="I67" s="42">
        <v>0</v>
      </c>
      <c r="J67" s="42">
        <v>0</v>
      </c>
      <c r="K67" s="40">
        <f>L67</f>
        <v>0</v>
      </c>
      <c r="L67" s="42">
        <v>0</v>
      </c>
      <c r="M67" s="42">
        <v>0</v>
      </c>
      <c r="N67" s="42">
        <v>0</v>
      </c>
      <c r="O67" s="42">
        <v>0</v>
      </c>
      <c r="P67" s="40">
        <f>Q67</f>
        <v>0</v>
      </c>
      <c r="Q67" s="42">
        <v>0</v>
      </c>
      <c r="R67" s="42">
        <v>0</v>
      </c>
      <c r="S67" s="42">
        <v>0</v>
      </c>
      <c r="T67" s="42">
        <v>0</v>
      </c>
      <c r="U67" s="42">
        <v>0</v>
      </c>
      <c r="V67" s="40">
        <f>U67</f>
        <v>0</v>
      </c>
      <c r="W67" s="42">
        <v>0</v>
      </c>
      <c r="X67" s="42">
        <v>0</v>
      </c>
      <c r="Y67" s="42">
        <v>0</v>
      </c>
    </row>
    <row r="68" spans="2:25" s="42" customFormat="1" x14ac:dyDescent="0.25">
      <c r="B68" t="s">
        <v>242</v>
      </c>
      <c r="C68" s="42">
        <v>0</v>
      </c>
      <c r="D68" s="42">
        <v>0</v>
      </c>
      <c r="E68" s="42">
        <v>0</v>
      </c>
      <c r="F68" s="40">
        <f>G68</f>
        <v>0</v>
      </c>
      <c r="G68" s="42">
        <v>0</v>
      </c>
      <c r="H68" s="42">
        <v>0</v>
      </c>
      <c r="I68" s="42">
        <v>0</v>
      </c>
      <c r="J68" s="42">
        <v>24769</v>
      </c>
      <c r="K68" s="40">
        <f>L68</f>
        <v>24790</v>
      </c>
      <c r="L68" s="42">
        <v>24790</v>
      </c>
      <c r="M68" s="42">
        <v>24813</v>
      </c>
      <c r="N68" s="42">
        <v>64836</v>
      </c>
      <c r="O68" s="42">
        <v>64858</v>
      </c>
      <c r="P68" s="40">
        <f>Q68</f>
        <v>39880</v>
      </c>
      <c r="Q68" s="42">
        <v>39880</v>
      </c>
      <c r="R68" s="42">
        <v>69903</v>
      </c>
      <c r="S68" s="42">
        <v>98994</v>
      </c>
      <c r="T68" s="40">
        <f>S68+T121</f>
        <v>83994</v>
      </c>
      <c r="U68" s="40">
        <f ca="1">T68+U121</f>
        <v>63994</v>
      </c>
      <c r="V68" s="40">
        <f ca="1">U68</f>
        <v>63994</v>
      </c>
      <c r="W68" s="40">
        <f ca="1">V68+W121</f>
        <v>53994</v>
      </c>
      <c r="X68" s="40">
        <f ca="1">W68+X121</f>
        <v>46494</v>
      </c>
      <c r="Y68" s="40">
        <f ca="1">X68+Y121</f>
        <v>41494</v>
      </c>
    </row>
    <row r="69" spans="2:25" s="42" customFormat="1" x14ac:dyDescent="0.25">
      <c r="B69" t="s">
        <v>243</v>
      </c>
      <c r="C69" s="42">
        <v>38509</v>
      </c>
      <c r="D69" s="42">
        <v>38228</v>
      </c>
      <c r="E69" s="42">
        <v>37930</v>
      </c>
      <c r="F69" s="40">
        <f>G69</f>
        <v>37628</v>
      </c>
      <c r="G69" s="42">
        <v>37628</v>
      </c>
      <c r="H69" s="42">
        <v>37323</v>
      </c>
      <c r="I69" s="42">
        <v>37013</v>
      </c>
      <c r="J69" s="42">
        <v>36687</v>
      </c>
      <c r="K69" s="40">
        <f>L69</f>
        <v>36961</v>
      </c>
      <c r="L69" s="42">
        <v>36961</v>
      </c>
      <c r="M69" s="42">
        <v>36591</v>
      </c>
      <c r="N69" s="42">
        <v>36209</v>
      </c>
      <c r="O69" s="42">
        <v>35809</v>
      </c>
      <c r="P69" s="40">
        <f>Q69</f>
        <v>35404</v>
      </c>
      <c r="Q69" s="42">
        <v>35404</v>
      </c>
      <c r="R69" s="42">
        <v>34994</v>
      </c>
      <c r="S69" s="42">
        <v>34578</v>
      </c>
      <c r="T69" s="40">
        <f>S69+T120</f>
        <v>34533</v>
      </c>
      <c r="U69" s="40">
        <f>T69+U120</f>
        <v>34488</v>
      </c>
      <c r="V69" s="40">
        <f>U69</f>
        <v>34488</v>
      </c>
      <c r="W69" s="40">
        <f>V69+W120</f>
        <v>34308</v>
      </c>
      <c r="X69" s="40">
        <f>W69+X120</f>
        <v>34128</v>
      </c>
      <c r="Y69" s="40">
        <f>X69+Y120</f>
        <v>33948</v>
      </c>
    </row>
    <row r="70" spans="2:25" s="42" customFormat="1" x14ac:dyDescent="0.25">
      <c r="B70" t="s">
        <v>244</v>
      </c>
      <c r="C70" s="42">
        <v>14377</v>
      </c>
      <c r="D70" s="42">
        <v>13999</v>
      </c>
      <c r="E70" s="42">
        <v>11118</v>
      </c>
      <c r="F70" s="40">
        <f>G70</f>
        <v>10385</v>
      </c>
      <c r="G70" s="42">
        <v>10385</v>
      </c>
      <c r="H70" s="42">
        <v>9435</v>
      </c>
      <c r="I70" s="42">
        <v>8780</v>
      </c>
      <c r="J70" s="42">
        <v>8021</v>
      </c>
      <c r="K70" s="40">
        <f>L70</f>
        <v>7707</v>
      </c>
      <c r="L70" s="42">
        <v>7707</v>
      </c>
      <c r="M70" s="42">
        <v>7741</v>
      </c>
      <c r="N70" s="42">
        <v>7532</v>
      </c>
      <c r="O70" s="42">
        <v>7324</v>
      </c>
      <c r="P70" s="40">
        <f>Q70</f>
        <v>7852</v>
      </c>
      <c r="Q70" s="42">
        <v>7852</v>
      </c>
      <c r="R70" s="42">
        <v>7896</v>
      </c>
      <c r="S70" s="42">
        <v>7625</v>
      </c>
      <c r="T70" s="42">
        <v>7625</v>
      </c>
      <c r="U70" s="42">
        <v>7625</v>
      </c>
      <c r="V70" s="40">
        <f>U70</f>
        <v>7625</v>
      </c>
      <c r="W70" s="42">
        <v>7625</v>
      </c>
      <c r="X70" s="42">
        <v>7625</v>
      </c>
      <c r="Y70" s="42">
        <v>7625</v>
      </c>
    </row>
    <row r="71" spans="2:25" s="40" customFormat="1" x14ac:dyDescent="0.25">
      <c r="B71" s="69" t="s">
        <v>245</v>
      </c>
      <c r="C71" s="41">
        <f t="shared" ref="C71:Y71" si="21">SUM(C66:C70)</f>
        <v>192611</v>
      </c>
      <c r="D71" s="41">
        <f t="shared" si="21"/>
        <v>156868</v>
      </c>
      <c r="E71" s="41">
        <f t="shared" si="21"/>
        <v>142996</v>
      </c>
      <c r="F71" s="41">
        <f t="shared" si="21"/>
        <v>136962</v>
      </c>
      <c r="G71" s="41">
        <f t="shared" si="21"/>
        <v>136962</v>
      </c>
      <c r="H71" s="41">
        <f t="shared" si="21"/>
        <v>161810</v>
      </c>
      <c r="I71" s="41">
        <f t="shared" si="21"/>
        <v>139355</v>
      </c>
      <c r="J71" s="41">
        <f t="shared" si="21"/>
        <v>154825</v>
      </c>
      <c r="K71" s="41">
        <f t="shared" si="21"/>
        <v>156671</v>
      </c>
      <c r="L71" s="41">
        <f t="shared" si="21"/>
        <v>156671</v>
      </c>
      <c r="M71" s="41">
        <f t="shared" si="21"/>
        <v>154947</v>
      </c>
      <c r="N71" s="41">
        <f t="shared" si="21"/>
        <v>199471</v>
      </c>
      <c r="O71" s="41">
        <f t="shared" si="21"/>
        <v>194135</v>
      </c>
      <c r="P71" s="41">
        <f t="shared" si="21"/>
        <v>179836</v>
      </c>
      <c r="Q71" s="41">
        <f t="shared" si="21"/>
        <v>179836</v>
      </c>
      <c r="R71" s="41">
        <f t="shared" si="21"/>
        <v>193282</v>
      </c>
      <c r="S71" s="41">
        <f t="shared" si="21"/>
        <v>218378</v>
      </c>
      <c r="T71" s="41">
        <f t="shared" si="21"/>
        <v>215165.93944804231</v>
      </c>
      <c r="U71" s="41">
        <f ca="1">SUM(U66:U70)</f>
        <v>203530.57946462263</v>
      </c>
      <c r="V71" s="41">
        <f t="shared" ca="1" si="21"/>
        <v>203530.57946462263</v>
      </c>
      <c r="W71" s="41">
        <f t="shared" ca="1" si="21"/>
        <v>194584.89547125815</v>
      </c>
      <c r="X71" s="41">
        <f t="shared" ca="1" si="21"/>
        <v>191166.81462061685</v>
      </c>
      <c r="Y71" s="41">
        <f t="shared" ca="1" si="21"/>
        <v>190421.83656403344</v>
      </c>
    </row>
    <row r="72" spans="2:25" x14ac:dyDescent="0.25">
      <c r="U72" s="40"/>
    </row>
    <row r="73" spans="2:25" s="42" customFormat="1" x14ac:dyDescent="0.25">
      <c r="B73" t="s">
        <v>246</v>
      </c>
    </row>
    <row r="74" spans="2:25" s="42" customFormat="1" x14ac:dyDescent="0.25">
      <c r="B74" s="36" t="s">
        <v>247</v>
      </c>
      <c r="C74" s="42">
        <v>74</v>
      </c>
      <c r="D74" s="42">
        <v>75</v>
      </c>
      <c r="E74" s="42">
        <v>75</v>
      </c>
      <c r="F74" s="40">
        <f>G74</f>
        <v>75</v>
      </c>
      <c r="G74" s="42">
        <v>75</v>
      </c>
      <c r="H74" s="42">
        <v>75</v>
      </c>
      <c r="I74" s="42">
        <v>75</v>
      </c>
      <c r="J74" s="42">
        <v>75</v>
      </c>
      <c r="K74" s="40">
        <f>L74</f>
        <v>75</v>
      </c>
      <c r="L74" s="42">
        <v>75</v>
      </c>
      <c r="M74" s="42">
        <v>75</v>
      </c>
      <c r="N74" s="42">
        <v>75</v>
      </c>
      <c r="O74" s="42">
        <v>75</v>
      </c>
      <c r="P74" s="40">
        <f>Q74</f>
        <v>75</v>
      </c>
      <c r="Q74" s="42">
        <v>75</v>
      </c>
      <c r="R74" s="42">
        <v>76</v>
      </c>
      <c r="S74" s="42">
        <v>76</v>
      </c>
      <c r="T74" s="42">
        <v>76</v>
      </c>
      <c r="U74" s="42">
        <v>76</v>
      </c>
      <c r="V74" s="40">
        <f>U74</f>
        <v>76</v>
      </c>
      <c r="W74" s="42">
        <v>76</v>
      </c>
      <c r="X74" s="42">
        <v>76</v>
      </c>
      <c r="Y74" s="42">
        <v>76</v>
      </c>
    </row>
    <row r="75" spans="2:25" s="42" customFormat="1" x14ac:dyDescent="0.25">
      <c r="B75" s="36" t="s">
        <v>248</v>
      </c>
      <c r="C75" s="42">
        <v>274068</v>
      </c>
      <c r="D75" s="42">
        <v>275229</v>
      </c>
      <c r="E75" s="42">
        <v>276389</v>
      </c>
      <c r="F75" s="40">
        <f>G75</f>
        <v>278101</v>
      </c>
      <c r="G75" s="42">
        <v>278101</v>
      </c>
      <c r="H75" s="42">
        <v>278297</v>
      </c>
      <c r="I75" s="42">
        <v>280420</v>
      </c>
      <c r="J75" s="42">
        <v>281659</v>
      </c>
      <c r="K75" s="40">
        <f>L75</f>
        <v>283666</v>
      </c>
      <c r="L75" s="42">
        <v>283666</v>
      </c>
      <c r="M75" s="42">
        <v>284176</v>
      </c>
      <c r="N75" s="42">
        <v>286341</v>
      </c>
      <c r="O75" s="42">
        <v>287827</v>
      </c>
      <c r="P75" s="40">
        <f>Q75</f>
        <v>289994</v>
      </c>
      <c r="Q75" s="42">
        <v>289994</v>
      </c>
      <c r="R75" s="42">
        <v>290790</v>
      </c>
      <c r="S75" s="42">
        <v>293362</v>
      </c>
      <c r="T75" s="40">
        <f>S75+T94+T125</f>
        <v>295135.56234422291</v>
      </c>
      <c r="U75" s="40">
        <f>T75+U94+U125</f>
        <v>297013.81320626539</v>
      </c>
      <c r="V75" s="40">
        <f>U75</f>
        <v>297013.81320626539</v>
      </c>
      <c r="W75" s="40">
        <f>V75+W94+W125</f>
        <v>305669.93893493142</v>
      </c>
      <c r="X75" s="40">
        <f>W75+X94+X125</f>
        <v>314694.01290879672</v>
      </c>
      <c r="Y75" s="40">
        <f>X75+Y94+Y125</f>
        <v>324101.75670616113</v>
      </c>
    </row>
    <row r="76" spans="2:25" s="42" customFormat="1" x14ac:dyDescent="0.25">
      <c r="B76" s="36" t="s">
        <v>249</v>
      </c>
      <c r="C76" s="42">
        <v>398219</v>
      </c>
      <c r="D76" s="42">
        <v>445306</v>
      </c>
      <c r="E76" s="42">
        <v>472147</v>
      </c>
      <c r="F76" s="40">
        <f>G76</f>
        <v>504640</v>
      </c>
      <c r="G76" s="42">
        <v>504640</v>
      </c>
      <c r="H76" s="42">
        <v>503376</v>
      </c>
      <c r="I76" s="42">
        <v>508447</v>
      </c>
      <c r="J76" s="42">
        <v>514936</v>
      </c>
      <c r="K76" s="40">
        <f>L76</f>
        <v>523184</v>
      </c>
      <c r="L76" s="42">
        <v>523184</v>
      </c>
      <c r="M76" s="42">
        <v>520766</v>
      </c>
      <c r="N76" s="42">
        <v>517682</v>
      </c>
      <c r="O76" s="42">
        <v>520050</v>
      </c>
      <c r="P76" s="40">
        <f>Q76</f>
        <v>540660</v>
      </c>
      <c r="Q76" s="42">
        <v>540660</v>
      </c>
      <c r="R76" s="42">
        <v>532647</v>
      </c>
      <c r="S76" s="42">
        <v>531000</v>
      </c>
      <c r="T76" s="40">
        <f>S76+T40+T123</f>
        <v>529496.10212292091</v>
      </c>
      <c r="U76" s="40">
        <f ca="1">T76+U40+U123</f>
        <v>536846.30795809999</v>
      </c>
      <c r="V76" s="40">
        <f ca="1">U76</f>
        <v>536846.30795809999</v>
      </c>
      <c r="W76" s="40">
        <f ca="1">V76+W40+W123</f>
        <v>548532.08340900438</v>
      </c>
      <c r="X76" s="40">
        <f ca="1">W76+X40+X123</f>
        <v>565594.58540267625</v>
      </c>
      <c r="Y76" s="40">
        <f ca="1">X76+Y40+Y123</f>
        <v>588385.04094243364</v>
      </c>
    </row>
    <row r="77" spans="2:25" s="42" customFormat="1" x14ac:dyDescent="0.25">
      <c r="B77" s="36" t="s">
        <v>250</v>
      </c>
      <c r="C77" s="42">
        <v>73</v>
      </c>
      <c r="D77" s="42">
        <v>73</v>
      </c>
      <c r="E77" s="42">
        <v>73</v>
      </c>
      <c r="F77" s="40">
        <f>G77</f>
        <v>73</v>
      </c>
      <c r="G77" s="42">
        <v>73</v>
      </c>
      <c r="H77" s="42">
        <v>73</v>
      </c>
      <c r="I77" s="42">
        <v>73</v>
      </c>
      <c r="J77" s="42">
        <v>73</v>
      </c>
      <c r="K77" s="40">
        <f>L77</f>
        <v>73</v>
      </c>
      <c r="L77" s="42">
        <v>73</v>
      </c>
      <c r="M77" s="42">
        <v>73</v>
      </c>
      <c r="N77" s="42">
        <v>73</v>
      </c>
      <c r="O77" s="42">
        <v>73</v>
      </c>
      <c r="P77" s="40">
        <f>Q77</f>
        <v>73</v>
      </c>
      <c r="Q77" s="42">
        <v>73</v>
      </c>
      <c r="R77" s="42">
        <v>73</v>
      </c>
      <c r="S77" s="42">
        <v>73</v>
      </c>
      <c r="T77" s="42">
        <v>73</v>
      </c>
      <c r="U77" s="42">
        <v>73</v>
      </c>
      <c r="V77" s="40">
        <f>U77</f>
        <v>73</v>
      </c>
      <c r="W77" s="42">
        <v>73</v>
      </c>
      <c r="X77" s="42">
        <v>73</v>
      </c>
      <c r="Y77" s="42">
        <v>73</v>
      </c>
    </row>
    <row r="78" spans="2:25" s="42" customFormat="1" x14ac:dyDescent="0.25">
      <c r="B78" s="36" t="s">
        <v>251</v>
      </c>
      <c r="C78" s="42">
        <v>-372375</v>
      </c>
      <c r="D78" s="42">
        <v>-372375</v>
      </c>
      <c r="E78" s="42">
        <v>-422375</v>
      </c>
      <c r="F78" s="40">
        <f>G78</f>
        <v>-422375</v>
      </c>
      <c r="G78" s="42">
        <v>-422375</v>
      </c>
      <c r="H78" s="42">
        <v>-422375</v>
      </c>
      <c r="I78" s="42">
        <v>-422375</v>
      </c>
      <c r="J78" s="42">
        <v>-422375</v>
      </c>
      <c r="K78" s="40">
        <f>L78</f>
        <v>-422375</v>
      </c>
      <c r="L78" s="42">
        <v>-422375</v>
      </c>
      <c r="M78" s="42">
        <v>-422375</v>
      </c>
      <c r="N78" s="42">
        <v>-430669</v>
      </c>
      <c r="O78" s="42">
        <v>-431594</v>
      </c>
      <c r="P78" s="40">
        <f>Q78</f>
        <v>-432642</v>
      </c>
      <c r="Q78" s="42">
        <v>-432642</v>
      </c>
      <c r="R78" s="42">
        <v>-445600</v>
      </c>
      <c r="S78" s="42">
        <v>-455446</v>
      </c>
      <c r="T78" s="40">
        <f>S78+T122</f>
        <v>-461957.91697278293</v>
      </c>
      <c r="U78" s="40">
        <f ca="1">T78+U122</f>
        <v>-483930.07702964765</v>
      </c>
      <c r="V78" s="40">
        <f ca="1">U78</f>
        <v>-483930.07702964765</v>
      </c>
      <c r="W78" s="40">
        <f ca="1">V78+W122</f>
        <v>-494770.03989598172</v>
      </c>
      <c r="X78" s="40">
        <f ca="1">W78+X122</f>
        <v>-508119.43300494587</v>
      </c>
      <c r="Y78" s="40">
        <f ca="1">X78+Y122</f>
        <v>-527191.97426320543</v>
      </c>
    </row>
    <row r="79" spans="2:25" s="40" customFormat="1" x14ac:dyDescent="0.25">
      <c r="B79" s="39" t="s">
        <v>252</v>
      </c>
      <c r="C79" s="41">
        <f t="shared" ref="C79:Y79" si="22">SUM(C74:C78)</f>
        <v>300059</v>
      </c>
      <c r="D79" s="41">
        <f t="shared" si="22"/>
        <v>348308</v>
      </c>
      <c r="E79" s="41">
        <f t="shared" si="22"/>
        <v>326309</v>
      </c>
      <c r="F79" s="41">
        <f t="shared" si="22"/>
        <v>360514</v>
      </c>
      <c r="G79" s="41">
        <f t="shared" si="22"/>
        <v>360514</v>
      </c>
      <c r="H79" s="41">
        <f t="shared" si="22"/>
        <v>359446</v>
      </c>
      <c r="I79" s="41">
        <f t="shared" si="22"/>
        <v>366640</v>
      </c>
      <c r="J79" s="41">
        <f t="shared" si="22"/>
        <v>374368</v>
      </c>
      <c r="K79" s="41">
        <f t="shared" si="22"/>
        <v>384623</v>
      </c>
      <c r="L79" s="41">
        <f t="shared" si="22"/>
        <v>384623</v>
      </c>
      <c r="M79" s="41">
        <f t="shared" si="22"/>
        <v>382715</v>
      </c>
      <c r="N79" s="41">
        <f t="shared" si="22"/>
        <v>373502</v>
      </c>
      <c r="O79" s="41">
        <f t="shared" si="22"/>
        <v>376431</v>
      </c>
      <c r="P79" s="41">
        <f t="shared" si="22"/>
        <v>398160</v>
      </c>
      <c r="Q79" s="41">
        <f t="shared" si="22"/>
        <v>398160</v>
      </c>
      <c r="R79" s="41">
        <f t="shared" si="22"/>
        <v>377986</v>
      </c>
      <c r="S79" s="41">
        <f t="shared" si="22"/>
        <v>369065</v>
      </c>
      <c r="T79" s="41">
        <f>SUM(T74:T78)</f>
        <v>362822.7474943609</v>
      </c>
      <c r="U79" s="41">
        <f ca="1">SUM(U74:U78)</f>
        <v>350079.04413471778</v>
      </c>
      <c r="V79" s="41">
        <f t="shared" ca="1" si="22"/>
        <v>350079.04413471778</v>
      </c>
      <c r="W79" s="41">
        <f t="shared" ca="1" si="22"/>
        <v>359580.98244795407</v>
      </c>
      <c r="X79" s="41">
        <f t="shared" ca="1" si="22"/>
        <v>372318.16530652705</v>
      </c>
      <c r="Y79" s="41">
        <f t="shared" ca="1" si="22"/>
        <v>385443.82338538929</v>
      </c>
    </row>
    <row r="80" spans="2:25" x14ac:dyDescent="0.25">
      <c r="T80" s="40"/>
      <c r="U80" s="40"/>
    </row>
    <row r="81" spans="1:25" x14ac:dyDescent="0.25">
      <c r="B81" t="s">
        <v>253</v>
      </c>
      <c r="C81" s="28" t="b">
        <f>C57=C71+C79</f>
        <v>1</v>
      </c>
      <c r="D81" s="28" t="b">
        <f t="shared" ref="D81:Y81" si="23">D57=D71+D79</f>
        <v>1</v>
      </c>
      <c r="E81" s="28" t="b">
        <f t="shared" si="23"/>
        <v>1</v>
      </c>
      <c r="F81" s="28" t="b">
        <f t="shared" si="23"/>
        <v>1</v>
      </c>
      <c r="G81" s="28" t="b">
        <f t="shared" si="23"/>
        <v>1</v>
      </c>
      <c r="H81" s="28" t="b">
        <f t="shared" si="23"/>
        <v>1</v>
      </c>
      <c r="I81" s="28" t="b">
        <f t="shared" si="23"/>
        <v>1</v>
      </c>
      <c r="J81" s="28" t="b">
        <f t="shared" si="23"/>
        <v>1</v>
      </c>
      <c r="K81" s="28" t="b">
        <f t="shared" si="23"/>
        <v>1</v>
      </c>
      <c r="L81" s="28" t="b">
        <f t="shared" si="23"/>
        <v>1</v>
      </c>
      <c r="M81" s="28" t="b">
        <f t="shared" si="23"/>
        <v>1</v>
      </c>
      <c r="N81" s="28" t="b">
        <f t="shared" si="23"/>
        <v>1</v>
      </c>
      <c r="O81" s="28" t="b">
        <f t="shared" si="23"/>
        <v>1</v>
      </c>
      <c r="P81" s="28" t="b">
        <f t="shared" si="23"/>
        <v>1</v>
      </c>
      <c r="Q81" s="28" t="b">
        <f t="shared" si="23"/>
        <v>1</v>
      </c>
      <c r="R81" s="28" t="b">
        <f t="shared" si="23"/>
        <v>1</v>
      </c>
      <c r="S81" s="28" t="b">
        <f t="shared" si="23"/>
        <v>1</v>
      </c>
      <c r="T81" s="28" t="b">
        <f t="shared" si="23"/>
        <v>1</v>
      </c>
      <c r="U81" s="28" t="b">
        <f ca="1">U57=U71+U79</f>
        <v>1</v>
      </c>
      <c r="V81" s="28" t="b">
        <f ca="1">V57=V71+V79</f>
        <v>1</v>
      </c>
      <c r="W81" s="28" t="b">
        <f ca="1">W57-W71=W79</f>
        <v>1</v>
      </c>
      <c r="X81" s="28" t="b">
        <f t="shared" ca="1" si="23"/>
        <v>1</v>
      </c>
      <c r="Y81" s="28" t="b">
        <f t="shared" ca="1" si="23"/>
        <v>1</v>
      </c>
    </row>
    <row r="82" spans="1:25" x14ac:dyDescent="0.25">
      <c r="T82" s="40"/>
      <c r="U82" s="40"/>
    </row>
    <row r="83" spans="1:25" x14ac:dyDescent="0.25">
      <c r="A83" s="28" t="s">
        <v>97</v>
      </c>
      <c r="B83" s="32" t="s">
        <v>254</v>
      </c>
      <c r="C83" s="33" t="s">
        <v>99</v>
      </c>
      <c r="D83" s="33" t="s">
        <v>99</v>
      </c>
      <c r="E83" s="33" t="s">
        <v>100</v>
      </c>
      <c r="F83" s="33" t="s">
        <v>101</v>
      </c>
      <c r="G83" s="33" t="s">
        <v>102</v>
      </c>
      <c r="H83" s="33" t="s">
        <v>103</v>
      </c>
      <c r="I83" s="33" t="s">
        <v>104</v>
      </c>
      <c r="J83" s="33" t="s">
        <v>105</v>
      </c>
      <c r="K83" s="33" t="s">
        <v>106</v>
      </c>
      <c r="L83" s="33" t="s">
        <v>107</v>
      </c>
      <c r="M83" s="33" t="s">
        <v>108</v>
      </c>
      <c r="N83" s="33" t="s">
        <v>109</v>
      </c>
      <c r="O83" s="33" t="s">
        <v>110</v>
      </c>
      <c r="P83" s="33" t="s">
        <v>111</v>
      </c>
      <c r="Q83" s="33" t="s">
        <v>112</v>
      </c>
      <c r="R83" s="33" t="s">
        <v>113</v>
      </c>
      <c r="S83" s="33" t="s">
        <v>114</v>
      </c>
      <c r="T83" s="30" t="s">
        <v>115</v>
      </c>
      <c r="U83" s="30" t="s">
        <v>116</v>
      </c>
      <c r="V83" s="30" t="s">
        <v>117</v>
      </c>
      <c r="W83" s="30" t="s">
        <v>118</v>
      </c>
      <c r="X83" s="30" t="s">
        <v>119</v>
      </c>
      <c r="Y83" s="30" t="s">
        <v>120</v>
      </c>
    </row>
    <row r="84" spans="1:25" x14ac:dyDescent="0.25">
      <c r="B84" s="34" t="s">
        <v>151</v>
      </c>
      <c r="C84" s="35">
        <v>44408</v>
      </c>
      <c r="D84" s="35">
        <v>44500</v>
      </c>
      <c r="E84" s="35">
        <v>44592</v>
      </c>
      <c r="F84" s="35">
        <v>44681</v>
      </c>
      <c r="G84" s="35">
        <v>44681</v>
      </c>
      <c r="H84" s="35">
        <v>44773</v>
      </c>
      <c r="I84" s="35">
        <v>44865</v>
      </c>
      <c r="J84" s="35">
        <v>44957</v>
      </c>
      <c r="K84" s="35">
        <v>45046</v>
      </c>
      <c r="L84" s="35">
        <v>45046</v>
      </c>
      <c r="M84" s="35">
        <v>45138</v>
      </c>
      <c r="N84" s="35">
        <v>45230</v>
      </c>
      <c r="O84" s="35">
        <v>45322</v>
      </c>
      <c r="P84" s="35">
        <v>45412</v>
      </c>
      <c r="Q84" s="35">
        <v>45412</v>
      </c>
      <c r="R84" s="35">
        <v>45504</v>
      </c>
      <c r="S84" s="35">
        <v>45596</v>
      </c>
      <c r="T84" s="31">
        <v>45688</v>
      </c>
      <c r="U84" s="31">
        <v>45777</v>
      </c>
      <c r="V84" s="31">
        <v>45777</v>
      </c>
      <c r="W84" s="31">
        <v>46142</v>
      </c>
      <c r="X84" s="31">
        <v>46507</v>
      </c>
      <c r="Y84" s="31">
        <v>46873</v>
      </c>
    </row>
    <row r="86" spans="1:25" x14ac:dyDescent="0.25">
      <c r="B86" t="s">
        <v>220</v>
      </c>
      <c r="C86" s="40">
        <f t="shared" ref="C86:N86" si="24">C40</f>
        <v>76882</v>
      </c>
      <c r="D86" s="40">
        <f t="shared" si="24"/>
        <v>50935</v>
      </c>
      <c r="E86" s="40">
        <f t="shared" si="24"/>
        <v>30542</v>
      </c>
      <c r="F86" s="40">
        <f t="shared" si="24"/>
        <v>36135</v>
      </c>
      <c r="G86" s="40">
        <f t="shared" si="24"/>
        <v>194494</v>
      </c>
      <c r="H86" s="40">
        <f t="shared" si="24"/>
        <v>3312</v>
      </c>
      <c r="I86" s="40">
        <f t="shared" si="24"/>
        <v>9648</v>
      </c>
      <c r="J86" s="40">
        <f t="shared" si="24"/>
        <v>11079</v>
      </c>
      <c r="K86" s="40">
        <f t="shared" si="24"/>
        <v>12837</v>
      </c>
      <c r="L86" s="40">
        <f t="shared" si="24"/>
        <v>36876</v>
      </c>
      <c r="M86" s="40">
        <f t="shared" si="24"/>
        <v>3118</v>
      </c>
      <c r="N86" s="40">
        <f t="shared" si="24"/>
        <v>2498</v>
      </c>
      <c r="O86" s="42">
        <f>O40+1</f>
        <v>7883</v>
      </c>
      <c r="P86" s="40">
        <f>P40</f>
        <v>26111</v>
      </c>
      <c r="Q86" s="40">
        <f>Q40</f>
        <v>39609</v>
      </c>
      <c r="R86" s="40">
        <f>R40</f>
        <v>-2106</v>
      </c>
      <c r="S86" s="42">
        <f>S40-2</f>
        <v>4132</v>
      </c>
      <c r="T86" s="40">
        <f t="shared" ref="T86:Y86" si="25">T40</f>
        <v>4216.4535129208325</v>
      </c>
      <c r="U86" s="40">
        <f t="shared" si="25"/>
        <v>13013.385427316331</v>
      </c>
      <c r="V86" s="40">
        <f>V40</f>
        <v>19257.838940237183</v>
      </c>
      <c r="W86" s="40">
        <f t="shared" ca="1" si="25"/>
        <v>33368.701556261556</v>
      </c>
      <c r="X86" s="40">
        <f t="shared" ca="1" si="25"/>
        <v>38640.029575543653</v>
      </c>
      <c r="Y86" s="40">
        <f t="shared" ca="1" si="25"/>
        <v>44159.230260631201</v>
      </c>
    </row>
    <row r="87" spans="1:25" x14ac:dyDescent="0.25">
      <c r="D87" s="40"/>
      <c r="E87" s="40"/>
      <c r="J87" s="40"/>
      <c r="O87" s="40"/>
      <c r="S87" s="40"/>
      <c r="U87" s="40"/>
    </row>
    <row r="88" spans="1:25" s="42" customFormat="1" x14ac:dyDescent="0.25">
      <c r="B88" t="s">
        <v>255</v>
      </c>
    </row>
    <row r="89" spans="1:25" s="42" customFormat="1" x14ac:dyDescent="0.25">
      <c r="B89" s="36" t="s">
        <v>183</v>
      </c>
      <c r="C89" s="42">
        <v>7466</v>
      </c>
      <c r="D89" s="42">
        <f>15210-C89</f>
        <v>7744</v>
      </c>
      <c r="E89" s="42">
        <f>22413-SUM(C89:D89)</f>
        <v>7203</v>
      </c>
      <c r="F89" s="40">
        <f t="shared" ref="F89:F94" si="26">G89-SUM(C89:E89)</f>
        <v>7660</v>
      </c>
      <c r="G89" s="42">
        <v>30073</v>
      </c>
      <c r="H89" s="42">
        <v>7549</v>
      </c>
      <c r="I89" s="42">
        <f>15171-H89</f>
        <v>7622</v>
      </c>
      <c r="J89" s="42">
        <f>21795-SUM(H89:I89)</f>
        <v>6624</v>
      </c>
      <c r="K89" s="40">
        <f t="shared" ref="K89:K94" si="27">L89-SUM(H89:J89)</f>
        <v>9641</v>
      </c>
      <c r="L89" s="42">
        <v>31436</v>
      </c>
      <c r="M89" s="42">
        <v>9253</v>
      </c>
      <c r="N89" s="42">
        <f>17327-M89</f>
        <v>8074</v>
      </c>
      <c r="O89" s="42">
        <f>24291-SUM(M89:N89)</f>
        <v>6964</v>
      </c>
      <c r="P89" s="40">
        <f t="shared" ref="P89:P94" si="28">Q89-SUM(M89:O89)</f>
        <v>8267</v>
      </c>
      <c r="Q89" s="42">
        <v>32558</v>
      </c>
      <c r="R89" s="42">
        <v>8048</v>
      </c>
      <c r="S89" s="42">
        <f>16261-R89</f>
        <v>8213</v>
      </c>
      <c r="T89" s="43">
        <f>Assumptions!T101</f>
        <v>8555.8200000000015</v>
      </c>
      <c r="U89" s="43">
        <f>Assumptions!U101</f>
        <v>8518.8662999999997</v>
      </c>
      <c r="V89" s="40">
        <f>SUM(R89:U89)</f>
        <v>33335.686300000001</v>
      </c>
      <c r="W89" s="43">
        <f>Assumptions!W101</f>
        <v>29085.277643999998</v>
      </c>
      <c r="X89" s="43">
        <f>Assumptions!X101</f>
        <v>28595.044326719999</v>
      </c>
      <c r="Y89" s="43">
        <f>Assumptions!Y101</f>
        <v>28463.639007513601</v>
      </c>
    </row>
    <row r="90" spans="1:25" s="42" customFormat="1" x14ac:dyDescent="0.25">
      <c r="B90" s="36" t="s">
        <v>256</v>
      </c>
      <c r="C90" s="42">
        <v>57</v>
      </c>
      <c r="D90" s="42">
        <f>57-C90</f>
        <v>0</v>
      </c>
      <c r="E90" s="42">
        <f>31-SUM(C90:D90)</f>
        <v>-26</v>
      </c>
      <c r="F90" s="40">
        <f t="shared" si="26"/>
        <v>594</v>
      </c>
      <c r="G90" s="42">
        <v>625</v>
      </c>
      <c r="H90" s="42">
        <v>-46</v>
      </c>
      <c r="I90" s="42">
        <f>-43-H90</f>
        <v>3</v>
      </c>
      <c r="J90" s="42">
        <f>-43-SUM(H90:I90)</f>
        <v>0</v>
      </c>
      <c r="K90" s="40">
        <f t="shared" si="27"/>
        <v>-12</v>
      </c>
      <c r="L90" s="42">
        <v>-55</v>
      </c>
      <c r="M90" s="42">
        <v>3</v>
      </c>
      <c r="N90" s="42">
        <f>682-M90</f>
        <v>679</v>
      </c>
      <c r="O90" s="42">
        <f>785-SUM(M90:N90)</f>
        <v>103</v>
      </c>
      <c r="P90" s="40">
        <f t="shared" si="28"/>
        <v>-6380</v>
      </c>
      <c r="Q90" s="42">
        <v>-5595</v>
      </c>
      <c r="R90" s="42">
        <v>-58</v>
      </c>
      <c r="S90" s="42">
        <f>-139-R90</f>
        <v>-81</v>
      </c>
      <c r="T90" s="42">
        <v>0</v>
      </c>
      <c r="U90" s="42">
        <v>0</v>
      </c>
      <c r="V90" s="42">
        <v>0</v>
      </c>
      <c r="W90" s="42">
        <v>0</v>
      </c>
      <c r="X90" s="42">
        <v>0</v>
      </c>
      <c r="Y90" s="42">
        <v>0</v>
      </c>
    </row>
    <row r="91" spans="1:25" s="42" customFormat="1" x14ac:dyDescent="0.25">
      <c r="B91" s="36" t="s">
        <v>257</v>
      </c>
      <c r="C91" s="42">
        <v>-56</v>
      </c>
      <c r="D91" s="42">
        <f>781-C91</f>
        <v>837</v>
      </c>
      <c r="E91" s="42">
        <f>678-SUM(C91:D91)</f>
        <v>-103</v>
      </c>
      <c r="F91" s="40">
        <f t="shared" si="26"/>
        <v>11</v>
      </c>
      <c r="G91" s="42">
        <v>689</v>
      </c>
      <c r="H91" s="42">
        <v>-21</v>
      </c>
      <c r="I91" s="42">
        <f>-13-H91</f>
        <v>8</v>
      </c>
      <c r="J91" s="42">
        <f>-1-SUM(H91:I91)</f>
        <v>12</v>
      </c>
      <c r="K91" s="40">
        <f t="shared" si="27"/>
        <v>-26</v>
      </c>
      <c r="L91" s="42">
        <v>-27</v>
      </c>
      <c r="M91" s="42">
        <v>-6</v>
      </c>
      <c r="N91" s="42">
        <f>-1-M91</f>
        <v>5</v>
      </c>
      <c r="O91" s="42">
        <f>-23-SUM(M91:N91)</f>
        <v>-22</v>
      </c>
      <c r="P91" s="40">
        <f t="shared" si="28"/>
        <v>0</v>
      </c>
      <c r="Q91" s="42">
        <v>-23</v>
      </c>
      <c r="R91" s="42">
        <v>5</v>
      </c>
      <c r="S91" s="42">
        <f>0-R91</f>
        <v>-5</v>
      </c>
      <c r="T91" s="42">
        <v>0</v>
      </c>
      <c r="U91" s="42">
        <v>0</v>
      </c>
      <c r="V91" s="42">
        <v>0</v>
      </c>
      <c r="W91" s="42">
        <v>0</v>
      </c>
      <c r="X91" s="42">
        <v>0</v>
      </c>
      <c r="Y91" s="42">
        <v>0</v>
      </c>
    </row>
    <row r="92" spans="1:25" x14ac:dyDescent="0.25">
      <c r="B92" s="36" t="s">
        <v>258</v>
      </c>
      <c r="C92" s="42">
        <v>0</v>
      </c>
      <c r="D92" s="42">
        <v>86</v>
      </c>
      <c r="E92" s="42">
        <f>86-SUM(C92:D92)</f>
        <v>0</v>
      </c>
      <c r="F92" s="40">
        <f t="shared" si="26"/>
        <v>0</v>
      </c>
      <c r="G92" s="42">
        <v>86</v>
      </c>
      <c r="H92" s="42">
        <v>0</v>
      </c>
      <c r="I92" s="42">
        <v>0</v>
      </c>
      <c r="J92" s="42">
        <v>0</v>
      </c>
      <c r="K92" s="40">
        <f t="shared" si="27"/>
        <v>0</v>
      </c>
      <c r="L92" s="42">
        <v>0</v>
      </c>
      <c r="M92" s="42">
        <v>0</v>
      </c>
      <c r="N92" s="42">
        <v>0</v>
      </c>
      <c r="O92" s="42">
        <v>0</v>
      </c>
      <c r="P92" s="40">
        <f t="shared" si="28"/>
        <v>0</v>
      </c>
      <c r="Q92" s="42">
        <v>0</v>
      </c>
      <c r="R92" s="42">
        <v>0</v>
      </c>
      <c r="S92" s="42">
        <v>0</v>
      </c>
      <c r="T92" s="42">
        <v>0</v>
      </c>
      <c r="U92" s="42">
        <v>0</v>
      </c>
      <c r="V92" s="42">
        <v>0</v>
      </c>
      <c r="W92" s="42">
        <v>0</v>
      </c>
      <c r="X92" s="42">
        <v>0</v>
      </c>
      <c r="Y92" s="42">
        <v>0</v>
      </c>
    </row>
    <row r="93" spans="1:25" x14ac:dyDescent="0.25">
      <c r="B93" s="36" t="s">
        <v>231</v>
      </c>
      <c r="C93" s="42">
        <v>0</v>
      </c>
      <c r="D93" s="42">
        <v>0</v>
      </c>
      <c r="E93" s="42">
        <v>0</v>
      </c>
      <c r="F93" s="40">
        <f t="shared" si="26"/>
        <v>-2125</v>
      </c>
      <c r="G93" s="42">
        <v>-2125</v>
      </c>
      <c r="H93" s="42">
        <v>0</v>
      </c>
      <c r="I93" s="42">
        <v>0</v>
      </c>
      <c r="J93" s="42">
        <v>0</v>
      </c>
      <c r="K93" s="40">
        <f t="shared" si="27"/>
        <v>-6864</v>
      </c>
      <c r="L93" s="42">
        <v>-6864</v>
      </c>
      <c r="M93" s="42">
        <v>0</v>
      </c>
      <c r="N93" s="42">
        <v>0</v>
      </c>
      <c r="O93" s="42">
        <v>0</v>
      </c>
      <c r="P93" s="40">
        <f t="shared" si="28"/>
        <v>835</v>
      </c>
      <c r="Q93" s="42">
        <v>835</v>
      </c>
      <c r="R93" s="42">
        <v>0</v>
      </c>
      <c r="S93" s="42">
        <v>0</v>
      </c>
      <c r="T93" s="42">
        <v>0</v>
      </c>
      <c r="U93" s="42">
        <v>0</v>
      </c>
      <c r="V93" s="42">
        <v>0</v>
      </c>
      <c r="W93" s="42">
        <v>0</v>
      </c>
      <c r="X93" s="42">
        <v>0</v>
      </c>
      <c r="Y93" s="42">
        <v>0</v>
      </c>
    </row>
    <row r="94" spans="1:25" s="42" customFormat="1" x14ac:dyDescent="0.25">
      <c r="B94" s="36" t="s">
        <v>185</v>
      </c>
      <c r="C94" s="42">
        <v>1452</v>
      </c>
      <c r="D94" s="42">
        <f>2366-C94</f>
        <v>914</v>
      </c>
      <c r="E94" s="42">
        <f>3565-SUM(C94:D94)</f>
        <v>1199</v>
      </c>
      <c r="F94" s="40">
        <f t="shared" si="26"/>
        <v>971</v>
      </c>
      <c r="G94" s="42">
        <v>4536</v>
      </c>
      <c r="H94" s="42">
        <v>1177</v>
      </c>
      <c r="I94" s="42">
        <f>2605-H94</f>
        <v>1428</v>
      </c>
      <c r="J94" s="42">
        <f>3859-SUM(H94:I94)</f>
        <v>1254</v>
      </c>
      <c r="K94" s="40">
        <f t="shared" si="27"/>
        <v>1243</v>
      </c>
      <c r="L94" s="42">
        <v>5102</v>
      </c>
      <c r="M94" s="42">
        <v>1276</v>
      </c>
      <c r="N94" s="42">
        <f>2759-M94</f>
        <v>1483</v>
      </c>
      <c r="O94" s="42">
        <f>4264-SUM(M94:N94)</f>
        <v>1505</v>
      </c>
      <c r="P94" s="40">
        <f t="shared" si="28"/>
        <v>1419</v>
      </c>
      <c r="Q94" s="42">
        <v>5683</v>
      </c>
      <c r="R94" s="42">
        <v>1854</v>
      </c>
      <c r="S94" s="42">
        <f>3722-R94</f>
        <v>1868</v>
      </c>
      <c r="T94" s="43">
        <f>Assumptions!T105</f>
        <v>1773.5623442228987</v>
      </c>
      <c r="U94" s="43">
        <f>Assumptions!U105</f>
        <v>1878.2508620424751</v>
      </c>
      <c r="V94" s="40">
        <f>SUM(R94:U94)</f>
        <v>7373.813206265374</v>
      </c>
      <c r="W94" s="43">
        <f>Assumptions!W105</f>
        <v>8656.1257286660111</v>
      </c>
      <c r="X94" s="43">
        <f>Assumptions!X105</f>
        <v>9024.0739738653065</v>
      </c>
      <c r="Y94" s="43">
        <f>Assumptions!Y105</f>
        <v>9407.7437973643973</v>
      </c>
    </row>
    <row r="95" spans="1:25" s="40" customFormat="1" x14ac:dyDescent="0.25">
      <c r="B95" s="39" t="s">
        <v>259</v>
      </c>
      <c r="C95" s="41">
        <f t="shared" ref="C95:Y95" si="29">SUM(C89:C94)</f>
        <v>8919</v>
      </c>
      <c r="D95" s="41">
        <f t="shared" si="29"/>
        <v>9581</v>
      </c>
      <c r="E95" s="41">
        <f t="shared" si="29"/>
        <v>8273</v>
      </c>
      <c r="F95" s="41">
        <f t="shared" si="29"/>
        <v>7111</v>
      </c>
      <c r="G95" s="41">
        <f t="shared" si="29"/>
        <v>33884</v>
      </c>
      <c r="H95" s="41">
        <f t="shared" si="29"/>
        <v>8659</v>
      </c>
      <c r="I95" s="41">
        <f t="shared" si="29"/>
        <v>9061</v>
      </c>
      <c r="J95" s="41">
        <f t="shared" si="29"/>
        <v>7890</v>
      </c>
      <c r="K95" s="41">
        <f t="shared" si="29"/>
        <v>3982</v>
      </c>
      <c r="L95" s="41">
        <f t="shared" si="29"/>
        <v>29592</v>
      </c>
      <c r="M95" s="41">
        <f t="shared" si="29"/>
        <v>10526</v>
      </c>
      <c r="N95" s="41">
        <f t="shared" si="29"/>
        <v>10241</v>
      </c>
      <c r="O95" s="41">
        <f t="shared" si="29"/>
        <v>8550</v>
      </c>
      <c r="P95" s="41">
        <f t="shared" si="29"/>
        <v>4141</v>
      </c>
      <c r="Q95" s="41">
        <f t="shared" si="29"/>
        <v>33458</v>
      </c>
      <c r="R95" s="41">
        <f t="shared" si="29"/>
        <v>9849</v>
      </c>
      <c r="S95" s="41">
        <f t="shared" si="29"/>
        <v>9995</v>
      </c>
      <c r="T95" s="41">
        <f t="shared" si="29"/>
        <v>10329.3823442229</v>
      </c>
      <c r="U95" s="41">
        <f t="shared" si="29"/>
        <v>10397.117162042476</v>
      </c>
      <c r="V95" s="41">
        <f t="shared" si="29"/>
        <v>40709.499506265376</v>
      </c>
      <c r="W95" s="41">
        <f t="shared" si="29"/>
        <v>37741.403372666013</v>
      </c>
      <c r="X95" s="41">
        <f t="shared" si="29"/>
        <v>37619.118300585309</v>
      </c>
      <c r="Y95" s="41">
        <f t="shared" si="29"/>
        <v>37871.382804877998</v>
      </c>
    </row>
    <row r="96" spans="1:25" x14ac:dyDescent="0.25">
      <c r="B96" t="s">
        <v>260</v>
      </c>
    </row>
    <row r="97" spans="2:25" s="40" customFormat="1" x14ac:dyDescent="0.25">
      <c r="B97" s="36" t="s">
        <v>261</v>
      </c>
      <c r="C97" s="42">
        <v>26300</v>
      </c>
      <c r="D97" s="40">
        <f>(C47-D47)-D91</f>
        <v>-3865</v>
      </c>
      <c r="E97" s="40">
        <f>(D47-E47)-E91</f>
        <v>-5057</v>
      </c>
      <c r="F97" s="40">
        <f t="shared" ref="F97:F107" si="30">G97-SUM(C97:E97)</f>
        <v>-13320</v>
      </c>
      <c r="G97" s="42">
        <v>4058</v>
      </c>
      <c r="H97" s="40">
        <f>(G47-H47)-H91</f>
        <v>38935</v>
      </c>
      <c r="I97" s="40">
        <f>(H47-I47)-I91</f>
        <v>-20611</v>
      </c>
      <c r="J97" s="40">
        <f>(I47-J47)-J91</f>
        <v>-13880</v>
      </c>
      <c r="K97" s="40">
        <f t="shared" ref="K97:K107" si="31">L97-SUM(H97:J97)</f>
        <v>3125</v>
      </c>
      <c r="L97" s="42">
        <v>7569</v>
      </c>
      <c r="M97" s="40">
        <f>(L47-M47)-M91</f>
        <v>26995</v>
      </c>
      <c r="N97" s="40">
        <f>(M47-N47)-N91</f>
        <v>-31614</v>
      </c>
      <c r="O97" s="40">
        <f>(N47-O47)-O91</f>
        <v>-852</v>
      </c>
      <c r="P97" s="40">
        <f t="shared" ref="P97:P107" si="32">Q97-SUM(M97:O97)</f>
        <v>1575</v>
      </c>
      <c r="Q97" s="42">
        <v>-3896</v>
      </c>
      <c r="R97" s="42">
        <f>(Q47-R47)-R91+1</f>
        <v>11305</v>
      </c>
      <c r="S97" s="42">
        <f>(R47-S47)-S91-1</f>
        <v>-4941</v>
      </c>
      <c r="T97" s="40">
        <f t="shared" ref="T97:U99" si="33">S47-T47</f>
        <v>-7747.1131756060131</v>
      </c>
      <c r="U97" s="40">
        <f t="shared" si="33"/>
        <v>3208.4641243612205</v>
      </c>
      <c r="V97" s="40">
        <f>SUM(R97:U97)</f>
        <v>1825.3509487552074</v>
      </c>
      <c r="W97" s="40">
        <f t="shared" ref="W97:Y99" si="34">V47-W47</f>
        <v>-2877.3904603473566</v>
      </c>
      <c r="X97" s="40">
        <f t="shared" si="34"/>
        <v>-3086.3223823573862</v>
      </c>
      <c r="Y97" s="40">
        <f t="shared" si="34"/>
        <v>-3232.2849285323027</v>
      </c>
    </row>
    <row r="98" spans="2:25" s="40" customFormat="1" x14ac:dyDescent="0.25">
      <c r="B98" s="36" t="s">
        <v>225</v>
      </c>
      <c r="C98" s="42">
        <v>-18663</v>
      </c>
      <c r="D98" s="40">
        <f>C48-D48</f>
        <v>-23137</v>
      </c>
      <c r="E98" s="40">
        <f>D48-E48</f>
        <v>-13991</v>
      </c>
      <c r="F98" s="40">
        <f t="shared" si="30"/>
        <v>-2392</v>
      </c>
      <c r="G98" s="42">
        <v>-58183</v>
      </c>
      <c r="H98" s="40">
        <f>G48-H48</f>
        <v>-45841</v>
      </c>
      <c r="I98" s="40">
        <f>H48-I48</f>
        <v>-13973</v>
      </c>
      <c r="J98" s="42">
        <f>I48-J48-1</f>
        <v>3047</v>
      </c>
      <c r="K98" s="40">
        <f t="shared" si="31"/>
        <v>16309</v>
      </c>
      <c r="L98" s="42">
        <v>-40458</v>
      </c>
      <c r="M98" s="42">
        <f>L48-M48-1</f>
        <v>6363</v>
      </c>
      <c r="N98" s="42">
        <f>M48-N48+1</f>
        <v>7464</v>
      </c>
      <c r="O98" s="40">
        <f>N48-O48</f>
        <v>9762</v>
      </c>
      <c r="P98" s="40">
        <f t="shared" si="32"/>
        <v>-6971</v>
      </c>
      <c r="Q98" s="42">
        <v>16618</v>
      </c>
      <c r="R98" s="42">
        <f>Q48-R48-1</f>
        <v>-29315</v>
      </c>
      <c r="S98" s="42">
        <f>R48-S48+1</f>
        <v>-6220</v>
      </c>
      <c r="T98" s="40">
        <f t="shared" si="33"/>
        <v>15462.898717088508</v>
      </c>
      <c r="U98" s="40">
        <f t="shared" si="33"/>
        <v>15634.551233681326</v>
      </c>
      <c r="V98" s="40">
        <f t="shared" ref="V98:V107" si="35">SUM(R98:U98)</f>
        <v>-4437.5500492301653</v>
      </c>
      <c r="W98" s="40">
        <f t="shared" si="34"/>
        <v>-1903.7959017686371</v>
      </c>
      <c r="X98" s="40">
        <f t="shared" si="34"/>
        <v>-7293.4829130972503</v>
      </c>
      <c r="Y98" s="40">
        <f t="shared" si="34"/>
        <v>-7568.5347647358431</v>
      </c>
    </row>
    <row r="99" spans="2:25" s="40" customFormat="1" x14ac:dyDescent="0.25">
      <c r="B99" s="36" t="s">
        <v>226</v>
      </c>
      <c r="C99" s="42">
        <v>-96</v>
      </c>
      <c r="D99" s="40">
        <f>C49-D49</f>
        <v>183</v>
      </c>
      <c r="E99" s="40">
        <f>D49-E49</f>
        <v>800</v>
      </c>
      <c r="F99" s="40">
        <f t="shared" si="30"/>
        <v>1952</v>
      </c>
      <c r="G99" s="42">
        <v>2839</v>
      </c>
      <c r="H99" s="40">
        <f>G49-H49</f>
        <v>-3324</v>
      </c>
      <c r="I99" s="40">
        <f>H49-I49</f>
        <v>831</v>
      </c>
      <c r="J99" s="42">
        <f>I49-J49+1</f>
        <v>2109</v>
      </c>
      <c r="K99" s="40">
        <f t="shared" si="31"/>
        <v>1037</v>
      </c>
      <c r="L99" s="42">
        <v>653</v>
      </c>
      <c r="M99" s="42">
        <f>L49-M49-1</f>
        <v>-3825</v>
      </c>
      <c r="N99" s="42">
        <f>M49-N49+1</f>
        <v>-1128</v>
      </c>
      <c r="O99" s="40">
        <f>N49-O49</f>
        <v>850</v>
      </c>
      <c r="P99" s="40">
        <f t="shared" si="32"/>
        <v>4046</v>
      </c>
      <c r="Q99" s="42">
        <v>-57</v>
      </c>
      <c r="R99" s="42">
        <f>Q49-R49+1</f>
        <v>-4066</v>
      </c>
      <c r="S99" s="42">
        <f>R49-S49-1</f>
        <v>-1073</v>
      </c>
      <c r="T99" s="40">
        <f t="shared" si="33"/>
        <v>637.70751611438027</v>
      </c>
      <c r="U99" s="40">
        <f t="shared" si="33"/>
        <v>4472.1816850202795</v>
      </c>
      <c r="V99" s="40">
        <f t="shared" si="35"/>
        <v>-29.110798865340257</v>
      </c>
      <c r="W99" s="40">
        <f t="shared" si="34"/>
        <v>-40.345601755920143</v>
      </c>
      <c r="X99" s="40">
        <f t="shared" si="34"/>
        <v>-214.34103919704376</v>
      </c>
      <c r="Y99" s="40">
        <f t="shared" si="34"/>
        <v>-223.49933652435175</v>
      </c>
    </row>
    <row r="100" spans="2:25" s="40" customFormat="1" x14ac:dyDescent="0.25">
      <c r="B100" s="36" t="s">
        <v>262</v>
      </c>
      <c r="C100" s="42">
        <v>21988</v>
      </c>
      <c r="D100" s="40">
        <f>C50-D50+D63-C63</f>
        <v>-22231</v>
      </c>
      <c r="E100" s="40">
        <f>D50-E50+E63-D63</f>
        <v>-1876</v>
      </c>
      <c r="F100" s="40">
        <f t="shared" si="30"/>
        <v>2599</v>
      </c>
      <c r="G100" s="42">
        <v>480</v>
      </c>
      <c r="H100" s="40">
        <f>G50-H50+H63-G63</f>
        <v>353</v>
      </c>
      <c r="I100" s="40">
        <f>H50-I50+I63-H63</f>
        <v>-11908</v>
      </c>
      <c r="J100" s="42">
        <f>I50-J50+J63-I63-1</f>
        <v>3335</v>
      </c>
      <c r="K100" s="40">
        <f t="shared" si="31"/>
        <v>8146</v>
      </c>
      <c r="L100" s="42">
        <v>-74</v>
      </c>
      <c r="M100" s="40">
        <f>L50-M50+M63-L63</f>
        <v>915</v>
      </c>
      <c r="N100" s="40">
        <f>M50-N50+N63-M63</f>
        <v>-6093</v>
      </c>
      <c r="O100" s="42">
        <f>N50-O50+O63-N63-1</f>
        <v>-901</v>
      </c>
      <c r="P100" s="40">
        <f t="shared" si="32"/>
        <v>2930</v>
      </c>
      <c r="Q100" s="42">
        <v>-3149</v>
      </c>
      <c r="R100" s="40">
        <f>Q50-R50+R63-Q63</f>
        <v>-688</v>
      </c>
      <c r="S100" s="40">
        <f>R50-S50+S63-R63</f>
        <v>-4937</v>
      </c>
      <c r="T100" s="40">
        <f>S55-T55</f>
        <v>0</v>
      </c>
      <c r="U100" s="40">
        <f>T55-U55</f>
        <v>0</v>
      </c>
      <c r="V100" s="40">
        <f t="shared" si="35"/>
        <v>-5625</v>
      </c>
      <c r="W100" s="40">
        <f>V55-W55</f>
        <v>0</v>
      </c>
      <c r="X100" s="40">
        <f>W55-X55</f>
        <v>0</v>
      </c>
      <c r="Y100" s="40">
        <f>X55-Y55</f>
        <v>0</v>
      </c>
    </row>
    <row r="101" spans="2:25" s="40" customFormat="1" x14ac:dyDescent="0.25">
      <c r="B101" s="36" t="s">
        <v>235</v>
      </c>
      <c r="C101" s="42">
        <v>-2443</v>
      </c>
      <c r="D101" s="42">
        <f>-8514-C101</f>
        <v>-6071</v>
      </c>
      <c r="E101" s="42">
        <f>-21209-SUM(C101:D101)</f>
        <v>-12695</v>
      </c>
      <c r="F101" s="40">
        <f t="shared" si="30"/>
        <v>-5748</v>
      </c>
      <c r="G101" s="42">
        <v>-26957</v>
      </c>
      <c r="H101" s="42">
        <v>2721</v>
      </c>
      <c r="I101" s="42">
        <f>5889-H101</f>
        <v>3168</v>
      </c>
      <c r="J101" s="42">
        <f>134-SUM(H101:I101)</f>
        <v>-5755</v>
      </c>
      <c r="K101" s="40">
        <f t="shared" si="31"/>
        <v>-8740</v>
      </c>
      <c r="L101" s="42">
        <v>-8606</v>
      </c>
      <c r="M101" s="42">
        <v>-1838</v>
      </c>
      <c r="N101" s="42">
        <f>14682-M101</f>
        <v>16520</v>
      </c>
      <c r="O101" s="42">
        <f>11230-SUM(M101:N101)</f>
        <v>-3452</v>
      </c>
      <c r="P101" s="40">
        <f t="shared" si="32"/>
        <v>7111</v>
      </c>
      <c r="Q101" s="42">
        <v>18341</v>
      </c>
      <c r="R101" s="42">
        <v>-11740</v>
      </c>
      <c r="S101" s="42">
        <f>-10135-R101</f>
        <v>1605</v>
      </c>
      <c r="T101" s="40">
        <f>T60-S60</f>
        <v>5178.0877021795895</v>
      </c>
      <c r="U101" s="40">
        <f>U60-T60</f>
        <v>5494.93758526483</v>
      </c>
      <c r="V101" s="40">
        <f t="shared" si="35"/>
        <v>538.02528744441952</v>
      </c>
      <c r="W101" s="40">
        <f>W60-V60</f>
        <v>715.56386271298834</v>
      </c>
      <c r="X101" s="40">
        <f>X60-W60</f>
        <v>1880.4299538294727</v>
      </c>
      <c r="Y101" s="40">
        <f>Y60-X60</f>
        <v>1951.3447344411761</v>
      </c>
    </row>
    <row r="102" spans="2:25" s="40" customFormat="1" x14ac:dyDescent="0.25">
      <c r="B102" s="36" t="s">
        <v>237</v>
      </c>
      <c r="C102" s="42">
        <v>-9114</v>
      </c>
      <c r="D102" s="40">
        <f>D62-C62</f>
        <v>2801</v>
      </c>
      <c r="E102" s="40">
        <f>E62-D62</f>
        <v>5155</v>
      </c>
      <c r="F102" s="40">
        <f t="shared" si="30"/>
        <v>1148</v>
      </c>
      <c r="G102" s="42">
        <v>-10</v>
      </c>
      <c r="H102" s="40">
        <f>H62-G62</f>
        <v>-1435</v>
      </c>
      <c r="I102" s="40">
        <f>I62-H62</f>
        <v>1106</v>
      </c>
      <c r="J102" s="40">
        <f>J62-I62</f>
        <v>1402</v>
      </c>
      <c r="K102" s="40">
        <f t="shared" si="31"/>
        <v>121</v>
      </c>
      <c r="L102" s="42">
        <v>1194</v>
      </c>
      <c r="M102" s="42">
        <f>M62-L62-1</f>
        <v>1551</v>
      </c>
      <c r="N102" s="42">
        <f>N62-M62+1</f>
        <v>-227</v>
      </c>
      <c r="O102" s="40">
        <f>O62-N62</f>
        <v>8</v>
      </c>
      <c r="P102" s="40">
        <f t="shared" si="32"/>
        <v>-2750</v>
      </c>
      <c r="Q102" s="42">
        <v>-1418</v>
      </c>
      <c r="R102" s="40">
        <f>R62-Q62</f>
        <v>-4839</v>
      </c>
      <c r="S102" s="40">
        <f>S62-R62</f>
        <v>890</v>
      </c>
      <c r="T102" s="40">
        <f>T62-S62</f>
        <v>7701.1128106288452</v>
      </c>
      <c r="U102" s="40">
        <f>U62-T62</f>
        <v>-3651.738214179215</v>
      </c>
      <c r="V102" s="40">
        <f t="shared" si="35"/>
        <v>100.37459644963019</v>
      </c>
      <c r="W102" s="40">
        <f>W62-V62</f>
        <v>139.11241369571144</v>
      </c>
      <c r="X102" s="40">
        <f>X62-W62</f>
        <v>739.05204084289289</v>
      </c>
      <c r="Y102" s="40">
        <f>Y62-X62</f>
        <v>770.63002682144725</v>
      </c>
    </row>
    <row r="103" spans="2:25" s="40" customFormat="1" x14ac:dyDescent="0.25">
      <c r="B103" s="36" t="s">
        <v>239</v>
      </c>
      <c r="C103" s="42">
        <v>3834</v>
      </c>
      <c r="D103" s="40">
        <f>D64-C64</f>
        <v>-10502</v>
      </c>
      <c r="E103" s="40">
        <f>E64-D64</f>
        <v>3725</v>
      </c>
      <c r="F103" s="40">
        <f t="shared" si="30"/>
        <v>2041</v>
      </c>
      <c r="G103" s="42">
        <v>-902</v>
      </c>
      <c r="H103" s="40">
        <f>H64-G64</f>
        <v>3488</v>
      </c>
      <c r="I103" s="40">
        <f>I64-H64</f>
        <v>-11403</v>
      </c>
      <c r="J103" s="42">
        <f>J64-I64-1</f>
        <v>2178</v>
      </c>
      <c r="K103" s="40">
        <f t="shared" si="31"/>
        <v>397</v>
      </c>
      <c r="L103" s="42">
        <v>-5340</v>
      </c>
      <c r="M103" s="40">
        <f>M64-L64</f>
        <v>768</v>
      </c>
      <c r="N103" s="40">
        <f>N64-M64</f>
        <v>-7467</v>
      </c>
      <c r="O103" s="40">
        <f>O64-N64</f>
        <v>1969</v>
      </c>
      <c r="P103" s="40">
        <f t="shared" si="32"/>
        <v>5625</v>
      </c>
      <c r="Q103" s="42">
        <v>895</v>
      </c>
      <c r="R103" s="40">
        <f>R64-Q64</f>
        <v>0</v>
      </c>
      <c r="S103" s="40">
        <f>S64-R64</f>
        <v>-8206</v>
      </c>
      <c r="T103" s="40">
        <f>T64-S64</f>
        <v>2755.9177158020793</v>
      </c>
      <c r="U103" s="40">
        <f>U64-T64</f>
        <v>5503.3398848568522</v>
      </c>
      <c r="V103" s="40">
        <f t="shared" si="35"/>
        <v>53.257600658931551</v>
      </c>
      <c r="W103" s="40">
        <f>W64-V64</f>
        <v>73.811438724182153</v>
      </c>
      <c r="X103" s="40">
        <f>X64-W64</f>
        <v>392.13247026235695</v>
      </c>
      <c r="Y103" s="40">
        <f>Y64-X64</f>
        <v>408.8873846166407</v>
      </c>
    </row>
    <row r="104" spans="2:25" s="40" customFormat="1" x14ac:dyDescent="0.25">
      <c r="B104" s="36" t="s">
        <v>236</v>
      </c>
      <c r="C104" s="42">
        <v>405</v>
      </c>
      <c r="D104" s="42">
        <f>-1205-C104</f>
        <v>-1610</v>
      </c>
      <c r="E104" s="42">
        <f>-6322-SUM(C104:D104)</f>
        <v>-5117</v>
      </c>
      <c r="F104" s="40">
        <f t="shared" si="30"/>
        <v>-3403</v>
      </c>
      <c r="G104" s="42">
        <v>-9725</v>
      </c>
      <c r="H104" s="42">
        <v>1119</v>
      </c>
      <c r="I104" s="42">
        <f>307-H104</f>
        <v>-812</v>
      </c>
      <c r="J104" s="42">
        <f>-4078-SUM(H104:I104)</f>
        <v>-4385</v>
      </c>
      <c r="K104" s="40">
        <f t="shared" si="31"/>
        <v>460</v>
      </c>
      <c r="L104" s="42">
        <v>-3618</v>
      </c>
      <c r="M104" s="42">
        <v>-4135</v>
      </c>
      <c r="N104" s="42">
        <f>2859-M104</f>
        <v>6994</v>
      </c>
      <c r="O104" s="40">
        <f>3917-SUM(M104:N104)</f>
        <v>1058</v>
      </c>
      <c r="P104" s="40">
        <f t="shared" si="32"/>
        <v>2401</v>
      </c>
      <c r="Q104" s="42">
        <v>6318</v>
      </c>
      <c r="R104" s="42">
        <v>586</v>
      </c>
      <c r="S104" s="42">
        <f>2212-R104</f>
        <v>1626</v>
      </c>
      <c r="T104" s="40">
        <f>T61-S61</f>
        <v>-4420.4679589369407</v>
      </c>
      <c r="U104" s="40">
        <f>U61-T61</f>
        <v>1409.4133899400877</v>
      </c>
      <c r="V104" s="40">
        <f t="shared" si="35"/>
        <v>-799.05456899685305</v>
      </c>
      <c r="W104" s="40">
        <f>W61-V61</f>
        <v>217.51577089844432</v>
      </c>
      <c r="X104" s="40">
        <f>X61-W61</f>
        <v>1155.5796504950631</v>
      </c>
      <c r="Y104" s="40">
        <f>Y61-X61</f>
        <v>1204.9548987642047</v>
      </c>
    </row>
    <row r="105" spans="2:25" s="40" customFormat="1" x14ac:dyDescent="0.25">
      <c r="B105" s="36" t="s">
        <v>240</v>
      </c>
      <c r="C105" s="42">
        <v>-297</v>
      </c>
      <c r="D105" s="40">
        <f>D65-C65</f>
        <v>240</v>
      </c>
      <c r="E105" s="40">
        <f>E65-D65</f>
        <v>-102</v>
      </c>
      <c r="F105" s="40">
        <f t="shared" si="30"/>
        <v>-202</v>
      </c>
      <c r="G105" s="42">
        <v>-361</v>
      </c>
      <c r="H105" s="40">
        <f>H65-G65</f>
        <v>-75</v>
      </c>
      <c r="I105" s="40">
        <f>I65-H65</f>
        <v>-55</v>
      </c>
      <c r="J105" s="40">
        <f>J65-I65</f>
        <v>-26</v>
      </c>
      <c r="K105" s="40">
        <f t="shared" si="31"/>
        <v>-12</v>
      </c>
      <c r="L105" s="42">
        <v>-168</v>
      </c>
      <c r="M105" s="40">
        <f>M65-L65</f>
        <v>83</v>
      </c>
      <c r="N105" s="40">
        <f>N65-M65</f>
        <v>-175</v>
      </c>
      <c r="O105" s="40">
        <f>O65-N65</f>
        <v>532</v>
      </c>
      <c r="P105" s="40">
        <f t="shared" si="32"/>
        <v>-298</v>
      </c>
      <c r="Q105" s="42">
        <v>142</v>
      </c>
      <c r="R105" s="40">
        <f>R65-Q65</f>
        <v>-70</v>
      </c>
      <c r="S105" s="40">
        <f>S65-R65</f>
        <v>-258</v>
      </c>
      <c r="T105" s="40">
        <f>T65-S65</f>
        <v>618.28917836873552</v>
      </c>
      <c r="U105" s="40">
        <f>U65-T65</f>
        <v>-346.31262930224239</v>
      </c>
      <c r="V105" s="40">
        <f t="shared" si="35"/>
        <v>-56.023450933506865</v>
      </c>
      <c r="W105" s="40">
        <f>W65-V65</f>
        <v>88.312520604183874</v>
      </c>
      <c r="X105" s="40">
        <f>X65-W65</f>
        <v>94.725033928898256</v>
      </c>
      <c r="Y105" s="40">
        <f>Y65-X65</f>
        <v>99.204898773155264</v>
      </c>
    </row>
    <row r="106" spans="2:25" s="40" customFormat="1" x14ac:dyDescent="0.25">
      <c r="B106" s="36" t="s">
        <v>232</v>
      </c>
      <c r="C106" s="42">
        <v>1677</v>
      </c>
      <c r="D106" s="42">
        <f>2030-C106</f>
        <v>353</v>
      </c>
      <c r="E106" s="42">
        <f>2188-SUM(C106:D106)</f>
        <v>158</v>
      </c>
      <c r="F106" s="40">
        <f t="shared" si="30"/>
        <v>373</v>
      </c>
      <c r="G106" s="42">
        <v>2561</v>
      </c>
      <c r="H106" s="42">
        <v>206</v>
      </c>
      <c r="I106" s="42">
        <f>521-H106</f>
        <v>315</v>
      </c>
      <c r="J106" s="42">
        <f>1158-SUM(H106:I106)</f>
        <v>637</v>
      </c>
      <c r="K106" s="40">
        <f t="shared" si="31"/>
        <v>631</v>
      </c>
      <c r="L106" s="42">
        <v>1789</v>
      </c>
      <c r="M106" s="42">
        <v>75</v>
      </c>
      <c r="N106" s="42">
        <f>397-M106</f>
        <v>322</v>
      </c>
      <c r="O106" s="40">
        <f>565-SUM(M106:N106)</f>
        <v>168</v>
      </c>
      <c r="P106" s="40">
        <f t="shared" si="32"/>
        <v>-832</v>
      </c>
      <c r="Q106" s="42">
        <v>-267</v>
      </c>
      <c r="R106" s="42">
        <v>224</v>
      </c>
      <c r="S106" s="42">
        <f>486-R106</f>
        <v>262</v>
      </c>
      <c r="T106" s="42">
        <v>0</v>
      </c>
      <c r="U106" s="42">
        <v>0</v>
      </c>
      <c r="V106" s="40">
        <f t="shared" si="35"/>
        <v>486</v>
      </c>
      <c r="W106" s="42">
        <v>0</v>
      </c>
      <c r="X106" s="42">
        <v>0</v>
      </c>
      <c r="Y106" s="42">
        <v>0</v>
      </c>
    </row>
    <row r="107" spans="2:25" s="40" customFormat="1" x14ac:dyDescent="0.25">
      <c r="B107" s="36" t="s">
        <v>244</v>
      </c>
      <c r="C107" s="42">
        <v>-305</v>
      </c>
      <c r="D107" s="42">
        <f>-705-C107</f>
        <v>-400</v>
      </c>
      <c r="E107" s="42">
        <f>-3609-SUM(C107:D107)</f>
        <v>-2904</v>
      </c>
      <c r="F107" s="40">
        <f t="shared" si="30"/>
        <v>-755</v>
      </c>
      <c r="G107" s="42">
        <v>-4364</v>
      </c>
      <c r="H107" s="42">
        <v>-973</v>
      </c>
      <c r="I107" s="42">
        <f>-1650-H107</f>
        <v>-677</v>
      </c>
      <c r="J107" s="42">
        <f>-2364-SUM(H107:I107)</f>
        <v>-714</v>
      </c>
      <c r="K107" s="40">
        <f t="shared" si="31"/>
        <v>-313</v>
      </c>
      <c r="L107" s="42">
        <v>-2677</v>
      </c>
      <c r="M107" s="42">
        <v>34</v>
      </c>
      <c r="N107" s="42">
        <f>-175-M107</f>
        <v>-209</v>
      </c>
      <c r="O107" s="40">
        <f>-383-SUM(M107:N107)</f>
        <v>-208</v>
      </c>
      <c r="P107" s="40">
        <f t="shared" si="32"/>
        <v>528</v>
      </c>
      <c r="Q107" s="42">
        <v>145</v>
      </c>
      <c r="R107" s="42">
        <v>45</v>
      </c>
      <c r="S107" s="42">
        <f>-227-R107</f>
        <v>-272</v>
      </c>
      <c r="T107" s="42">
        <v>0</v>
      </c>
      <c r="U107" s="42">
        <v>0</v>
      </c>
      <c r="V107" s="40">
        <f t="shared" si="35"/>
        <v>-227</v>
      </c>
      <c r="W107" s="42">
        <v>0</v>
      </c>
      <c r="X107" s="42">
        <v>0</v>
      </c>
      <c r="Y107" s="42">
        <v>0</v>
      </c>
    </row>
    <row r="108" spans="2:25" s="40" customFormat="1" x14ac:dyDescent="0.25">
      <c r="B108" s="39" t="s">
        <v>263</v>
      </c>
      <c r="C108" s="41">
        <f t="shared" ref="C108:Y108" si="36">SUM(C97:C107)</f>
        <v>23286</v>
      </c>
      <c r="D108" s="41">
        <f t="shared" si="36"/>
        <v>-64239</v>
      </c>
      <c r="E108" s="41">
        <f t="shared" si="36"/>
        <v>-31904</v>
      </c>
      <c r="F108" s="41">
        <f t="shared" si="36"/>
        <v>-17707</v>
      </c>
      <c r="G108" s="41">
        <f t="shared" si="36"/>
        <v>-90564</v>
      </c>
      <c r="H108" s="41">
        <f t="shared" si="36"/>
        <v>-4826</v>
      </c>
      <c r="I108" s="41">
        <f t="shared" si="36"/>
        <v>-54019</v>
      </c>
      <c r="J108" s="41">
        <f t="shared" si="36"/>
        <v>-12052</v>
      </c>
      <c r="K108" s="41">
        <f t="shared" si="36"/>
        <v>21161</v>
      </c>
      <c r="L108" s="41">
        <f t="shared" si="36"/>
        <v>-49736</v>
      </c>
      <c r="M108" s="41">
        <f t="shared" si="36"/>
        <v>26986</v>
      </c>
      <c r="N108" s="41">
        <f t="shared" si="36"/>
        <v>-15613</v>
      </c>
      <c r="O108" s="41">
        <f t="shared" si="36"/>
        <v>8934</v>
      </c>
      <c r="P108" s="41">
        <f t="shared" si="36"/>
        <v>13365</v>
      </c>
      <c r="Q108" s="41">
        <f t="shared" si="36"/>
        <v>33672</v>
      </c>
      <c r="R108" s="41">
        <f t="shared" si="36"/>
        <v>-38558</v>
      </c>
      <c r="S108" s="41">
        <f t="shared" si="36"/>
        <v>-21524</v>
      </c>
      <c r="T108" s="41">
        <f t="shared" si="36"/>
        <v>20186.432505639183</v>
      </c>
      <c r="U108" s="41">
        <f t="shared" si="36"/>
        <v>31724.837059643138</v>
      </c>
      <c r="V108" s="41">
        <f t="shared" si="36"/>
        <v>-8170.730434717676</v>
      </c>
      <c r="W108" s="41">
        <f t="shared" si="36"/>
        <v>-3587.2159572364035</v>
      </c>
      <c r="X108" s="41">
        <f t="shared" si="36"/>
        <v>-6332.2271852929953</v>
      </c>
      <c r="Y108" s="41">
        <f t="shared" si="36"/>
        <v>-6589.2970863758737</v>
      </c>
    </row>
    <row r="109" spans="2:25" x14ac:dyDescent="0.25">
      <c r="D109" s="40"/>
      <c r="E109" s="40"/>
    </row>
    <row r="110" spans="2:25" x14ac:dyDescent="0.25">
      <c r="B110" t="s">
        <v>190</v>
      </c>
      <c r="C110" s="40">
        <f t="shared" ref="C110:Y110" si="37">C86+C95+C108</f>
        <v>109087</v>
      </c>
      <c r="D110" s="40">
        <f t="shared" si="37"/>
        <v>-3723</v>
      </c>
      <c r="E110" s="40">
        <f t="shared" si="37"/>
        <v>6911</v>
      </c>
      <c r="F110" s="40">
        <f t="shared" si="37"/>
        <v>25539</v>
      </c>
      <c r="G110" s="40">
        <f t="shared" si="37"/>
        <v>137814</v>
      </c>
      <c r="H110" s="40">
        <f t="shared" si="37"/>
        <v>7145</v>
      </c>
      <c r="I110" s="40">
        <f t="shared" si="37"/>
        <v>-35310</v>
      </c>
      <c r="J110" s="40">
        <f t="shared" si="37"/>
        <v>6917</v>
      </c>
      <c r="K110" s="40">
        <f t="shared" si="37"/>
        <v>37980</v>
      </c>
      <c r="L110" s="40">
        <f t="shared" si="37"/>
        <v>16732</v>
      </c>
      <c r="M110" s="40">
        <f t="shared" si="37"/>
        <v>40630</v>
      </c>
      <c r="N110" s="40">
        <f t="shared" si="37"/>
        <v>-2874</v>
      </c>
      <c r="O110" s="40">
        <f t="shared" si="37"/>
        <v>25367</v>
      </c>
      <c r="P110" s="40">
        <f t="shared" si="37"/>
        <v>43617</v>
      </c>
      <c r="Q110" s="40">
        <f t="shared" si="37"/>
        <v>106739</v>
      </c>
      <c r="R110" s="40">
        <f t="shared" si="37"/>
        <v>-30815</v>
      </c>
      <c r="S110" s="40">
        <f t="shared" si="37"/>
        <v>-7397</v>
      </c>
      <c r="T110" s="40">
        <f t="shared" si="37"/>
        <v>34732.268362782917</v>
      </c>
      <c r="U110" s="40">
        <f t="shared" si="37"/>
        <v>55135.339649001944</v>
      </c>
      <c r="V110" s="40">
        <f t="shared" si="37"/>
        <v>51796.608011784883</v>
      </c>
      <c r="W110" s="40">
        <f t="shared" ca="1" si="37"/>
        <v>67522.888971691165</v>
      </c>
      <c r="X110" s="40">
        <f t="shared" ca="1" si="37"/>
        <v>69926.920690835963</v>
      </c>
      <c r="Y110" s="40">
        <f t="shared" ca="1" si="37"/>
        <v>75441.315979133331</v>
      </c>
    </row>
    <row r="111" spans="2:25" x14ac:dyDescent="0.25">
      <c r="E111" s="40"/>
      <c r="J111" s="40"/>
      <c r="N111" s="40"/>
      <c r="O111" s="40"/>
      <c r="S111" s="40"/>
      <c r="U111" s="40"/>
    </row>
    <row r="112" spans="2:25" s="42" customFormat="1" x14ac:dyDescent="0.25">
      <c r="B112" t="s">
        <v>264</v>
      </c>
      <c r="C112" s="42">
        <v>-69</v>
      </c>
      <c r="D112" s="42">
        <f>-156-C112</f>
        <v>-87</v>
      </c>
      <c r="E112" s="42">
        <f>-218-SUM(C112:D112)</f>
        <v>-62</v>
      </c>
      <c r="F112" s="40">
        <f>G112-SUM(C112:E112)</f>
        <v>-65</v>
      </c>
      <c r="G112" s="42">
        <v>-283</v>
      </c>
      <c r="H112" s="42">
        <v>-94</v>
      </c>
      <c r="I112" s="42">
        <f>-256-H112</f>
        <v>-162</v>
      </c>
      <c r="J112" s="42">
        <f>-251-SUM(H112:I112)</f>
        <v>5</v>
      </c>
      <c r="K112" s="40">
        <f>L112-SUM(H112:J112)</f>
        <v>-83</v>
      </c>
      <c r="L112" s="42">
        <v>-334</v>
      </c>
      <c r="M112" s="42">
        <v>-33</v>
      </c>
      <c r="N112" s="42">
        <f>-125-M112</f>
        <v>-92</v>
      </c>
      <c r="O112" s="42">
        <f>-164-SUM(M112:N112)</f>
        <v>-39</v>
      </c>
      <c r="P112" s="40">
        <f>Q112-SUM(M112:O112)</f>
        <v>-22</v>
      </c>
      <c r="Q112" s="42">
        <v>-186</v>
      </c>
      <c r="R112" s="42">
        <v>-21</v>
      </c>
      <c r="S112" s="42">
        <f>-112-R112</f>
        <v>-91</v>
      </c>
      <c r="T112" s="43">
        <v>0</v>
      </c>
      <c r="U112" s="43">
        <v>0</v>
      </c>
      <c r="V112" s="43">
        <v>0</v>
      </c>
      <c r="W112" s="43">
        <v>0</v>
      </c>
      <c r="X112" s="43">
        <v>0</v>
      </c>
      <c r="Y112" s="43">
        <v>0</v>
      </c>
    </row>
    <row r="113" spans="2:25" x14ac:dyDescent="0.25">
      <c r="B113" t="s">
        <v>265</v>
      </c>
      <c r="C113" s="42">
        <v>0</v>
      </c>
      <c r="D113" s="42">
        <v>0</v>
      </c>
      <c r="E113" s="42">
        <v>0</v>
      </c>
      <c r="F113" s="40">
        <f>G113-SUM(C113:E113)</f>
        <v>0</v>
      </c>
      <c r="G113" s="42">
        <v>0</v>
      </c>
      <c r="H113" s="42">
        <v>0</v>
      </c>
      <c r="I113" s="42">
        <v>0</v>
      </c>
      <c r="J113" s="42">
        <v>0</v>
      </c>
      <c r="K113" s="40">
        <f>L113-SUM(H113:J113)</f>
        <v>0</v>
      </c>
      <c r="L113" s="42">
        <v>0</v>
      </c>
      <c r="M113" s="42">
        <v>0</v>
      </c>
      <c r="N113" s="42">
        <v>0</v>
      </c>
      <c r="O113" s="42">
        <v>0</v>
      </c>
      <c r="P113" s="40">
        <f>Q113-SUM(M113:O113)</f>
        <v>6500</v>
      </c>
      <c r="Q113" s="42">
        <v>6500</v>
      </c>
      <c r="R113" s="42">
        <v>0</v>
      </c>
      <c r="S113" s="42">
        <v>0</v>
      </c>
      <c r="T113" s="43">
        <v>0</v>
      </c>
      <c r="U113" s="43">
        <v>0</v>
      </c>
      <c r="V113" s="43">
        <v>0</v>
      </c>
      <c r="W113" s="43">
        <v>0</v>
      </c>
      <c r="X113" s="43">
        <v>0</v>
      </c>
      <c r="Y113" s="43">
        <v>0</v>
      </c>
    </row>
    <row r="114" spans="2:25" s="42" customFormat="1" x14ac:dyDescent="0.25">
      <c r="B114" t="s">
        <v>266</v>
      </c>
      <c r="C114" s="42">
        <v>70</v>
      </c>
      <c r="D114" s="42">
        <f>70-C114</f>
        <v>0</v>
      </c>
      <c r="E114" s="42">
        <f>97-SUM(C114:D114)</f>
        <v>27</v>
      </c>
      <c r="F114" s="40">
        <f>G114-SUM(C114:E114)</f>
        <v>42</v>
      </c>
      <c r="G114" s="42">
        <v>139</v>
      </c>
      <c r="H114" s="42">
        <v>46</v>
      </c>
      <c r="I114" s="42">
        <f>85-H114</f>
        <v>39</v>
      </c>
      <c r="J114" s="42">
        <f>85-SUM(H114:I114)</f>
        <v>0</v>
      </c>
      <c r="K114" s="40">
        <f>L114-SUM(H114:J114)</f>
        <v>33</v>
      </c>
      <c r="L114" s="42">
        <v>118</v>
      </c>
      <c r="M114" s="42">
        <v>23</v>
      </c>
      <c r="N114" s="42">
        <f>45-M114</f>
        <v>22</v>
      </c>
      <c r="O114" s="42">
        <f>2877-SUM(M114:N114)</f>
        <v>2832</v>
      </c>
      <c r="P114" s="40">
        <f>Q114-SUM(M114:O114)</f>
        <v>78</v>
      </c>
      <c r="Q114" s="42">
        <v>2955</v>
      </c>
      <c r="R114" s="42">
        <v>58</v>
      </c>
      <c r="S114" s="42">
        <f>237-R114</f>
        <v>179</v>
      </c>
      <c r="T114" s="43">
        <v>0</v>
      </c>
      <c r="U114" s="43">
        <v>0</v>
      </c>
      <c r="V114" s="43">
        <v>0</v>
      </c>
      <c r="W114" s="43">
        <v>0</v>
      </c>
      <c r="X114" s="43">
        <v>0</v>
      </c>
      <c r="Y114" s="43">
        <v>0</v>
      </c>
    </row>
    <row r="115" spans="2:25" s="42" customFormat="1" x14ac:dyDescent="0.25">
      <c r="B115" t="s">
        <v>187</v>
      </c>
      <c r="C115" s="42">
        <v>-5769</v>
      </c>
      <c r="D115" s="42">
        <f>-10113-C115</f>
        <v>-4344</v>
      </c>
      <c r="E115" s="42">
        <f>-15090-SUM(C115:D115)</f>
        <v>-4977</v>
      </c>
      <c r="F115" s="40">
        <f>G115-SUM(C115:E115)</f>
        <v>-8882</v>
      </c>
      <c r="G115" s="42">
        <v>-23972</v>
      </c>
      <c r="H115" s="42">
        <v>-11538</v>
      </c>
      <c r="I115" s="42">
        <f>-39419-H115</f>
        <v>-27881</v>
      </c>
      <c r="J115" s="42">
        <f>-64586-SUM(H115:I115)</f>
        <v>-25167</v>
      </c>
      <c r="K115" s="40">
        <f>L115-SUM(H115:J115)</f>
        <v>-24979</v>
      </c>
      <c r="L115" s="42">
        <v>-89565</v>
      </c>
      <c r="M115" s="42">
        <v>-32057</v>
      </c>
      <c r="N115" s="42">
        <f>-66983-M115</f>
        <v>-34926</v>
      </c>
      <c r="O115" s="42">
        <f>-85188-SUM(M115:N115)</f>
        <v>-18205</v>
      </c>
      <c r="P115" s="40">
        <f>Q115-SUM(M115:O115)</f>
        <v>-5571</v>
      </c>
      <c r="Q115" s="42">
        <v>-90759</v>
      </c>
      <c r="R115" s="42">
        <v>-4702</v>
      </c>
      <c r="S115" s="42">
        <f>-8004-R115</f>
        <v>-3302</v>
      </c>
      <c r="T115" s="43">
        <f>Assumptions!T108</f>
        <v>-7500</v>
      </c>
      <c r="U115" s="43">
        <f>Assumptions!U108</f>
        <v>-7500</v>
      </c>
      <c r="V115" s="40">
        <f>SUM(R115:U115)</f>
        <v>-23004</v>
      </c>
      <c r="W115" s="43">
        <f>Assumptions!W108</f>
        <v>-25000</v>
      </c>
      <c r="X115" s="43">
        <f>Assumptions!X108</f>
        <v>-27500</v>
      </c>
      <c r="Y115" s="43">
        <f>Assumptions!Y108</f>
        <v>-30000</v>
      </c>
    </row>
    <row r="116" spans="2:25" s="40" customFormat="1" x14ac:dyDescent="0.25">
      <c r="B116" s="38" t="s">
        <v>191</v>
      </c>
      <c r="C116" s="41">
        <f t="shared" ref="C116:Y116" si="38">SUM(C112:C115)</f>
        <v>-5768</v>
      </c>
      <c r="D116" s="41">
        <f t="shared" si="38"/>
        <v>-4431</v>
      </c>
      <c r="E116" s="41">
        <f t="shared" si="38"/>
        <v>-5012</v>
      </c>
      <c r="F116" s="41">
        <f t="shared" si="38"/>
        <v>-8905</v>
      </c>
      <c r="G116" s="41">
        <f t="shared" si="38"/>
        <v>-24116</v>
      </c>
      <c r="H116" s="41">
        <f t="shared" si="38"/>
        <v>-11586</v>
      </c>
      <c r="I116" s="41">
        <f t="shared" si="38"/>
        <v>-28004</v>
      </c>
      <c r="J116" s="41">
        <f t="shared" si="38"/>
        <v>-25162</v>
      </c>
      <c r="K116" s="41">
        <f t="shared" si="38"/>
        <v>-25029</v>
      </c>
      <c r="L116" s="41">
        <f t="shared" si="38"/>
        <v>-89781</v>
      </c>
      <c r="M116" s="41">
        <f t="shared" si="38"/>
        <v>-32067</v>
      </c>
      <c r="N116" s="41">
        <f t="shared" si="38"/>
        <v>-34996</v>
      </c>
      <c r="O116" s="41">
        <f t="shared" si="38"/>
        <v>-15412</v>
      </c>
      <c r="P116" s="41">
        <f t="shared" si="38"/>
        <v>985</v>
      </c>
      <c r="Q116" s="41">
        <f t="shared" si="38"/>
        <v>-81490</v>
      </c>
      <c r="R116" s="41">
        <f t="shared" si="38"/>
        <v>-4665</v>
      </c>
      <c r="S116" s="41">
        <f t="shared" si="38"/>
        <v>-3214</v>
      </c>
      <c r="T116" s="41">
        <f t="shared" si="38"/>
        <v>-7500</v>
      </c>
      <c r="U116" s="41">
        <f t="shared" si="38"/>
        <v>-7500</v>
      </c>
      <c r="V116" s="41">
        <f t="shared" si="38"/>
        <v>-23004</v>
      </c>
      <c r="W116" s="41">
        <f t="shared" si="38"/>
        <v>-25000</v>
      </c>
      <c r="X116" s="41">
        <f t="shared" si="38"/>
        <v>-27500</v>
      </c>
      <c r="Y116" s="41">
        <f t="shared" si="38"/>
        <v>-30000</v>
      </c>
    </row>
    <row r="117" spans="2:25" x14ac:dyDescent="0.25">
      <c r="D117" s="40"/>
      <c r="E117" s="40"/>
      <c r="N117" s="40"/>
    </row>
    <row r="118" spans="2:25" s="42" customFormat="1" x14ac:dyDescent="0.25">
      <c r="B118" t="s">
        <v>197</v>
      </c>
      <c r="C118" s="42">
        <v>0</v>
      </c>
      <c r="D118" s="42">
        <v>0</v>
      </c>
      <c r="E118" s="42">
        <v>0</v>
      </c>
      <c r="F118" s="40">
        <f t="shared" ref="F118:F125" si="39">G118-SUM(C118:E118)</f>
        <v>0</v>
      </c>
      <c r="G118" s="42">
        <v>0</v>
      </c>
      <c r="H118" s="42">
        <v>0</v>
      </c>
      <c r="I118" s="42">
        <v>0</v>
      </c>
      <c r="J118" s="42">
        <v>25000</v>
      </c>
      <c r="K118" s="40">
        <f t="shared" ref="K118:K125" si="40">L118-SUM(H118:J118)</f>
        <v>0</v>
      </c>
      <c r="L118" s="42">
        <v>25000</v>
      </c>
      <c r="M118" s="42">
        <v>0</v>
      </c>
      <c r="N118" s="42">
        <v>50000</v>
      </c>
      <c r="O118" s="42">
        <v>0</v>
      </c>
      <c r="P118" s="40">
        <f t="shared" ref="P118:P125" si="41">Q118-SUM(M118:O118)</f>
        <v>0</v>
      </c>
      <c r="Q118" s="42">
        <v>50000</v>
      </c>
      <c r="R118" s="42">
        <v>30000</v>
      </c>
      <c r="S118" s="42">
        <f>60000-R118</f>
        <v>30000</v>
      </c>
      <c r="T118" s="43">
        <f>Assumptions!T121</f>
        <v>0</v>
      </c>
      <c r="U118" s="43">
        <f ca="1">Assumptions!U121</f>
        <v>0</v>
      </c>
      <c r="V118" s="40">
        <f ca="1">SUM(R118:U118)</f>
        <v>60000</v>
      </c>
      <c r="W118" s="43">
        <f ca="1">Assumptions!W121</f>
        <v>0</v>
      </c>
      <c r="X118" s="43">
        <f ca="1">Assumptions!X121</f>
        <v>0</v>
      </c>
      <c r="Y118" s="43">
        <f ca="1">Assumptions!Y121</f>
        <v>0</v>
      </c>
    </row>
    <row r="119" spans="2:25" s="42" customFormat="1" x14ac:dyDescent="0.25">
      <c r="B119" t="s">
        <v>200</v>
      </c>
      <c r="C119" s="42">
        <v>0</v>
      </c>
      <c r="D119" s="42">
        <v>0</v>
      </c>
      <c r="E119" s="42">
        <v>0</v>
      </c>
      <c r="F119" s="40">
        <f t="shared" si="39"/>
        <v>0</v>
      </c>
      <c r="G119" s="42">
        <v>0</v>
      </c>
      <c r="H119" s="42">
        <v>0</v>
      </c>
      <c r="I119" s="42">
        <v>0</v>
      </c>
      <c r="J119" s="42">
        <v>0</v>
      </c>
      <c r="K119" s="40">
        <f t="shared" si="40"/>
        <v>0</v>
      </c>
      <c r="L119" s="42">
        <v>0</v>
      </c>
      <c r="M119" s="42">
        <v>0</v>
      </c>
      <c r="N119" s="42">
        <v>0</v>
      </c>
      <c r="O119" s="42">
        <v>0</v>
      </c>
      <c r="P119" s="40">
        <f t="shared" si="41"/>
        <v>0</v>
      </c>
      <c r="Q119" s="42">
        <v>0</v>
      </c>
      <c r="R119" s="42">
        <v>0</v>
      </c>
      <c r="S119" s="42">
        <v>-941</v>
      </c>
      <c r="T119" s="43">
        <f>Assumptions!T126</f>
        <v>0</v>
      </c>
      <c r="U119" s="43">
        <f>Assumptions!U126</f>
        <v>0</v>
      </c>
      <c r="V119" s="40">
        <f t="shared" ref="V119:V125" si="42">SUM(R119:U119)</f>
        <v>-941</v>
      </c>
      <c r="W119" s="43">
        <f>Assumptions!W126</f>
        <v>0</v>
      </c>
      <c r="X119" s="43">
        <f>Assumptions!X126</f>
        <v>0</v>
      </c>
      <c r="Y119" s="43">
        <f>Assumptions!Y126</f>
        <v>0</v>
      </c>
    </row>
    <row r="120" spans="2:25" s="42" customFormat="1" x14ac:dyDescent="0.25">
      <c r="B120" t="s">
        <v>201</v>
      </c>
      <c r="C120" s="42">
        <v>-264</v>
      </c>
      <c r="D120" s="42">
        <f>-531-C120</f>
        <v>-267</v>
      </c>
      <c r="E120" s="42">
        <f>-813-SUM(C120:D120)</f>
        <v>-282</v>
      </c>
      <c r="F120" s="40">
        <f t="shared" si="39"/>
        <v>-274</v>
      </c>
      <c r="G120" s="42">
        <v>-1087</v>
      </c>
      <c r="H120" s="42">
        <v>-278</v>
      </c>
      <c r="I120" s="42">
        <f>-559-H120</f>
        <v>-281</v>
      </c>
      <c r="J120" s="42">
        <f>-856-SUM(H120:I120)</f>
        <v>-297</v>
      </c>
      <c r="K120" s="40">
        <f t="shared" si="40"/>
        <v>-397</v>
      </c>
      <c r="L120" s="42">
        <v>-1253</v>
      </c>
      <c r="M120" s="42">
        <v>-338</v>
      </c>
      <c r="N120" s="42">
        <f>-681-M120</f>
        <v>-343</v>
      </c>
      <c r="O120" s="42">
        <f>-1049-SUM(M120:N120)</f>
        <v>-368</v>
      </c>
      <c r="P120" s="40">
        <f t="shared" si="41"/>
        <v>-329</v>
      </c>
      <c r="Q120" s="42">
        <v>-1378</v>
      </c>
      <c r="R120" s="42">
        <v>-44</v>
      </c>
      <c r="S120" s="42">
        <f>-89-R120</f>
        <v>-45</v>
      </c>
      <c r="T120" s="43">
        <f>Assumptions!T127</f>
        <v>-45</v>
      </c>
      <c r="U120" s="43">
        <f>Assumptions!U127</f>
        <v>-45</v>
      </c>
      <c r="V120" s="40">
        <f t="shared" si="42"/>
        <v>-179</v>
      </c>
      <c r="W120" s="43">
        <f>Assumptions!W127</f>
        <v>-180</v>
      </c>
      <c r="X120" s="43">
        <f>Assumptions!X127</f>
        <v>-180</v>
      </c>
      <c r="Y120" s="43">
        <f>Assumptions!Y127</f>
        <v>-180</v>
      </c>
    </row>
    <row r="121" spans="2:25" s="42" customFormat="1" x14ac:dyDescent="0.25">
      <c r="B121" t="s">
        <v>196</v>
      </c>
      <c r="C121" s="42">
        <v>0</v>
      </c>
      <c r="D121" s="42">
        <v>0</v>
      </c>
      <c r="E121" s="42">
        <v>0</v>
      </c>
      <c r="F121" s="40">
        <f t="shared" si="39"/>
        <v>0</v>
      </c>
      <c r="H121" s="42">
        <v>0</v>
      </c>
      <c r="I121" s="42">
        <v>0</v>
      </c>
      <c r="J121" s="42">
        <v>-231</v>
      </c>
      <c r="K121" s="40">
        <f t="shared" si="40"/>
        <v>231</v>
      </c>
      <c r="L121" s="42">
        <v>0</v>
      </c>
      <c r="M121" s="42">
        <v>0</v>
      </c>
      <c r="N121" s="42">
        <v>-10000</v>
      </c>
      <c r="O121" s="42">
        <v>0</v>
      </c>
      <c r="P121" s="40">
        <f t="shared" si="41"/>
        <v>-25000</v>
      </c>
      <c r="Q121" s="42">
        <v>-35000</v>
      </c>
      <c r="R121" s="42">
        <v>0</v>
      </c>
      <c r="S121" s="42">
        <v>0</v>
      </c>
      <c r="T121" s="43">
        <f>Assumptions!T120</f>
        <v>-15000</v>
      </c>
      <c r="U121" s="43">
        <f ca="1">Assumptions!U120</f>
        <v>-20000</v>
      </c>
      <c r="V121" s="40">
        <f t="shared" ca="1" si="42"/>
        <v>-35000</v>
      </c>
      <c r="W121" s="43">
        <f ca="1">Assumptions!W120</f>
        <v>-10000</v>
      </c>
      <c r="X121" s="43">
        <f ca="1">Assumptions!X120</f>
        <v>-7500</v>
      </c>
      <c r="Y121" s="43">
        <f ca="1">Assumptions!Y120</f>
        <v>-5000</v>
      </c>
    </row>
    <row r="122" spans="2:25" s="42" customFormat="1" x14ac:dyDescent="0.25">
      <c r="B122" t="s">
        <v>199</v>
      </c>
      <c r="C122" s="42">
        <v>-40000</v>
      </c>
      <c r="D122" s="42">
        <v>0</v>
      </c>
      <c r="E122" s="42">
        <f>-90000-SUM(C122:D122)</f>
        <v>-50000</v>
      </c>
      <c r="F122" s="40">
        <f t="shared" si="39"/>
        <v>0</v>
      </c>
      <c r="G122" s="42">
        <v>-90000</v>
      </c>
      <c r="H122" s="42">
        <v>0</v>
      </c>
      <c r="I122" s="42">
        <v>0</v>
      </c>
      <c r="J122" s="42">
        <v>0</v>
      </c>
      <c r="K122" s="40">
        <f t="shared" si="40"/>
        <v>0</v>
      </c>
      <c r="L122" s="42">
        <v>0</v>
      </c>
      <c r="M122" s="42">
        <v>0</v>
      </c>
      <c r="N122" s="42">
        <v>-8212</v>
      </c>
      <c r="O122" s="42">
        <f>-9128-N122</f>
        <v>-916</v>
      </c>
      <c r="P122" s="40">
        <f t="shared" si="41"/>
        <v>-1085</v>
      </c>
      <c r="Q122" s="42">
        <v>-10213</v>
      </c>
      <c r="R122" s="42">
        <v>-12856</v>
      </c>
      <c r="S122" s="42">
        <f>-22620-R122</f>
        <v>-9764</v>
      </c>
      <c r="T122" s="43">
        <f>Assumptions!T124</f>
        <v>-6511.9169727829176</v>
      </c>
      <c r="U122" s="43">
        <f ca="1">Assumptions!U124</f>
        <v>-21972.160056864712</v>
      </c>
      <c r="V122" s="40">
        <f t="shared" ca="1" si="42"/>
        <v>-51104.077029647626</v>
      </c>
      <c r="W122" s="43">
        <f ca="1">Assumptions!W124</f>
        <v>-10839.962866334048</v>
      </c>
      <c r="X122" s="43">
        <f ca="1">Assumptions!X124</f>
        <v>-13349.393108964119</v>
      </c>
      <c r="Y122" s="43">
        <f ca="1">Assumptions!Y124</f>
        <v>-19072.541258259545</v>
      </c>
    </row>
    <row r="123" spans="2:25" s="42" customFormat="1" x14ac:dyDescent="0.25">
      <c r="B123" t="s">
        <v>192</v>
      </c>
      <c r="C123" s="42">
        <v>-3844</v>
      </c>
      <c r="D123" s="42">
        <f>-7692-C123</f>
        <v>-3848</v>
      </c>
      <c r="E123" s="42">
        <f>-11393-SUM(C123:D123)</f>
        <v>-3701</v>
      </c>
      <c r="F123" s="40">
        <f t="shared" si="39"/>
        <v>-3642</v>
      </c>
      <c r="G123" s="42">
        <v>-15035</v>
      </c>
      <c r="H123" s="42">
        <v>-4576</v>
      </c>
      <c r="I123" s="42">
        <f>-9153-H123</f>
        <v>-4577</v>
      </c>
      <c r="J123" s="42">
        <f>-13744-SUM(H123:I123)</f>
        <v>-4591</v>
      </c>
      <c r="K123" s="40">
        <f t="shared" si="40"/>
        <v>-4589</v>
      </c>
      <c r="L123" s="42">
        <v>-18333</v>
      </c>
      <c r="M123" s="42">
        <v>-5536</v>
      </c>
      <c r="N123" s="42">
        <f>-11080-M123</f>
        <v>-5544</v>
      </c>
      <c r="O123" s="42">
        <f>-16557-SUM(M123:N123)</f>
        <v>-5477</v>
      </c>
      <c r="P123" s="40">
        <f t="shared" si="41"/>
        <v>-5463</v>
      </c>
      <c r="Q123" s="42">
        <v>-22020</v>
      </c>
      <c r="R123" s="42">
        <v>-5886</v>
      </c>
      <c r="S123" s="42">
        <f>-11652-R123</f>
        <v>-5766</v>
      </c>
      <c r="T123" s="43">
        <f>Assumptions!T115</f>
        <v>-5720.3513900000007</v>
      </c>
      <c r="U123" s="43">
        <f ca="1">Assumptions!U115</f>
        <v>-5663.1795921372341</v>
      </c>
      <c r="V123" s="40">
        <f t="shared" ca="1" si="42"/>
        <v>-23035.530982137236</v>
      </c>
      <c r="W123" s="43">
        <f ca="1">Assumptions!W115</f>
        <v>-21682.926105357117</v>
      </c>
      <c r="X123" s="43">
        <f ca="1">Assumptions!X115</f>
        <v>-21577.527581871844</v>
      </c>
      <c r="Y123" s="43">
        <f ca="1">Assumptions!Y115</f>
        <v>-21368.774720873786</v>
      </c>
    </row>
    <row r="124" spans="2:25" s="42" customFormat="1" x14ac:dyDescent="0.25">
      <c r="B124" t="s">
        <v>202</v>
      </c>
      <c r="C124" s="42">
        <v>0</v>
      </c>
      <c r="D124" s="42">
        <v>831</v>
      </c>
      <c r="E124" s="42">
        <f>846-SUM(C124:D124)</f>
        <v>15</v>
      </c>
      <c r="F124" s="40">
        <f t="shared" si="39"/>
        <v>873</v>
      </c>
      <c r="G124" s="42">
        <v>1719</v>
      </c>
      <c r="H124" s="42">
        <v>0</v>
      </c>
      <c r="I124" s="42">
        <v>753</v>
      </c>
      <c r="J124" s="42">
        <f>753-SUM(H124:I124)</f>
        <v>0</v>
      </c>
      <c r="K124" s="40">
        <f t="shared" si="40"/>
        <v>775</v>
      </c>
      <c r="L124" s="42">
        <v>1528</v>
      </c>
      <c r="M124" s="42">
        <v>0</v>
      </c>
      <c r="N124" s="42">
        <v>722</v>
      </c>
      <c r="O124" s="42">
        <v>0</v>
      </c>
      <c r="P124" s="40">
        <f t="shared" si="41"/>
        <v>762</v>
      </c>
      <c r="Q124" s="42">
        <v>1484</v>
      </c>
      <c r="R124" s="42">
        <v>0</v>
      </c>
      <c r="S124" s="42">
        <f>749-R124</f>
        <v>749</v>
      </c>
      <c r="T124" s="43">
        <f>Assumptions!T128</f>
        <v>0</v>
      </c>
      <c r="U124" s="43">
        <f>Assumptions!U128</f>
        <v>0</v>
      </c>
      <c r="V124" s="40">
        <f t="shared" si="42"/>
        <v>749</v>
      </c>
      <c r="W124" s="43">
        <f>Assumptions!W128</f>
        <v>0</v>
      </c>
      <c r="X124" s="43">
        <f>Assumptions!X128</f>
        <v>0</v>
      </c>
      <c r="Y124" s="43">
        <f>Assumptions!Y128</f>
        <v>0</v>
      </c>
    </row>
    <row r="125" spans="2:25" s="42" customFormat="1" x14ac:dyDescent="0.25">
      <c r="B125" t="s">
        <v>203</v>
      </c>
      <c r="C125" s="42">
        <v>-815</v>
      </c>
      <c r="D125" s="42">
        <f>-1399-C125</f>
        <v>-584</v>
      </c>
      <c r="E125" s="42">
        <f>-1453-SUM(C125:D125)</f>
        <v>-54</v>
      </c>
      <c r="F125" s="40">
        <f t="shared" si="39"/>
        <v>-131</v>
      </c>
      <c r="G125" s="42">
        <v>-1584</v>
      </c>
      <c r="H125" s="42">
        <v>-981</v>
      </c>
      <c r="I125" s="42">
        <f>-1039-H125</f>
        <v>-58</v>
      </c>
      <c r="J125" s="42">
        <f>-1054-SUM(H125:I125)</f>
        <v>-15</v>
      </c>
      <c r="K125" s="40">
        <f t="shared" si="40"/>
        <v>-11</v>
      </c>
      <c r="L125" s="42">
        <v>-1065</v>
      </c>
      <c r="M125" s="42">
        <v>-766</v>
      </c>
      <c r="N125" s="42">
        <f>-806-M125</f>
        <v>-40</v>
      </c>
      <c r="O125" s="42">
        <f>-825-SUM(M125:N125)</f>
        <v>-19</v>
      </c>
      <c r="P125" s="40">
        <f t="shared" si="41"/>
        <v>-14</v>
      </c>
      <c r="Q125" s="42">
        <v>-839</v>
      </c>
      <c r="R125" s="42">
        <v>-1058</v>
      </c>
      <c r="S125" s="42">
        <f>-1102-R125</f>
        <v>-44</v>
      </c>
      <c r="T125" s="43">
        <f>Assumptions!T129</f>
        <v>0</v>
      </c>
      <c r="U125" s="43">
        <f>Assumptions!U129</f>
        <v>0</v>
      </c>
      <c r="V125" s="40">
        <f t="shared" si="42"/>
        <v>-1102</v>
      </c>
      <c r="W125" s="43">
        <f>Assumptions!W129</f>
        <v>0</v>
      </c>
      <c r="X125" s="43">
        <f>Assumptions!X129</f>
        <v>0</v>
      </c>
      <c r="Y125" s="43">
        <f>Assumptions!Y129</f>
        <v>0</v>
      </c>
    </row>
    <row r="126" spans="2:25" s="40" customFormat="1" x14ac:dyDescent="0.25">
      <c r="B126" s="38" t="s">
        <v>267</v>
      </c>
      <c r="C126" s="41">
        <f t="shared" ref="C126:Y126" si="43">SUM(C118:C125)</f>
        <v>-44923</v>
      </c>
      <c r="D126" s="41">
        <f t="shared" si="43"/>
        <v>-3868</v>
      </c>
      <c r="E126" s="41">
        <f t="shared" si="43"/>
        <v>-54022</v>
      </c>
      <c r="F126" s="41">
        <f t="shared" si="43"/>
        <v>-3174</v>
      </c>
      <c r="G126" s="41">
        <f t="shared" si="43"/>
        <v>-105987</v>
      </c>
      <c r="H126" s="41">
        <f t="shared" si="43"/>
        <v>-5835</v>
      </c>
      <c r="I126" s="41">
        <f t="shared" si="43"/>
        <v>-4163</v>
      </c>
      <c r="J126" s="41">
        <f t="shared" si="43"/>
        <v>19866</v>
      </c>
      <c r="K126" s="41">
        <f t="shared" si="43"/>
        <v>-3991</v>
      </c>
      <c r="L126" s="41">
        <f t="shared" si="43"/>
        <v>5877</v>
      </c>
      <c r="M126" s="41">
        <f t="shared" si="43"/>
        <v>-6640</v>
      </c>
      <c r="N126" s="41">
        <f t="shared" si="43"/>
        <v>26583</v>
      </c>
      <c r="O126" s="41">
        <f t="shared" si="43"/>
        <v>-6780</v>
      </c>
      <c r="P126" s="41">
        <f t="shared" si="43"/>
        <v>-31129</v>
      </c>
      <c r="Q126" s="41">
        <f t="shared" si="43"/>
        <v>-17966</v>
      </c>
      <c r="R126" s="41">
        <f t="shared" si="43"/>
        <v>10156</v>
      </c>
      <c r="S126" s="41">
        <f t="shared" si="43"/>
        <v>14189</v>
      </c>
      <c r="T126" s="41">
        <f t="shared" si="43"/>
        <v>-27277.268362782917</v>
      </c>
      <c r="U126" s="41">
        <f t="shared" ca="1" si="43"/>
        <v>-47680.339649001944</v>
      </c>
      <c r="V126" s="41">
        <f ca="1">SUM(V118:V125)</f>
        <v>-50612.608011784861</v>
      </c>
      <c r="W126" s="41">
        <f t="shared" ca="1" si="43"/>
        <v>-42702.888971691165</v>
      </c>
      <c r="X126" s="41">
        <f t="shared" ca="1" si="43"/>
        <v>-42606.920690835963</v>
      </c>
      <c r="Y126" s="41">
        <f t="shared" ca="1" si="43"/>
        <v>-45621.315979133331</v>
      </c>
    </row>
    <row r="127" spans="2:25" x14ac:dyDescent="0.25">
      <c r="D127" s="40"/>
      <c r="E127" s="40"/>
      <c r="N127" s="40"/>
    </row>
    <row r="128" spans="2:25" x14ac:dyDescent="0.25">
      <c r="B128" t="s">
        <v>268</v>
      </c>
      <c r="C128" s="42">
        <v>113017</v>
      </c>
      <c r="D128" s="40">
        <f>C130</f>
        <v>171413</v>
      </c>
      <c r="E128" s="40">
        <f>D130</f>
        <v>159391</v>
      </c>
      <c r="F128" s="40">
        <f>E130</f>
        <v>107268</v>
      </c>
      <c r="G128" s="40">
        <f>C128</f>
        <v>113017</v>
      </c>
      <c r="H128" s="40">
        <f>G130</f>
        <v>120728</v>
      </c>
      <c r="I128" s="40">
        <f>H130</f>
        <v>110452</v>
      </c>
      <c r="J128" s="40">
        <f>I130</f>
        <v>42975</v>
      </c>
      <c r="K128" s="40">
        <f>J130</f>
        <v>44596</v>
      </c>
      <c r="L128" s="40">
        <f>H128</f>
        <v>120728</v>
      </c>
      <c r="M128" s="40">
        <f>L130</f>
        <v>53556</v>
      </c>
      <c r="N128" s="40">
        <f>M130</f>
        <v>55479</v>
      </c>
      <c r="O128" s="40">
        <f>N130</f>
        <v>44192</v>
      </c>
      <c r="P128" s="40">
        <f>O130</f>
        <v>47367</v>
      </c>
      <c r="Q128" s="40">
        <f>M128</f>
        <v>53556</v>
      </c>
      <c r="R128" s="40">
        <f t="shared" ref="R128:Y128" si="44">Q130</f>
        <v>60839</v>
      </c>
      <c r="S128" s="40">
        <f t="shared" si="44"/>
        <v>35515</v>
      </c>
      <c r="T128" s="40">
        <f t="shared" si="44"/>
        <v>39093</v>
      </c>
      <c r="U128" s="40">
        <f t="shared" si="44"/>
        <v>39048</v>
      </c>
      <c r="V128" s="40">
        <f>Q130</f>
        <v>60839</v>
      </c>
      <c r="W128" s="40">
        <f t="shared" ca="1" si="44"/>
        <v>39003.000000000022</v>
      </c>
      <c r="X128" s="40">
        <f t="shared" ca="1" si="44"/>
        <v>38823.000000000022</v>
      </c>
      <c r="Y128" s="40">
        <f t="shared" ca="1" si="44"/>
        <v>38643.000000000022</v>
      </c>
    </row>
    <row r="129" spans="2:25" x14ac:dyDescent="0.25">
      <c r="B129" t="s">
        <v>269</v>
      </c>
      <c r="C129" s="40">
        <f t="shared" ref="C129:O129" si="45">C110+C116+C126</f>
        <v>58396</v>
      </c>
      <c r="D129" s="40">
        <f t="shared" si="45"/>
        <v>-12022</v>
      </c>
      <c r="E129" s="40">
        <f t="shared" si="45"/>
        <v>-52123</v>
      </c>
      <c r="F129" s="40">
        <f t="shared" si="45"/>
        <v>13460</v>
      </c>
      <c r="G129" s="40">
        <f t="shared" si="45"/>
        <v>7711</v>
      </c>
      <c r="H129" s="40">
        <f t="shared" si="45"/>
        <v>-10276</v>
      </c>
      <c r="I129" s="40">
        <f t="shared" si="45"/>
        <v>-67477</v>
      </c>
      <c r="J129" s="40">
        <f t="shared" si="45"/>
        <v>1621</v>
      </c>
      <c r="K129" s="40">
        <f t="shared" si="45"/>
        <v>8960</v>
      </c>
      <c r="L129" s="40">
        <f t="shared" si="45"/>
        <v>-67172</v>
      </c>
      <c r="M129" s="40">
        <f t="shared" si="45"/>
        <v>1923</v>
      </c>
      <c r="N129" s="40">
        <f t="shared" si="45"/>
        <v>-11287</v>
      </c>
      <c r="O129" s="40">
        <f t="shared" si="45"/>
        <v>3175</v>
      </c>
      <c r="P129" s="42">
        <f>P110+P116+P126-1</f>
        <v>13472</v>
      </c>
      <c r="Q129" s="40">
        <f t="shared" ref="Q129:Y129" si="46">Q110+Q116+Q126</f>
        <v>7283</v>
      </c>
      <c r="R129" s="40">
        <f t="shared" si="46"/>
        <v>-25324</v>
      </c>
      <c r="S129" s="40">
        <f t="shared" si="46"/>
        <v>3578</v>
      </c>
      <c r="T129" s="40">
        <f t="shared" si="46"/>
        <v>-45</v>
      </c>
      <c r="U129" s="40">
        <f t="shared" ca="1" si="46"/>
        <v>-45</v>
      </c>
      <c r="V129" s="42">
        <f ca="1">V110+V116+V126-16</f>
        <v>-21835.999999999978</v>
      </c>
      <c r="W129" s="40">
        <f t="shared" ca="1" si="46"/>
        <v>-180</v>
      </c>
      <c r="X129" s="40">
        <f t="shared" ca="1" si="46"/>
        <v>-180</v>
      </c>
      <c r="Y129" s="40">
        <f t="shared" ca="1" si="46"/>
        <v>-180</v>
      </c>
    </row>
    <row r="130" spans="2:25" x14ac:dyDescent="0.25">
      <c r="B130" t="s">
        <v>270</v>
      </c>
      <c r="C130" s="40">
        <f t="shared" ref="C130:K130" si="47">C128+C129</f>
        <v>171413</v>
      </c>
      <c r="D130" s="40">
        <f t="shared" si="47"/>
        <v>159391</v>
      </c>
      <c r="E130" s="40">
        <f t="shared" si="47"/>
        <v>107268</v>
      </c>
      <c r="F130" s="40">
        <f t="shared" si="47"/>
        <v>120728</v>
      </c>
      <c r="G130" s="40">
        <f t="shared" si="47"/>
        <v>120728</v>
      </c>
      <c r="H130" s="40">
        <f t="shared" si="47"/>
        <v>110452</v>
      </c>
      <c r="I130" s="40">
        <f t="shared" si="47"/>
        <v>42975</v>
      </c>
      <c r="J130" s="40">
        <f t="shared" si="47"/>
        <v>44596</v>
      </c>
      <c r="K130" s="40">
        <f t="shared" si="47"/>
        <v>53556</v>
      </c>
      <c r="L130" s="40">
        <f>L46</f>
        <v>53556</v>
      </c>
      <c r="M130" s="40">
        <f t="shared" ref="M130:Y130" si="48">M128+M129</f>
        <v>55479</v>
      </c>
      <c r="N130" s="40">
        <f t="shared" si="48"/>
        <v>44192</v>
      </c>
      <c r="O130" s="40">
        <f t="shared" si="48"/>
        <v>47367</v>
      </c>
      <c r="P130" s="40">
        <f t="shared" si="48"/>
        <v>60839</v>
      </c>
      <c r="Q130" s="40">
        <f t="shared" si="48"/>
        <v>60839</v>
      </c>
      <c r="R130" s="40">
        <f t="shared" si="48"/>
        <v>35515</v>
      </c>
      <c r="S130" s="40">
        <f t="shared" si="48"/>
        <v>39093</v>
      </c>
      <c r="T130" s="40">
        <f t="shared" si="48"/>
        <v>39048</v>
      </c>
      <c r="U130" s="40">
        <f t="shared" ca="1" si="48"/>
        <v>39003</v>
      </c>
      <c r="V130" s="40">
        <f t="shared" ca="1" si="48"/>
        <v>39003.000000000022</v>
      </c>
      <c r="W130" s="40">
        <f t="shared" ca="1" si="48"/>
        <v>38823.000000000022</v>
      </c>
      <c r="X130" s="40">
        <f t="shared" ca="1" si="48"/>
        <v>38643.000000000022</v>
      </c>
      <c r="Y130" s="40">
        <f t="shared" ca="1" si="48"/>
        <v>38463.000000000022</v>
      </c>
    </row>
    <row r="131" spans="2:25" x14ac:dyDescent="0.25">
      <c r="D131" s="40"/>
      <c r="O131" s="40"/>
      <c r="P131" s="40"/>
      <c r="U131" s="40"/>
    </row>
    <row r="132" spans="2:25" x14ac:dyDescent="0.25">
      <c r="B132" t="s">
        <v>253</v>
      </c>
      <c r="C132" s="28" t="b">
        <f>C130=C46</f>
        <v>1</v>
      </c>
      <c r="D132" s="28" t="b">
        <f t="shared" ref="D132:Y132" si="49">D130=D46</f>
        <v>1</v>
      </c>
      <c r="E132" s="28" t="b">
        <f t="shared" si="49"/>
        <v>1</v>
      </c>
      <c r="F132" s="28" t="b">
        <f t="shared" si="49"/>
        <v>1</v>
      </c>
      <c r="G132" s="28" t="b">
        <f t="shared" si="49"/>
        <v>1</v>
      </c>
      <c r="H132" s="28" t="b">
        <f t="shared" si="49"/>
        <v>1</v>
      </c>
      <c r="I132" s="28" t="b">
        <f t="shared" si="49"/>
        <v>1</v>
      </c>
      <c r="J132" s="28" t="b">
        <f t="shared" si="49"/>
        <v>1</v>
      </c>
      <c r="K132" s="28" t="b">
        <f t="shared" si="49"/>
        <v>1</v>
      </c>
      <c r="L132" s="28" t="b">
        <f t="shared" si="49"/>
        <v>1</v>
      </c>
      <c r="M132" s="28" t="b">
        <f t="shared" si="49"/>
        <v>1</v>
      </c>
      <c r="N132" s="28" t="b">
        <f t="shared" si="49"/>
        <v>1</v>
      </c>
      <c r="O132" s="28" t="b">
        <f t="shared" si="49"/>
        <v>1</v>
      </c>
      <c r="P132" s="28" t="b">
        <f t="shared" si="49"/>
        <v>1</v>
      </c>
      <c r="Q132" s="28" t="b">
        <f t="shared" si="49"/>
        <v>1</v>
      </c>
      <c r="R132" s="28" t="b">
        <f t="shared" si="49"/>
        <v>1</v>
      </c>
      <c r="S132" s="28" t="b">
        <f t="shared" si="49"/>
        <v>1</v>
      </c>
      <c r="T132" s="28" t="b">
        <f t="shared" si="49"/>
        <v>1</v>
      </c>
      <c r="U132" s="28" t="b">
        <f t="shared" ca="1" si="49"/>
        <v>1</v>
      </c>
      <c r="V132" s="28" t="b">
        <f t="shared" ca="1" si="49"/>
        <v>1</v>
      </c>
      <c r="W132" s="28" t="b">
        <f t="shared" ca="1" si="49"/>
        <v>1</v>
      </c>
      <c r="X132" s="28" t="b">
        <f t="shared" ca="1" si="49"/>
        <v>1</v>
      </c>
      <c r="Y132" s="28" t="b">
        <f t="shared" ca="1" si="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16130-2C8C-454D-8A0E-DF76B9D509F1}">
  <sheetPr>
    <tabColor rgb="FF0070C0"/>
  </sheetPr>
  <dimension ref="B2:I31"/>
  <sheetViews>
    <sheetView workbookViewId="0">
      <selection activeCell="I35" sqref="I35"/>
    </sheetView>
  </sheetViews>
  <sheetFormatPr defaultRowHeight="15" x14ac:dyDescent="0.25"/>
  <cols>
    <col min="2" max="2" width="73.28515625" customWidth="1"/>
    <col min="3" max="7" width="18.5703125" customWidth="1"/>
  </cols>
  <sheetData>
    <row r="2" spans="2:9" x14ac:dyDescent="0.25">
      <c r="B2" s="32" t="s">
        <v>213</v>
      </c>
      <c r="C2" s="33" t="s">
        <v>271</v>
      </c>
      <c r="D2" s="30" t="s">
        <v>117</v>
      </c>
      <c r="E2" s="30" t="s">
        <v>118</v>
      </c>
      <c r="F2" s="30" t="s">
        <v>119</v>
      </c>
      <c r="G2" s="30" t="s">
        <v>120</v>
      </c>
    </row>
    <row r="3" spans="2:9" x14ac:dyDescent="0.25">
      <c r="B3" s="34" t="s">
        <v>151</v>
      </c>
      <c r="C3" s="35">
        <v>45596</v>
      </c>
      <c r="D3" s="31">
        <v>45777</v>
      </c>
      <c r="E3" s="31">
        <v>46142</v>
      </c>
      <c r="F3" s="31">
        <v>46507</v>
      </c>
      <c r="G3" s="31">
        <v>46873</v>
      </c>
    </row>
    <row r="5" spans="2:9" x14ac:dyDescent="0.25">
      <c r="B5" t="s">
        <v>122</v>
      </c>
      <c r="C5" s="43">
        <f>SUM('Three Statement Model'!R21:S21,'Three Statement Model'!O21:P21)</f>
        <v>514645</v>
      </c>
      <c r="D5" s="43">
        <f>'Three Statement Model'!V21</f>
        <v>509289.90741254453</v>
      </c>
      <c r="E5" s="43">
        <f>'Three Statement Model'!W21</f>
        <v>534888.81222762016</v>
      </c>
      <c r="F5" s="43">
        <f>'Three Statement Model'!X21</f>
        <v>562346.49445162632</v>
      </c>
      <c r="G5" s="43">
        <f>'Three Statement Model'!Y21</f>
        <v>591102.74264281325</v>
      </c>
    </row>
    <row r="6" spans="2:9" x14ac:dyDescent="0.25">
      <c r="B6" s="66" t="s">
        <v>272</v>
      </c>
      <c r="C6" s="67">
        <f>C5/SUM('Three Statement Model'!M21:N21,'Three Statement Model'!J21:K21)-1</f>
        <v>3.1792504687981893E-3</v>
      </c>
      <c r="D6" s="67">
        <f>D5/'Three Statement Model'!Q21-1</f>
        <v>-4.9536128957073267E-2</v>
      </c>
      <c r="E6" s="67">
        <f>E5/D5-1</f>
        <v>5.0263915389824332E-2</v>
      </c>
      <c r="F6" s="67">
        <f>F5/E5-1</f>
        <v>5.1333439018204086E-2</v>
      </c>
      <c r="G6" s="67">
        <f>G5/F5-1</f>
        <v>5.1136174004656532E-2</v>
      </c>
      <c r="H6" s="45"/>
    </row>
    <row r="7" spans="2:9" x14ac:dyDescent="0.25">
      <c r="B7" t="s">
        <v>211</v>
      </c>
      <c r="C7" s="43">
        <f>SUM('Three Statement Model'!R31:S31,'Three Statement Model'!O31:P31,'Three Statement Model'!O89:P89,'Three Statement Model'!R89:S89)</f>
        <v>73264</v>
      </c>
      <c r="D7" s="43">
        <f>'Three Statement Model'!V31+'Three Statement Model'!V89</f>
        <v>65200.289886982908</v>
      </c>
      <c r="E7" s="43">
        <f>'Three Statement Model'!W31+'Three Statement Model'!W89</f>
        <v>79485.799719015413</v>
      </c>
      <c r="F7" s="43">
        <f>'Three Statement Model'!X31+'Three Statement Model'!X89</f>
        <v>85413.203760778211</v>
      </c>
      <c r="G7" s="43">
        <f>'Three Statement Model'!Y31+'Three Statement Model'!Y89</f>
        <v>92179.932688355198</v>
      </c>
    </row>
    <row r="8" spans="2:9" x14ac:dyDescent="0.25">
      <c r="B8" s="66" t="s">
        <v>212</v>
      </c>
      <c r="C8" s="67">
        <f>C7/C5</f>
        <v>0.14235832467040388</v>
      </c>
      <c r="D8" s="67">
        <f t="shared" ref="D8:G8" si="0">D7/D5</f>
        <v>0.1280219555463685</v>
      </c>
      <c r="E8" s="67">
        <f t="shared" si="0"/>
        <v>0.1486024719567148</v>
      </c>
      <c r="F8" s="67">
        <f t="shared" si="0"/>
        <v>0.15188714538723874</v>
      </c>
      <c r="G8" s="67">
        <f t="shared" si="0"/>
        <v>0.15594570290135998</v>
      </c>
    </row>
    <row r="9" spans="2:9" x14ac:dyDescent="0.25">
      <c r="B9" s="36" t="s">
        <v>273</v>
      </c>
      <c r="C9" s="64">
        <f ca="1">C13/C7</f>
        <v>7.760664486417614</v>
      </c>
      <c r="D9" s="64">
        <f>CHOOSE(Dashboard!$D$22,D10,D11,D12)</f>
        <v>9</v>
      </c>
      <c r="E9" s="64">
        <f ca="1">CHOOSE(Dashboard!$D$22,E10,E11,E12)</f>
        <v>7.760664486417614</v>
      </c>
      <c r="F9" s="64">
        <f ca="1">CHOOSE(Dashboard!$D$22,F10,F11,F12)</f>
        <v>7.760664486417614</v>
      </c>
      <c r="G9" s="64">
        <f ca="1">CHOOSE(Dashboard!$D$22,G10,G11,G12)</f>
        <v>7.760664486417614</v>
      </c>
      <c r="I9" s="179"/>
    </row>
    <row r="10" spans="2:9" x14ac:dyDescent="0.25">
      <c r="B10" s="44" t="s">
        <v>131</v>
      </c>
      <c r="C10" s="68"/>
      <c r="D10" s="68">
        <v>9</v>
      </c>
      <c r="E10" s="68">
        <v>9.25</v>
      </c>
      <c r="F10" s="68">
        <v>9.75</v>
      </c>
      <c r="G10" s="68">
        <v>10.6</v>
      </c>
      <c r="H10" s="63" t="s">
        <v>274</v>
      </c>
    </row>
    <row r="11" spans="2:9" x14ac:dyDescent="0.25">
      <c r="B11" s="44" t="s">
        <v>133</v>
      </c>
      <c r="C11" s="68"/>
      <c r="D11" s="68">
        <v>9</v>
      </c>
      <c r="E11" s="68">
        <f ca="1">C9</f>
        <v>7.760664486417614</v>
      </c>
      <c r="F11" s="68">
        <f ca="1">C9</f>
        <v>7.760664486417614</v>
      </c>
      <c r="G11" s="178">
        <f ca="1">C9</f>
        <v>7.760664486417614</v>
      </c>
      <c r="H11" s="63" t="s">
        <v>275</v>
      </c>
    </row>
    <row r="12" spans="2:9" x14ac:dyDescent="0.25">
      <c r="B12" s="44" t="s">
        <v>135</v>
      </c>
      <c r="C12" s="68"/>
      <c r="D12" s="68">
        <v>8</v>
      </c>
      <c r="E12" s="68">
        <v>7.5</v>
      </c>
      <c r="F12" s="68">
        <v>7</v>
      </c>
      <c r="G12" s="68">
        <v>6</v>
      </c>
      <c r="H12" s="63"/>
    </row>
    <row r="13" spans="2:9" x14ac:dyDescent="0.25">
      <c r="B13" s="38" t="s">
        <v>276</v>
      </c>
      <c r="C13" s="41">
        <f ca="1">C16+C15-C14</f>
        <v>568577.32293290005</v>
      </c>
      <c r="D13" s="41">
        <f>D7*D9</f>
        <v>586802.60898284614</v>
      </c>
      <c r="E13" s="41">
        <f ca="1">E7*E9</f>
        <v>616862.62305386609</v>
      </c>
      <c r="F13" s="41">
        <f ca="1">F7*F9</f>
        <v>662863.21709742281</v>
      </c>
      <c r="G13" s="41">
        <f ca="1">G7*G9</f>
        <v>715377.52997488435</v>
      </c>
    </row>
    <row r="14" spans="2:9" x14ac:dyDescent="0.25">
      <c r="B14" s="65" t="s">
        <v>277</v>
      </c>
      <c r="C14" s="43">
        <f>'Three Statement Model'!S46</f>
        <v>39093</v>
      </c>
      <c r="D14" s="43">
        <f ca="1">'Three Statement Model'!V46</f>
        <v>39003.000000000022</v>
      </c>
      <c r="E14" s="43">
        <f ca="1">'Three Statement Model'!W46</f>
        <v>38823.000000000022</v>
      </c>
      <c r="F14" s="43">
        <f ca="1">'Three Statement Model'!X46</f>
        <v>38643.000000000022</v>
      </c>
      <c r="G14" s="43">
        <f ca="1">'Three Statement Model'!Y46</f>
        <v>38463.000000000022</v>
      </c>
    </row>
    <row r="15" spans="2:9" x14ac:dyDescent="0.25">
      <c r="B15" s="65" t="s">
        <v>278</v>
      </c>
      <c r="C15" s="43">
        <f>'Three Statement Model'!S68+'Three Statement Model'!S69</f>
        <v>133572</v>
      </c>
      <c r="D15" s="43">
        <f ca="1">'Three Statement Model'!V68+'Three Statement Model'!V69</f>
        <v>98482</v>
      </c>
      <c r="E15" s="43">
        <f ca="1">'Three Statement Model'!W68+'Three Statement Model'!W69</f>
        <v>88302</v>
      </c>
      <c r="F15" s="43">
        <f ca="1">'Three Statement Model'!X68+'Three Statement Model'!X69</f>
        <v>80622</v>
      </c>
      <c r="G15" s="43">
        <f ca="1">'Three Statement Model'!Y68+'Three Statement Model'!Y69</f>
        <v>75442</v>
      </c>
    </row>
    <row r="16" spans="2:9" x14ac:dyDescent="0.25">
      <c r="B16" s="38" t="s">
        <v>279</v>
      </c>
      <c r="C16" s="41">
        <f ca="1">C17*C18</f>
        <v>474098.32293290005</v>
      </c>
      <c r="D16" s="41">
        <f ca="1">D13+D14-D15</f>
        <v>527323.60898284614</v>
      </c>
      <c r="E16" s="41">
        <f t="shared" ref="E16:G16" ca="1" si="1">E13+E14-E15</f>
        <v>567383.62305386609</v>
      </c>
      <c r="F16" s="41">
        <f t="shared" ca="1" si="1"/>
        <v>620884.21709742281</v>
      </c>
      <c r="G16" s="41">
        <f t="shared" ca="1" si="1"/>
        <v>678398.52997488435</v>
      </c>
    </row>
    <row r="17" spans="2:7" x14ac:dyDescent="0.25">
      <c r="B17" t="s">
        <v>280</v>
      </c>
      <c r="C17" s="172">
        <f>Assumptions!S134</f>
        <v>44002.703000000001</v>
      </c>
      <c r="D17" s="43">
        <f ca="1">Assumptions!V134</f>
        <v>41697.934817994457</v>
      </c>
      <c r="E17" s="43">
        <f ca="1">Assumptions!W134</f>
        <v>41495.245349753546</v>
      </c>
      <c r="F17" s="43">
        <f ca="1">Assumptions!X134</f>
        <v>41093.797540141895</v>
      </c>
      <c r="G17" s="43">
        <f ca="1">Assumptions!Y134</f>
        <v>40196.774303282415</v>
      </c>
    </row>
    <row r="18" spans="2:7" x14ac:dyDescent="0.25">
      <c r="B18" s="114" t="s">
        <v>281</v>
      </c>
      <c r="C18" s="186">
        <f ca="1">Dashboard!D23</f>
        <v>10.7743</v>
      </c>
      <c r="D18" s="174">
        <f ca="1">D16/D17</f>
        <v>12.646276399167933</v>
      </c>
      <c r="E18" s="174">
        <f ca="1">E16/E17</f>
        <v>13.673461098290288</v>
      </c>
      <c r="F18" s="174">
        <f ca="1">F16/F17</f>
        <v>15.108952062435232</v>
      </c>
      <c r="G18" s="174">
        <f ca="1">G16/G17</f>
        <v>16.876939548840546</v>
      </c>
    </row>
    <row r="19" spans="2:7" x14ac:dyDescent="0.25">
      <c r="B19" t="s">
        <v>282</v>
      </c>
      <c r="D19" s="171">
        <f>Assumptions!T116+Assumptions!U116</f>
        <v>0.26</v>
      </c>
      <c r="E19" s="171">
        <f>Assumptions!W116</f>
        <v>0.52</v>
      </c>
      <c r="F19" s="171">
        <f>Assumptions!X116</f>
        <v>0.52</v>
      </c>
      <c r="G19" s="171">
        <f>Assumptions!Y116</f>
        <v>0.52</v>
      </c>
    </row>
    <row r="20" spans="2:7" x14ac:dyDescent="0.25">
      <c r="B20" s="114" t="s">
        <v>283</v>
      </c>
      <c r="C20" s="114"/>
      <c r="D20" s="174">
        <f ca="1">D18+D19</f>
        <v>12.906276399167933</v>
      </c>
      <c r="E20" s="174">
        <f ca="1">E18+SUM(D19:E19)</f>
        <v>14.453461098290287</v>
      </c>
      <c r="F20" s="174">
        <f ca="1">F18+SUM(D19:F19)</f>
        <v>16.408952062435233</v>
      </c>
      <c r="G20" s="174">
        <f ca="1">G18+SUM(D19:G19)</f>
        <v>18.696939548840547</v>
      </c>
    </row>
    <row r="21" spans="2:7" x14ac:dyDescent="0.25">
      <c r="D21" s="111"/>
      <c r="E21" s="111"/>
      <c r="F21" s="111"/>
      <c r="G21" s="111"/>
    </row>
    <row r="22" spans="2:7" x14ac:dyDescent="0.25">
      <c r="B22" t="s">
        <v>284</v>
      </c>
      <c r="D22" s="111">
        <f ca="1">C18*-1</f>
        <v>-10.7743</v>
      </c>
      <c r="E22" s="111">
        <f ca="1">D22</f>
        <v>-10.7743</v>
      </c>
      <c r="F22" s="111">
        <f ca="1">E22</f>
        <v>-10.7743</v>
      </c>
      <c r="G22" s="111">
        <f ca="1">F22</f>
        <v>-10.7743</v>
      </c>
    </row>
    <row r="23" spans="2:7" x14ac:dyDescent="0.25">
      <c r="B23" t="s">
        <v>283</v>
      </c>
      <c r="D23" s="111">
        <f ca="1">D20</f>
        <v>12.906276399167933</v>
      </c>
      <c r="E23" s="111">
        <f t="shared" ref="E23:G23" ca="1" si="2">E20</f>
        <v>14.453461098290287</v>
      </c>
      <c r="F23" s="111">
        <f t="shared" ca="1" si="2"/>
        <v>16.408952062435233</v>
      </c>
      <c r="G23" s="111">
        <f t="shared" ca="1" si="2"/>
        <v>18.696939548840547</v>
      </c>
    </row>
    <row r="24" spans="2:7" x14ac:dyDescent="0.25">
      <c r="B24" t="s">
        <v>285</v>
      </c>
      <c r="D24" s="173">
        <f ca="1">TODAY()</f>
        <v>45720</v>
      </c>
      <c r="E24" s="173">
        <f ca="1">TODAY()</f>
        <v>45720</v>
      </c>
      <c r="F24" s="173">
        <f ca="1">TODAY()</f>
        <v>45720</v>
      </c>
      <c r="G24" s="173">
        <f ca="1">TODAY()</f>
        <v>45720</v>
      </c>
    </row>
    <row r="25" spans="2:7" x14ac:dyDescent="0.25">
      <c r="B25" t="s">
        <v>286</v>
      </c>
      <c r="D25" s="173">
        <f>D3</f>
        <v>45777</v>
      </c>
      <c r="E25" s="173">
        <f>E3</f>
        <v>46142</v>
      </c>
      <c r="F25" s="173">
        <f>F3</f>
        <v>46507</v>
      </c>
      <c r="G25" s="173">
        <f>G3</f>
        <v>46873</v>
      </c>
    </row>
    <row r="26" spans="2:7" x14ac:dyDescent="0.25">
      <c r="D26" s="111">
        <f ca="1">D18/C18</f>
        <v>1.1737445958593999</v>
      </c>
      <c r="E26" s="111">
        <f ca="1">E18/D18</f>
        <v>1.0812242803098895</v>
      </c>
      <c r="F26" s="111">
        <f ca="1">F18/E18</f>
        <v>1.1049837311728219</v>
      </c>
      <c r="G26" s="111">
        <f ca="1">G18/F18</f>
        <v>1.1170158909168153</v>
      </c>
    </row>
    <row r="27" spans="2:7" x14ac:dyDescent="0.25">
      <c r="B27" s="180" t="s">
        <v>287</v>
      </c>
      <c r="C27" s="180"/>
      <c r="D27" s="181">
        <f ca="1">(D20/D22*-1)-1</f>
        <v>0.19787609396136485</v>
      </c>
      <c r="E27" s="181">
        <f t="shared" ref="E27:G27" ca="1" si="3">(E20/E22*-1)-1</f>
        <v>0.3414756502315961</v>
      </c>
      <c r="F27" s="181">
        <f t="shared" ca="1" si="3"/>
        <v>0.52297152134572378</v>
      </c>
      <c r="G27" s="181">
        <f t="shared" ca="1" si="3"/>
        <v>0.73532754321306681</v>
      </c>
    </row>
    <row r="28" spans="2:7" x14ac:dyDescent="0.25">
      <c r="B28" s="180" t="s">
        <v>288</v>
      </c>
      <c r="C28" s="180"/>
      <c r="D28" s="181">
        <f ca="1">XIRR(D22:D23,D24:D25)</f>
        <v>2.177688145637513</v>
      </c>
      <c r="E28" s="181">
        <f t="shared" ref="E28:G28" ca="1" si="4">XIRR(E22:E23,E24:E25)</f>
        <v>0.28928831219673157</v>
      </c>
      <c r="F28" s="181">
        <f t="shared" ca="1" si="4"/>
        <v>0.21543009877204897</v>
      </c>
      <c r="G28" s="181">
        <f t="shared" ca="1" si="4"/>
        <v>0.19063846468925474</v>
      </c>
    </row>
    <row r="30" spans="2:7" s="43" customFormat="1" x14ac:dyDescent="0.25">
      <c r="B30" t="s">
        <v>289</v>
      </c>
      <c r="D30" s="43">
        <f>'Three Statement Model'!V110+'Three Statement Model'!V115</f>
        <v>28792.608011784883</v>
      </c>
      <c r="E30" s="43">
        <f ca="1">'Three Statement Model'!W110+'Three Statement Model'!W115</f>
        <v>42522.888971691165</v>
      </c>
      <c r="F30" s="43">
        <f ca="1">'Three Statement Model'!X110+'Three Statement Model'!X115</f>
        <v>42426.920690835963</v>
      </c>
      <c r="G30" s="43">
        <f ca="1">'Three Statement Model'!Y110+'Three Statement Model'!Y115</f>
        <v>45441.315979133331</v>
      </c>
    </row>
    <row r="31" spans="2:7" x14ac:dyDescent="0.25">
      <c r="B31" t="s">
        <v>290</v>
      </c>
      <c r="D31" s="45">
        <f ca="1">D30/D16</f>
        <v>5.4601401343139004E-2</v>
      </c>
      <c r="E31" s="45">
        <f t="shared" ref="E31:G31" ca="1" si="5">E30/E16</f>
        <v>7.4945569882361826E-2</v>
      </c>
      <c r="F31" s="45">
        <f t="shared" ca="1" si="5"/>
        <v>6.8333063593044696E-2</v>
      </c>
      <c r="G31" s="45">
        <f t="shared" ca="1" si="5"/>
        <v>6.6983217049152E-2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58C0B-6266-4780-BF94-741F6AEDE1F8}">
  <sheetPr>
    <tabColor rgb="FF0070C0"/>
  </sheetPr>
  <dimension ref="B2:D9"/>
  <sheetViews>
    <sheetView workbookViewId="0">
      <selection activeCell="X19" sqref="X19"/>
    </sheetView>
  </sheetViews>
  <sheetFormatPr defaultRowHeight="15" x14ac:dyDescent="0.25"/>
  <cols>
    <col min="2" max="2" width="45.7109375" customWidth="1"/>
    <col min="3" max="3" width="18.42578125" customWidth="1"/>
  </cols>
  <sheetData>
    <row r="2" spans="2:4" x14ac:dyDescent="0.25">
      <c r="B2" s="195" t="s">
        <v>291</v>
      </c>
      <c r="C2" s="156" t="s">
        <v>292</v>
      </c>
    </row>
    <row r="3" spans="2:4" x14ac:dyDescent="0.25">
      <c r="B3" s="187" t="s">
        <v>293</v>
      </c>
      <c r="C3" s="188">
        <f>LN(Valuation!G5/Valuation!C5)</f>
        <v>0.13851250513119456</v>
      </c>
      <c r="D3" s="196">
        <f t="shared" ref="D3:D8" si="0">C3</f>
        <v>0.13851250513119456</v>
      </c>
    </row>
    <row r="4" spans="2:4" x14ac:dyDescent="0.25">
      <c r="B4" s="189" t="s">
        <v>294</v>
      </c>
      <c r="C4" s="190">
        <f>LN(Valuation!G8/Valuation!C8)</f>
        <v>9.1160596026538726E-2</v>
      </c>
      <c r="D4" s="196">
        <f t="shared" si="0"/>
        <v>9.1160596026538726E-2</v>
      </c>
    </row>
    <row r="5" spans="2:4" x14ac:dyDescent="0.25">
      <c r="B5" s="189" t="s">
        <v>295</v>
      </c>
      <c r="C5" s="190">
        <f ca="1">LN(Valuation!G9/Valuation!C9)</f>
        <v>0</v>
      </c>
      <c r="D5" s="196">
        <f t="shared" ca="1" si="0"/>
        <v>0</v>
      </c>
    </row>
    <row r="6" spans="2:4" x14ac:dyDescent="0.25">
      <c r="B6" s="189" t="s">
        <v>296</v>
      </c>
      <c r="C6" s="190">
        <f ca="1">LN((Valuation!G16/Valuation!G13)/(Valuation!C16/Valuation!C13))</f>
        <v>0.12864708388553045</v>
      </c>
      <c r="D6" s="196">
        <f t="shared" ca="1" si="0"/>
        <v>0.12864708388553045</v>
      </c>
    </row>
    <row r="7" spans="2:4" x14ac:dyDescent="0.25">
      <c r="B7" s="189" t="s">
        <v>297</v>
      </c>
      <c r="C7" s="190">
        <f ca="1">LN(Valuation!C17/Valuation!G17)</f>
        <v>9.0464312655989171E-2</v>
      </c>
      <c r="D7" s="196">
        <f t="shared" ca="1" si="0"/>
        <v>9.0464312655989171E-2</v>
      </c>
    </row>
    <row r="8" spans="2:4" x14ac:dyDescent="0.25">
      <c r="B8" s="191" t="s">
        <v>298</v>
      </c>
      <c r="C8" s="192">
        <f ca="1">LN(Valuation!G20/Valuation!G18)</f>
        <v>0.10241168359537194</v>
      </c>
      <c r="D8" s="196">
        <f t="shared" ca="1" si="0"/>
        <v>0.10241168359537194</v>
      </c>
    </row>
    <row r="9" spans="2:4" x14ac:dyDescent="0.25">
      <c r="B9" s="193" t="s">
        <v>299</v>
      </c>
      <c r="C9" s="194">
        <f ca="1">SUM(C3:C8)</f>
        <v>0.55119618129462478</v>
      </c>
      <c r="D9" s="197">
        <f ca="1">C9*-1</f>
        <v>-0.55119618129462478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F22E9-4C73-4B68-86B4-E87C57266C15}">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12575-AECF-4001-963F-5FB6B2E75693}">
  <dimension ref="B2:J91"/>
  <sheetViews>
    <sheetView zoomScale="40" zoomScaleNormal="40" workbookViewId="0">
      <selection activeCell="J91" sqref="J91"/>
    </sheetView>
  </sheetViews>
  <sheetFormatPr defaultRowHeight="15" x14ac:dyDescent="0.25"/>
  <cols>
    <col min="7" max="9" width="18.140625" customWidth="1"/>
  </cols>
  <sheetData>
    <row r="2" spans="2:10" x14ac:dyDescent="0.25">
      <c r="B2" t="s">
        <v>300</v>
      </c>
      <c r="C2" t="s">
        <v>301</v>
      </c>
      <c r="D2" t="s">
        <v>302</v>
      </c>
      <c r="E2" t="s">
        <v>303</v>
      </c>
      <c r="G2" s="71">
        <f>G3-(3*'Revenue MLR'!L17)</f>
        <v>96088.428652884715</v>
      </c>
      <c r="H2" s="70">
        <f>G2</f>
        <v>96088.428652884715</v>
      </c>
      <c r="I2" s="49"/>
    </row>
    <row r="3" spans="2:10" x14ac:dyDescent="0.25">
      <c r="B3">
        <f>B4-1000</f>
        <v>95000</v>
      </c>
      <c r="C3" s="45">
        <f>_xlfn.NORM.DIST(B3,'MLR Visualization'!$H$3,'Revenue MLR'!$L$17,TRUE)</f>
        <v>1.0308474221560203E-3</v>
      </c>
      <c r="D3" s="45">
        <v>0</v>
      </c>
      <c r="G3" s="70">
        <f>'Revenue MLR'!G18</f>
        <v>136302.28865288472</v>
      </c>
      <c r="H3" s="70">
        <f>G3</f>
        <v>136302.28865288472</v>
      </c>
      <c r="I3" s="70">
        <v>119333</v>
      </c>
      <c r="J3" s="45">
        <f>G3/I3-1</f>
        <v>0.14220114011115714</v>
      </c>
    </row>
    <row r="4" spans="2:10" x14ac:dyDescent="0.25">
      <c r="B4">
        <v>96000</v>
      </c>
      <c r="C4" s="45">
        <f>_xlfn.NORM.DIST(B4,'MLR Visualization'!$H$3,'Revenue MLR'!$L$17,TRUE)</f>
        <v>1.3209492779875599E-3</v>
      </c>
      <c r="D4" s="45">
        <f>C4-C3</f>
        <v>2.9010185583153961E-4</v>
      </c>
      <c r="G4" s="71">
        <f>G3+(3*'Revenue MLR'!L17)</f>
        <v>176516.1486528847</v>
      </c>
      <c r="H4" s="70">
        <f>G4</f>
        <v>176516.1486528847</v>
      </c>
      <c r="I4" s="49"/>
    </row>
    <row r="5" spans="2:10" x14ac:dyDescent="0.25">
      <c r="B5">
        <f>B4+1000</f>
        <v>97000</v>
      </c>
      <c r="C5" s="45">
        <f>_xlfn.NORM.DIST(B5,'MLR Visualization'!$H$3,'Revenue MLR'!$L$17,TRUE)</f>
        <v>1.6839568672442002E-3</v>
      </c>
      <c r="D5" s="45">
        <f t="shared" ref="D5:D68" si="0">C5-C4</f>
        <v>3.6300758925664027E-4</v>
      </c>
    </row>
    <row r="6" spans="2:10" x14ac:dyDescent="0.25">
      <c r="B6">
        <f t="shared" ref="B6:B69" si="1">B5+1000</f>
        <v>98000</v>
      </c>
      <c r="C6" s="45">
        <f>_xlfn.NORM.DIST(B6,'MLR Visualization'!$H$3,'Revenue MLR'!$L$17,TRUE)</f>
        <v>2.1356724035727507E-3</v>
      </c>
      <c r="D6" s="45">
        <f t="shared" si="0"/>
        <v>4.5171553632855047E-4</v>
      </c>
    </row>
    <row r="7" spans="2:10" x14ac:dyDescent="0.25">
      <c r="B7">
        <f t="shared" si="1"/>
        <v>99000</v>
      </c>
      <c r="C7" s="45">
        <f>_xlfn.NORM.DIST(B7,'MLR Visualization'!$H$3,'Revenue MLR'!$L$17,TRUE)</f>
        <v>2.6946552448435207E-3</v>
      </c>
      <c r="D7" s="45">
        <f t="shared" si="0"/>
        <v>5.5898284127077003E-4</v>
      </c>
    </row>
    <row r="8" spans="2:10" x14ac:dyDescent="0.25">
      <c r="B8">
        <f t="shared" si="1"/>
        <v>100000</v>
      </c>
      <c r="C8" s="45">
        <f>_xlfn.NORM.DIST(B8,'MLR Visualization'!$H$3,'Revenue MLR'!$L$17,TRUE)</f>
        <v>3.3825405808929924E-3</v>
      </c>
      <c r="D8" s="45">
        <f t="shared" si="0"/>
        <v>6.8788533604947173E-4</v>
      </c>
    </row>
    <row r="9" spans="2:10" x14ac:dyDescent="0.25">
      <c r="B9">
        <f t="shared" si="1"/>
        <v>101000</v>
      </c>
      <c r="C9" s="45">
        <f>_xlfn.NORM.DIST(B9,'MLR Visualization'!$H$3,'Revenue MLR'!$L$17,TRUE)</f>
        <v>4.2243576977167028E-3</v>
      </c>
      <c r="D9" s="45">
        <f t="shared" si="0"/>
        <v>8.4181711682371034E-4</v>
      </c>
    </row>
    <row r="10" spans="2:10" x14ac:dyDescent="0.25">
      <c r="B10">
        <f t="shared" si="1"/>
        <v>102000</v>
      </c>
      <c r="C10" s="45">
        <f>_xlfn.NORM.DIST(B10,'MLR Visualization'!$H$3,'Revenue MLR'!$L$17,TRUE)</f>
        <v>5.2488379200428753E-3</v>
      </c>
      <c r="D10" s="45">
        <f t="shared" si="0"/>
        <v>1.0244802223261726E-3</v>
      </c>
    </row>
    <row r="11" spans="2:10" x14ac:dyDescent="0.25">
      <c r="B11">
        <f t="shared" si="1"/>
        <v>103000</v>
      </c>
      <c r="C11" s="45">
        <f>_xlfn.NORM.DIST(B11,'MLR Visualization'!$H$3,'Revenue MLR'!$L$17,TRUE)</f>
        <v>6.4887004391591266E-3</v>
      </c>
      <c r="D11" s="45">
        <f t="shared" si="0"/>
        <v>1.2398625191162513E-3</v>
      </c>
    </row>
    <row r="12" spans="2:10" x14ac:dyDescent="0.25">
      <c r="B12">
        <f t="shared" si="1"/>
        <v>104000</v>
      </c>
      <c r="C12" s="45">
        <f>_xlfn.NORM.DIST(B12,'MLR Visualization'!$H$3,'Revenue MLR'!$L$17,TRUE)</f>
        <v>7.9809024147258351E-3</v>
      </c>
      <c r="D12" s="45">
        <f t="shared" si="0"/>
        <v>1.4922019755667084E-3</v>
      </c>
    </row>
    <row r="13" spans="2:10" x14ac:dyDescent="0.25">
      <c r="B13">
        <f t="shared" si="1"/>
        <v>105000</v>
      </c>
      <c r="C13" s="45">
        <f>_xlfn.NORM.DIST(B13,'MLR Visualization'!$H$3,'Revenue MLR'!$L$17,TRUE)</f>
        <v>9.7668381041555331E-3</v>
      </c>
      <c r="D13" s="45">
        <f t="shared" si="0"/>
        <v>1.785935689429698E-3</v>
      </c>
    </row>
    <row r="14" spans="2:10" x14ac:dyDescent="0.25">
      <c r="B14">
        <f t="shared" si="1"/>
        <v>106000</v>
      </c>
      <c r="C14" s="45">
        <f>_xlfn.NORM.DIST(B14,'MLR Visualization'!$H$3,'Revenue MLR'!$L$17,TRUE)</f>
        <v>1.189247044025657E-2</v>
      </c>
      <c r="D14" s="45">
        <f t="shared" si="0"/>
        <v>2.1256323361010365E-3</v>
      </c>
    </row>
    <row r="15" spans="2:10" x14ac:dyDescent="0.25">
      <c r="B15">
        <f t="shared" si="1"/>
        <v>107000</v>
      </c>
      <c r="C15" s="45">
        <f>_xlfn.NORM.DIST(B15,'MLR Visualization'!$H$3,'Revenue MLR'!$L$17,TRUE)</f>
        <v>1.4408377575339068E-2</v>
      </c>
      <c r="D15" s="45">
        <f t="shared" si="0"/>
        <v>2.5159071350824985E-3</v>
      </c>
    </row>
    <row r="16" spans="2:10" x14ac:dyDescent="0.25">
      <c r="B16">
        <f t="shared" si="1"/>
        <v>108000</v>
      </c>
      <c r="C16" s="45">
        <f>_xlfn.NORM.DIST(B16,'MLR Visualization'!$H$3,'Revenue MLR'!$L$17,TRUE)</f>
        <v>1.7369696568862614E-2</v>
      </c>
      <c r="D16" s="45">
        <f t="shared" si="0"/>
        <v>2.9613189935235457E-3</v>
      </c>
    </row>
    <row r="17" spans="2:5" x14ac:dyDescent="0.25">
      <c r="B17">
        <f t="shared" si="1"/>
        <v>109000</v>
      </c>
      <c r="C17" s="45">
        <f>_xlfn.NORM.DIST(B17,'MLR Visualization'!$H$3,'Revenue MLR'!$L$17,TRUE)</f>
        <v>2.0835946742520147E-2</v>
      </c>
      <c r="D17" s="45">
        <f t="shared" si="0"/>
        <v>3.4662501736575334E-3</v>
      </c>
    </row>
    <row r="18" spans="2:5" x14ac:dyDescent="0.25">
      <c r="B18">
        <f t="shared" si="1"/>
        <v>110000</v>
      </c>
      <c r="C18" s="45">
        <f>_xlfn.NORM.DIST(B18,'MLR Visualization'!$H$3,'Revenue MLR'!$L$17,TRUE)</f>
        <v>2.4870716375002554E-2</v>
      </c>
      <c r="D18" s="45">
        <f t="shared" si="0"/>
        <v>4.0347696324824073E-3</v>
      </c>
    </row>
    <row r="19" spans="2:5" x14ac:dyDescent="0.25">
      <c r="B19">
        <f t="shared" si="1"/>
        <v>111000</v>
      </c>
      <c r="C19" s="45">
        <f>_xlfn.NORM.DIST(B19,'MLR Visualization'!$H$3,'Revenue MLR'!$L$17,TRUE)</f>
        <v>2.9541198449936048E-2</v>
      </c>
      <c r="D19" s="45">
        <f t="shared" si="0"/>
        <v>4.6704820749334935E-3</v>
      </c>
    </row>
    <row r="20" spans="2:5" x14ac:dyDescent="0.25">
      <c r="B20">
        <f t="shared" si="1"/>
        <v>112000</v>
      </c>
      <c r="C20" s="45">
        <f>_xlfn.NORM.DIST(B20,'MLR Visualization'!$H$3,'Revenue MLR'!$L$17,TRUE)</f>
        <v>3.4917564164214418E-2</v>
      </c>
      <c r="D20" s="45">
        <f t="shared" si="0"/>
        <v>5.3763657142783701E-3</v>
      </c>
      <c r="E20" s="45"/>
    </row>
    <row r="21" spans="2:5" x14ac:dyDescent="0.25">
      <c r="B21">
        <f t="shared" si="1"/>
        <v>113000</v>
      </c>
      <c r="C21" s="45">
        <f>_xlfn.NORM.DIST(B21,'MLR Visualization'!$H$3,'Revenue MLR'!$L$17,TRUE)</f>
        <v>4.1072166868801482E-2</v>
      </c>
      <c r="D21" s="45">
        <f t="shared" si="0"/>
        <v>6.1546027045870644E-3</v>
      </c>
    </row>
    <row r="22" spans="2:5" x14ac:dyDescent="0.25">
      <c r="B22">
        <f t="shared" si="1"/>
        <v>114000</v>
      </c>
      <c r="C22" s="45">
        <f>_xlfn.NORM.DIST(B22,'MLR Visualization'!$H$3,'Revenue MLR'!$L$17,TRUE)</f>
        <v>4.8078574019699769E-2</v>
      </c>
      <c r="D22" s="45">
        <f t="shared" si="0"/>
        <v>7.0064071508982861E-3</v>
      </c>
    </row>
    <row r="23" spans="2:5" x14ac:dyDescent="0.25">
      <c r="B23">
        <f t="shared" si="1"/>
        <v>115000</v>
      </c>
      <c r="C23" s="45">
        <f>_xlfn.NORM.DIST(B23,'MLR Visualization'!$H$3,'Revenue MLR'!$L$17,TRUE)</f>
        <v>5.6010430477623649E-2</v>
      </c>
      <c r="D23" s="45">
        <f t="shared" si="0"/>
        <v>7.9318564579238804E-3</v>
      </c>
    </row>
    <row r="24" spans="2:5" x14ac:dyDescent="0.25">
      <c r="B24">
        <f t="shared" si="1"/>
        <v>116000</v>
      </c>
      <c r="C24" s="45">
        <f>_xlfn.NORM.DIST(B24,'MLR Visualization'!$H$3,'Revenue MLR'!$L$17,TRUE)</f>
        <v>6.494016296665861E-2</v>
      </c>
      <c r="D24" s="45">
        <f t="shared" si="0"/>
        <v>8.9297324890349611E-3</v>
      </c>
    </row>
    <row r="25" spans="2:5" x14ac:dyDescent="0.25">
      <c r="B25">
        <f t="shared" si="1"/>
        <v>117000</v>
      </c>
      <c r="C25" s="45">
        <f>_xlfn.NORM.DIST(B25,'MLR Visualization'!$H$3,'Revenue MLR'!$L$17,TRUE)</f>
        <v>7.493754248144667E-2</v>
      </c>
      <c r="D25" s="45">
        <f t="shared" si="0"/>
        <v>9.9973795147880601E-3</v>
      </c>
    </row>
    <row r="26" spans="2:5" x14ac:dyDescent="0.25">
      <c r="B26">
        <f t="shared" si="1"/>
        <v>118000</v>
      </c>
      <c r="C26" s="45">
        <f>_xlfn.NORM.DIST(B26,'MLR Visualization'!$H$3,'Revenue MLR'!$L$17,TRUE)</f>
        <v>8.6068128660228879E-2</v>
      </c>
      <c r="D26" s="45">
        <f t="shared" si="0"/>
        <v>1.1130586178782209E-2</v>
      </c>
    </row>
    <row r="27" spans="2:5" x14ac:dyDescent="0.25">
      <c r="B27">
        <f t="shared" si="1"/>
        <v>119000</v>
      </c>
      <c r="C27" s="45">
        <f>_xlfn.NORM.DIST(B27,'MLR Visualization'!$H$3,'Revenue MLR'!$L$17,TRUE)</f>
        <v>9.8391627310406932E-2</v>
      </c>
      <c r="D27" s="45">
        <f t="shared" si="0"/>
        <v>1.2323498650178052E-2</v>
      </c>
      <c r="E27" s="45"/>
    </row>
    <row r="28" spans="2:5" x14ac:dyDescent="0.25">
      <c r="B28">
        <f t="shared" si="1"/>
        <v>120000</v>
      </c>
      <c r="C28" s="45">
        <f>_xlfn.NORM.DIST(B28,'MLR Visualization'!$H$3,'Revenue MLR'!$L$17,TRUE)</f>
        <v>0.11196019904083532</v>
      </c>
      <c r="D28" s="45">
        <f t="shared" si="0"/>
        <v>1.3568571730428386E-2</v>
      </c>
      <c r="E28" s="45">
        <f>1-C27</f>
        <v>0.90160837268959304</v>
      </c>
    </row>
    <row r="29" spans="2:5" x14ac:dyDescent="0.25">
      <c r="B29">
        <f t="shared" si="1"/>
        <v>121000</v>
      </c>
      <c r="C29" s="45">
        <f>_xlfn.NORM.DIST(B29,'MLR Visualization'!$H$3,'Revenue MLR'!$L$17,TRUE)</f>
        <v>0.12681676295670188</v>
      </c>
      <c r="D29" s="45">
        <f t="shared" si="0"/>
        <v>1.4856563915866566E-2</v>
      </c>
    </row>
    <row r="30" spans="2:5" x14ac:dyDescent="0.25">
      <c r="B30">
        <f t="shared" si="1"/>
        <v>122000</v>
      </c>
      <c r="C30" s="45">
        <f>_xlfn.NORM.DIST(B30,'MLR Visualization'!$H$3,'Revenue MLR'!$L$17,TRUE)</f>
        <v>0.14299334424244153</v>
      </c>
      <c r="D30" s="45">
        <f t="shared" si="0"/>
        <v>1.617658128573965E-2</v>
      </c>
    </row>
    <row r="31" spans="2:5" x14ac:dyDescent="0.25">
      <c r="B31">
        <f t="shared" si="1"/>
        <v>123000</v>
      </c>
      <c r="C31" s="45">
        <f>_xlfn.NORM.DIST(B31,'MLR Visualization'!$H$3,'Revenue MLR'!$L$17,TRUE)</f>
        <v>0.16050951784849513</v>
      </c>
      <c r="D31" s="45">
        <f t="shared" si="0"/>
        <v>1.7516173606053592E-2</v>
      </c>
    </row>
    <row r="32" spans="2:5" x14ac:dyDescent="0.25">
      <c r="B32">
        <f t="shared" si="1"/>
        <v>124000</v>
      </c>
      <c r="C32" s="45">
        <f>_xlfn.NORM.DIST(B32,'MLR Visualization'!$H$3,'Revenue MLR'!$L$17,TRUE)</f>
        <v>0.17937100210291171</v>
      </c>
      <c r="D32" s="45">
        <f t="shared" si="0"/>
        <v>1.8861484254416583E-2</v>
      </c>
    </row>
    <row r="33" spans="2:5" x14ac:dyDescent="0.25">
      <c r="B33">
        <f t="shared" si="1"/>
        <v>125000</v>
      </c>
      <c r="C33" s="45">
        <f>_xlfn.NORM.DIST(B33,'MLR Visualization'!$H$3,'Revenue MLR'!$L$17,TRUE)</f>
        <v>0.19956845564580469</v>
      </c>
      <c r="D33" s="45">
        <f t="shared" si="0"/>
        <v>2.0197453542892985E-2</v>
      </c>
    </row>
    <row r="34" spans="2:5" x14ac:dyDescent="0.25">
      <c r="B34">
        <f t="shared" si="1"/>
        <v>126000</v>
      </c>
      <c r="C34" s="45">
        <f>_xlfn.NORM.DIST(B34,'MLR Visualization'!$H$3,'Revenue MLR'!$L$17,TRUE)</f>
        <v>0.22107652847350615</v>
      </c>
      <c r="D34" s="45">
        <f t="shared" si="0"/>
        <v>2.1508072827701452E-2</v>
      </c>
    </row>
    <row r="35" spans="2:5" x14ac:dyDescent="0.25">
      <c r="B35">
        <f t="shared" si="1"/>
        <v>127000</v>
      </c>
      <c r="C35" s="45">
        <f>_xlfn.NORM.DIST(B35,'MLR Visualization'!$H$3,'Revenue MLR'!$L$17,TRUE)</f>
        <v>0.24385321301938917</v>
      </c>
      <c r="D35" s="45">
        <f t="shared" si="0"/>
        <v>2.2776684545883025E-2</v>
      </c>
    </row>
    <row r="36" spans="2:5" x14ac:dyDescent="0.25">
      <c r="B36">
        <f t="shared" si="1"/>
        <v>128000</v>
      </c>
      <c r="C36" s="45">
        <f>_xlfn.NORM.DIST(B36,'MLR Visualization'!$H$3,'Revenue MLR'!$L$17,TRUE)</f>
        <v>0.26783953414038708</v>
      </c>
      <c r="D36" s="45">
        <f t="shared" si="0"/>
        <v>2.3986321120997911E-2</v>
      </c>
    </row>
    <row r="37" spans="2:5" x14ac:dyDescent="0.25">
      <c r="B37">
        <f t="shared" si="1"/>
        <v>129000</v>
      </c>
      <c r="C37" s="45">
        <f>_xlfn.NORM.DIST(B37,'MLR Visualization'!$H$3,'Revenue MLR'!$L$17,TRUE)</f>
        <v>0.29295960778964569</v>
      </c>
      <c r="D37" s="45">
        <f t="shared" si="0"/>
        <v>2.5120073649258612E-2</v>
      </c>
    </row>
    <row r="38" spans="2:5" x14ac:dyDescent="0.25">
      <c r="B38">
        <f t="shared" si="1"/>
        <v>130000</v>
      </c>
      <c r="C38" s="45">
        <f>_xlfn.NORM.DIST(B38,'MLR Visualization'!$H$3,'Revenue MLR'!$L$17,TRUE)</f>
        <v>0.31912108731935229</v>
      </c>
      <c r="D38" s="45">
        <f t="shared" si="0"/>
        <v>2.6161479529706599E-2</v>
      </c>
    </row>
    <row r="39" spans="2:5" x14ac:dyDescent="0.25">
      <c r="B39">
        <f t="shared" si="1"/>
        <v>131000</v>
      </c>
      <c r="C39" s="45">
        <f>_xlfn.NORM.DIST(B39,'MLR Visualization'!$H$3,'Revenue MLR'!$L$17,TRUE)</f>
        <v>0.3462160041632879</v>
      </c>
      <c r="D39" s="45">
        <f t="shared" si="0"/>
        <v>2.7094916843935613E-2</v>
      </c>
    </row>
    <row r="40" spans="2:5" x14ac:dyDescent="0.25">
      <c r="B40">
        <f t="shared" si="1"/>
        <v>132000</v>
      </c>
      <c r="C40" s="45">
        <f>_xlfn.NORM.DIST(B40,'MLR Visualization'!$H$3,'Revenue MLR'!$L$17,TRUE)</f>
        <v>0.37412199657674139</v>
      </c>
      <c r="D40" s="45">
        <f t="shared" si="0"/>
        <v>2.7905992413453484E-2</v>
      </c>
    </row>
    <row r="41" spans="2:5" x14ac:dyDescent="0.25">
      <c r="B41">
        <f t="shared" si="1"/>
        <v>133000</v>
      </c>
      <c r="C41" s="45">
        <f>_xlfn.NORM.DIST(B41,'MLR Visualization'!$H$3,'Revenue MLR'!$L$17,TRUE)</f>
        <v>0.40270390671144751</v>
      </c>
      <c r="D41" s="45">
        <f t="shared" si="0"/>
        <v>2.8581910134706123E-2</v>
      </c>
    </row>
    <row r="42" spans="2:5" x14ac:dyDescent="0.25">
      <c r="B42">
        <f t="shared" si="1"/>
        <v>134000</v>
      </c>
      <c r="C42" s="45">
        <f>_xlfn.NORM.DIST(B42,'MLR Visualization'!$H$3,'Revenue MLR'!$L$17,TRUE)</f>
        <v>0.43181571316540263</v>
      </c>
      <c r="D42" s="45">
        <f t="shared" si="0"/>
        <v>2.9111806453955114E-2</v>
      </c>
      <c r="E42" s="45"/>
    </row>
    <row r="43" spans="2:5" x14ac:dyDescent="0.25">
      <c r="B43">
        <f t="shared" si="1"/>
        <v>135000</v>
      </c>
      <c r="C43" s="45">
        <f>_xlfn.NORM.DIST(B43,'MLR Visualization'!$H$3,'Revenue MLR'!$L$17,TRUE)</f>
        <v>0.46130275387142039</v>
      </c>
      <c r="D43" s="45">
        <f t="shared" si="0"/>
        <v>2.9487040706017764E-2</v>
      </c>
    </row>
    <row r="44" spans="2:5" x14ac:dyDescent="0.25">
      <c r="B44">
        <f t="shared" si="1"/>
        <v>136000</v>
      </c>
      <c r="C44" s="45">
        <f>_xlfn.NORM.DIST(B44,'MLR Visualization'!$H$3,'Revenue MLR'!$L$17,TRUE)</f>
        <v>0.49100418334988927</v>
      </c>
      <c r="D44" s="45">
        <f t="shared" si="0"/>
        <v>2.9701429478468877E-2</v>
      </c>
    </row>
    <row r="45" spans="2:5" x14ac:dyDescent="0.25">
      <c r="B45">
        <f t="shared" si="1"/>
        <v>137000</v>
      </c>
      <c r="C45" s="45">
        <f>_xlfn.NORM.DIST(B45,'MLR Visualization'!$H$3,'Revenue MLR'!$L$17,TRUE)</f>
        <v>0.52075559946937311</v>
      </c>
      <c r="D45" s="45">
        <f t="shared" si="0"/>
        <v>2.9751416119483842E-2</v>
      </c>
    </row>
    <row r="46" spans="2:5" x14ac:dyDescent="0.25">
      <c r="B46">
        <f t="shared" si="1"/>
        <v>138000</v>
      </c>
      <c r="C46" s="45">
        <f>_xlfn.NORM.DIST(B46,'MLR Visualization'!$H$3,'Revenue MLR'!$L$17,TRUE)</f>
        <v>0.55039176836536718</v>
      </c>
      <c r="D46" s="45">
        <f t="shared" si="0"/>
        <v>2.9636168895994075E-2</v>
      </c>
    </row>
    <row r="47" spans="2:5" x14ac:dyDescent="0.25">
      <c r="B47">
        <f t="shared" si="1"/>
        <v>139000</v>
      </c>
      <c r="C47" s="45">
        <f>_xlfn.NORM.DIST(B47,'MLR Visualization'!$H$3,'Revenue MLR'!$L$17,TRUE)</f>
        <v>0.57974937238190216</v>
      </c>
      <c r="D47" s="45">
        <f t="shared" si="0"/>
        <v>2.9357604016534977E-2</v>
      </c>
    </row>
    <row r="48" spans="2:5" x14ac:dyDescent="0.25">
      <c r="B48">
        <f t="shared" si="1"/>
        <v>140000</v>
      </c>
      <c r="C48" s="45">
        <f>_xlfn.NORM.DIST(B48,'MLR Visualization'!$H$3,'Revenue MLR'!$L$17,TRUE)</f>
        <v>0.60866970501013262</v>
      </c>
      <c r="D48" s="45">
        <f t="shared" si="0"/>
        <v>2.8920332628230461E-2</v>
      </c>
      <c r="E48" s="45"/>
    </row>
    <row r="49" spans="2:5" x14ac:dyDescent="0.25">
      <c r="B49">
        <f t="shared" si="1"/>
        <v>141000</v>
      </c>
      <c r="C49" s="45">
        <f>_xlfn.NORM.DIST(B49,'MLR Visualization'!$H$3,'Revenue MLR'!$L$17,TRUE)</f>
        <v>0.63700123884677895</v>
      </c>
      <c r="D49" s="45">
        <f t="shared" si="0"/>
        <v>2.8331533836646328E-2</v>
      </c>
      <c r="E49" s="45"/>
    </row>
    <row r="50" spans="2:5" x14ac:dyDescent="0.25">
      <c r="B50">
        <f t="shared" si="1"/>
        <v>142000</v>
      </c>
      <c r="C50" s="45">
        <f>_xlfn.NORM.DIST(B50,'MLR Visualization'!$H$3,'Revenue MLR'!$L$17,TRUE)</f>
        <v>0.66460199748166227</v>
      </c>
      <c r="D50" s="45">
        <f t="shared" si="0"/>
        <v>2.7600758634883316E-2</v>
      </c>
    </row>
    <row r="51" spans="2:5" x14ac:dyDescent="0.25">
      <c r="B51">
        <f t="shared" si="1"/>
        <v>143000</v>
      </c>
      <c r="C51" s="45">
        <f>_xlfn.NORM.DIST(B51,'MLR Visualization'!$H$3,'Revenue MLR'!$L$17,TRUE)</f>
        <v>0.69134166970629796</v>
      </c>
      <c r="D51" s="45">
        <f t="shared" si="0"/>
        <v>2.6739672224635691E-2</v>
      </c>
    </row>
    <row r="52" spans="2:5" x14ac:dyDescent="0.25">
      <c r="B52">
        <f t="shared" si="1"/>
        <v>144000</v>
      </c>
      <c r="C52" s="45">
        <f>_xlfn.NORM.DIST(B52,'MLR Visualization'!$H$3,'Revenue MLR'!$L$17,TRUE)</f>
        <v>0.71710341414810086</v>
      </c>
      <c r="D52" s="45">
        <f t="shared" si="0"/>
        <v>2.5761744441802903E-2</v>
      </c>
    </row>
    <row r="53" spans="2:5" x14ac:dyDescent="0.25">
      <c r="B53">
        <f t="shared" si="1"/>
        <v>145000</v>
      </c>
      <c r="C53" s="45">
        <f>_xlfn.NORM.DIST(B53,'MLR Visualization'!$H$3,'Revenue MLR'!$L$17,TRUE)</f>
        <v>0.74178531390752744</v>
      </c>
      <c r="D53" s="45">
        <f t="shared" si="0"/>
        <v>2.4681899759426584E-2</v>
      </c>
    </row>
    <row r="54" spans="2:5" x14ac:dyDescent="0.25">
      <c r="B54">
        <f t="shared" si="1"/>
        <v>146000</v>
      </c>
      <c r="C54" s="45">
        <f>_xlfn.NORM.DIST(B54,'MLR Visualization'!$H$3,'Revenue MLR'!$L$17,TRUE)</f>
        <v>0.7653014534631446</v>
      </c>
      <c r="D54" s="45">
        <f t="shared" si="0"/>
        <v>2.3516139555617155E-2</v>
      </c>
    </row>
    <row r="55" spans="2:5" x14ac:dyDescent="0.25">
      <c r="B55">
        <f t="shared" si="1"/>
        <v>147000</v>
      </c>
      <c r="C55" s="45">
        <f>_xlfn.NORM.DIST(B55,'MLR Visualization'!$H$3,'Revenue MLR'!$L$17,TRUE)</f>
        <v>0.78758260342298203</v>
      </c>
      <c r="D55" s="45">
        <f t="shared" si="0"/>
        <v>2.2281149959837432E-2</v>
      </c>
    </row>
    <row r="56" spans="2:5" x14ac:dyDescent="0.25">
      <c r="B56">
        <f t="shared" si="1"/>
        <v>148000</v>
      </c>
      <c r="C56" s="45">
        <f>_xlfn.NORM.DIST(B56,'MLR Visualization'!$H$3,'Revenue MLR'!$L$17,TRUE)</f>
        <v>0.80857651203972336</v>
      </c>
      <c r="D56" s="45">
        <f t="shared" si="0"/>
        <v>2.099390861674133E-2</v>
      </c>
    </row>
    <row r="57" spans="2:5" x14ac:dyDescent="0.25">
      <c r="B57">
        <f t="shared" si="1"/>
        <v>149000</v>
      </c>
      <c r="C57" s="45">
        <f>_xlfn.NORM.DIST(B57,'MLR Visualization'!$H$3,'Revenue MLR'!$L$17,TRUE)</f>
        <v>0.82824781519466573</v>
      </c>
      <c r="D57" s="45">
        <f t="shared" si="0"/>
        <v>1.9671303154942366E-2</v>
      </c>
    </row>
    <row r="58" spans="2:5" x14ac:dyDescent="0.25">
      <c r="B58">
        <f t="shared" si="1"/>
        <v>150000</v>
      </c>
      <c r="C58" s="45">
        <f>_xlfn.NORM.DIST(B58,'MLR Visualization'!$H$3,'Revenue MLR'!$L$17,TRUE)</f>
        <v>0.84657758826568286</v>
      </c>
      <c r="D58" s="45">
        <f t="shared" si="0"/>
        <v>1.832977307101713E-2</v>
      </c>
    </row>
    <row r="59" spans="2:5" x14ac:dyDescent="0.25">
      <c r="B59">
        <f t="shared" si="1"/>
        <v>151000</v>
      </c>
      <c r="C59" s="45">
        <f>_xlfn.NORM.DIST(B59,'MLR Visualization'!$H$3,'Revenue MLR'!$L$17,TRUE)</f>
        <v>0.86356257348061394</v>
      </c>
      <c r="D59" s="45">
        <f t="shared" si="0"/>
        <v>1.6984985214931081E-2</v>
      </c>
    </row>
    <row r="60" spans="2:5" x14ac:dyDescent="0.25">
      <c r="B60">
        <f t="shared" si="1"/>
        <v>152000</v>
      </c>
      <c r="C60" s="45">
        <f>_xlfn.NORM.DIST(B60,'MLR Visualization'!$H$3,'Revenue MLR'!$L$17,TRUE)</f>
        <v>0.87921412467063809</v>
      </c>
      <c r="D60" s="45">
        <f t="shared" si="0"/>
        <v>1.5651551190024149E-2</v>
      </c>
    </row>
    <row r="61" spans="2:5" x14ac:dyDescent="0.25">
      <c r="B61">
        <f t="shared" si="1"/>
        <v>153000</v>
      </c>
      <c r="C61" s="45">
        <f>_xlfn.NORM.DIST(B61,'MLR Visualization'!$H$3,'Revenue MLR'!$L$17,TRUE)</f>
        <v>0.89355691754043742</v>
      </c>
      <c r="D61" s="45">
        <f t="shared" si="0"/>
        <v>1.4342792869799337E-2</v>
      </c>
    </row>
    <row r="62" spans="2:5" x14ac:dyDescent="0.25">
      <c r="B62">
        <f t="shared" si="1"/>
        <v>154000</v>
      </c>
      <c r="C62" s="45">
        <f>_xlfn.NORM.DIST(B62,'MLR Visualization'!$H$3,'Revenue MLR'!$L$17,TRUE)</f>
        <v>0.90662747754231277</v>
      </c>
      <c r="D62" s="45">
        <f t="shared" si="0"/>
        <v>1.3070560001875342E-2</v>
      </c>
    </row>
    <row r="63" spans="2:5" x14ac:dyDescent="0.25">
      <c r="B63">
        <f t="shared" si="1"/>
        <v>155000</v>
      </c>
      <c r="C63" s="45">
        <f>_xlfn.NORM.DIST(B63,'MLR Visualization'!$H$3,'Revenue MLR'!$L$17,TRUE)</f>
        <v>0.91847257917424718</v>
      </c>
      <c r="D63" s="45">
        <f t="shared" si="0"/>
        <v>1.1845101631934418E-2</v>
      </c>
    </row>
    <row r="64" spans="2:5" x14ac:dyDescent="0.25">
      <c r="B64">
        <f t="shared" si="1"/>
        <v>156000</v>
      </c>
      <c r="C64" s="45">
        <f>_xlfn.NORM.DIST(B64,'MLR Visualization'!$H$3,'Revenue MLR'!$L$17,TRUE)</f>
        <v>0.92914757011875648</v>
      </c>
      <c r="D64" s="45">
        <f t="shared" si="0"/>
        <v>1.0674990944509299E-2</v>
      </c>
    </row>
    <row r="65" spans="2:4" x14ac:dyDescent="0.25">
      <c r="B65">
        <f t="shared" si="1"/>
        <v>157000</v>
      </c>
      <c r="C65" s="45">
        <f>_xlfn.NORM.DIST(B65,'MLR Visualization'!$H$3,'Revenue MLR'!$L$17,TRUE)</f>
        <v>0.93871467129526365</v>
      </c>
      <c r="D65" s="45">
        <f t="shared" si="0"/>
        <v>9.5671011765071645E-3</v>
      </c>
    </row>
    <row r="66" spans="2:4" x14ac:dyDescent="0.25">
      <c r="B66">
        <f t="shared" si="1"/>
        <v>158000</v>
      </c>
      <c r="C66" s="45">
        <f>_xlfn.NORM.DIST(B66,'MLR Visualization'!$H$3,'Revenue MLR'!$L$17,TRUE)</f>
        <v>0.9472412998840879</v>
      </c>
      <c r="D66" s="45">
        <f t="shared" si="0"/>
        <v>8.5266285888242477E-3</v>
      </c>
    </row>
    <row r="67" spans="2:4" x14ac:dyDescent="0.25">
      <c r="B67">
        <f t="shared" si="1"/>
        <v>159000</v>
      </c>
      <c r="C67" s="45">
        <f>_xlfn.NORM.DIST(B67,'MLR Visualization'!$H$3,'Revenue MLR'!$L$17,TRUE)</f>
        <v>0.95479845701986898</v>
      </c>
      <c r="D67" s="45">
        <f t="shared" si="0"/>
        <v>7.5571571357810896E-3</v>
      </c>
    </row>
    <row r="68" spans="2:4" x14ac:dyDescent="0.25">
      <c r="B68">
        <f t="shared" si="1"/>
        <v>160000</v>
      </c>
      <c r="C68" s="45">
        <f>_xlfn.NORM.DIST(B68,'MLR Visualization'!$H$3,'Revenue MLR'!$L$17,TRUE)</f>
        <v>0.96145921550364177</v>
      </c>
      <c r="D68" s="45">
        <f t="shared" si="0"/>
        <v>6.6607584837727885E-3</v>
      </c>
    </row>
    <row r="69" spans="2:4" x14ac:dyDescent="0.25">
      <c r="B69">
        <f t="shared" si="1"/>
        <v>161000</v>
      </c>
      <c r="C69" s="45">
        <f>_xlfn.NORM.DIST(B69,'MLR Visualization'!$H$3,'Revenue MLR'!$L$17,TRUE)</f>
        <v>0.9672973359135979</v>
      </c>
      <c r="D69" s="45">
        <f t="shared" ref="D69:D83" si="2">C69-C68</f>
        <v>5.8381204099561268E-3</v>
      </c>
    </row>
    <row r="70" spans="2:4" x14ac:dyDescent="0.25">
      <c r="B70">
        <f t="shared" ref="B70:B84" si="3">B69+1000</f>
        <v>162000</v>
      </c>
      <c r="C70" s="45">
        <f>_xlfn.NORM.DIST(B70,'MLR Visualization'!$H$3,'Revenue MLR'!$L$17,TRUE)</f>
        <v>0.97238603226279796</v>
      </c>
      <c r="D70" s="45">
        <f t="shared" si="2"/>
        <v>5.0886963492000614E-3</v>
      </c>
    </row>
    <row r="71" spans="2:4" x14ac:dyDescent="0.25">
      <c r="B71">
        <f t="shared" si="3"/>
        <v>163000</v>
      </c>
      <c r="C71" s="45">
        <f>_xlfn.NORM.DIST(B71,'MLR Visualization'!$H$3,'Revenue MLR'!$L$17,TRUE)</f>
        <v>0.97679690118833884</v>
      </c>
      <c r="D71" s="45">
        <f t="shared" si="2"/>
        <v>4.4108689255408784E-3</v>
      </c>
    </row>
    <row r="72" spans="2:4" x14ac:dyDescent="0.25">
      <c r="B72">
        <f t="shared" si="3"/>
        <v>164000</v>
      </c>
      <c r="C72" s="45">
        <f>_xlfn.NORM.DIST(B72,'MLR Visualization'!$H$3,'Revenue MLR'!$L$17,TRUE)</f>
        <v>0.98059902184991676</v>
      </c>
      <c r="D72" s="45">
        <f t="shared" si="2"/>
        <v>3.8021206615779235E-3</v>
      </c>
    </row>
    <row r="73" spans="2:4" x14ac:dyDescent="0.25">
      <c r="B73">
        <f t="shared" si="3"/>
        <v>165000</v>
      </c>
      <c r="C73" s="45">
        <f>_xlfn.NORM.DIST(B73,'MLR Visualization'!$H$3,'Revenue MLR'!$L$17,TRUE)</f>
        <v>0.98385822750402607</v>
      </c>
      <c r="D73" s="45">
        <f t="shared" si="2"/>
        <v>3.2592056541093095E-3</v>
      </c>
    </row>
    <row r="74" spans="2:4" x14ac:dyDescent="0.25">
      <c r="B74">
        <f t="shared" si="3"/>
        <v>166000</v>
      </c>
      <c r="C74" s="45">
        <f>_xlfn.NORM.DIST(B74,'MLR Visualization'!$H$3,'Revenue MLR'!$L$17,TRUE)</f>
        <v>0.98663654428342584</v>
      </c>
      <c r="D74" s="45">
        <f t="shared" si="2"/>
        <v>2.7783167793997698E-3</v>
      </c>
    </row>
    <row r="75" spans="2:4" x14ac:dyDescent="0.25">
      <c r="B75">
        <f t="shared" si="3"/>
        <v>167000</v>
      </c>
      <c r="C75" s="45">
        <f>_xlfn.NORM.DIST(B75,'MLR Visualization'!$H$3,'Revenue MLR'!$L$17,TRUE)</f>
        <v>0.98899178817084432</v>
      </c>
      <c r="D75" s="45">
        <f t="shared" si="2"/>
        <v>2.3552438874184789E-3</v>
      </c>
    </row>
    <row r="76" spans="2:4" x14ac:dyDescent="0.25">
      <c r="B76">
        <f t="shared" si="3"/>
        <v>168000</v>
      </c>
      <c r="C76" s="45">
        <f>_xlfn.NORM.DIST(B76,'MLR Visualization'!$H$3,'Revenue MLR'!$L$17,TRUE)</f>
        <v>0.99097730757429547</v>
      </c>
      <c r="D76" s="45">
        <f t="shared" si="2"/>
        <v>1.9855194034511525E-3</v>
      </c>
    </row>
    <row r="77" spans="2:4" x14ac:dyDescent="0.25">
      <c r="B77">
        <f t="shared" si="3"/>
        <v>169000</v>
      </c>
      <c r="C77" s="45">
        <f>_xlfn.NORM.DIST(B77,'MLR Visualization'!$H$3,'Revenue MLR'!$L$17,TRUE)</f>
        <v>0.99264185629898649</v>
      </c>
      <c r="D77" s="45">
        <f t="shared" si="2"/>
        <v>1.6645487246910173E-3</v>
      </c>
    </row>
    <row r="78" spans="2:4" x14ac:dyDescent="0.25">
      <c r="B78">
        <f t="shared" si="3"/>
        <v>170000</v>
      </c>
      <c r="C78" s="45">
        <f>_xlfn.NORM.DIST(B78,'MLR Visualization'!$H$3,'Revenue MLR'!$L$17,TRUE)</f>
        <v>0.99402958003172148</v>
      </c>
      <c r="D78" s="45">
        <f t="shared" si="2"/>
        <v>1.3877237327349912E-3</v>
      </c>
    </row>
    <row r="79" spans="2:4" x14ac:dyDescent="0.25">
      <c r="B79">
        <f t="shared" si="3"/>
        <v>171000</v>
      </c>
      <c r="C79" s="45">
        <f>_xlfn.NORM.DIST(B79,'MLR Visualization'!$H$3,'Revenue MLR'!$L$17,TRUE)</f>
        <v>0.99518009863466828</v>
      </c>
      <c r="D79" s="45">
        <f t="shared" si="2"/>
        <v>1.1505186029467929E-3</v>
      </c>
    </row>
    <row r="80" spans="2:4" x14ac:dyDescent="0.25">
      <c r="B80">
        <f t="shared" si="3"/>
        <v>172000</v>
      </c>
      <c r="C80" s="45">
        <f>_xlfn.NORM.DIST(B80,'MLR Visualization'!$H$3,'Revenue MLR'!$L$17,TRUE)</f>
        <v>0.99612866648506804</v>
      </c>
      <c r="D80" s="45">
        <f t="shared" si="2"/>
        <v>9.4856785039976188E-4</v>
      </c>
    </row>
    <row r="81" spans="2:4" x14ac:dyDescent="0.25">
      <c r="B81">
        <f t="shared" si="3"/>
        <v>173000</v>
      </c>
      <c r="C81" s="45">
        <f>_xlfn.NORM.DIST(B81,'MLR Visualization'!$H$3,'Revenue MLR'!$L$17,TRUE)</f>
        <v>0.99690639367612044</v>
      </c>
      <c r="D81" s="45">
        <f t="shared" si="2"/>
        <v>7.7772719105240196E-4</v>
      </c>
    </row>
    <row r="82" spans="2:4" x14ac:dyDescent="0.25">
      <c r="B82">
        <f t="shared" si="3"/>
        <v>174000</v>
      </c>
      <c r="C82" s="45">
        <f>_xlfn.NORM.DIST(B82,'MLR Visualization'!$H$3,'Revenue MLR'!$L$17,TRUE)</f>
        <v>0.99754051198260685</v>
      </c>
      <c r="D82" s="45">
        <f t="shared" si="2"/>
        <v>6.3411830648640866E-4</v>
      </c>
    </row>
    <row r="83" spans="2:4" x14ac:dyDescent="0.25">
      <c r="B83">
        <f t="shared" si="3"/>
        <v>175000</v>
      </c>
      <c r="C83" s="45">
        <f>_xlfn.NORM.DIST(B83,'MLR Visualization'!$H$3,'Revenue MLR'!$L$17,TRUE)</f>
        <v>0.9980546709621605</v>
      </c>
      <c r="D83" s="45">
        <f t="shared" si="2"/>
        <v>5.141589795536472E-4</v>
      </c>
    </row>
    <row r="84" spans="2:4" x14ac:dyDescent="0.25">
      <c r="B84">
        <f t="shared" si="3"/>
        <v>176000</v>
      </c>
      <c r="C84" s="45">
        <f>_xlfn.NORM.DIST(B84,'MLR Visualization'!$H$3,'Revenue MLR'!$L$17,TRUE)</f>
        <v>0.99846925128420794</v>
      </c>
      <c r="D84" s="45">
        <f t="shared" ref="D84" si="4">C84-C83</f>
        <v>4.14580322047442E-4</v>
      </c>
    </row>
    <row r="85" spans="2:4" x14ac:dyDescent="0.25">
      <c r="C85" s="45"/>
      <c r="D85" s="45"/>
    </row>
    <row r="86" spans="2:4" x14ac:dyDescent="0.25">
      <c r="C86" s="45"/>
      <c r="D86" s="45"/>
    </row>
    <row r="87" spans="2:4" x14ac:dyDescent="0.25">
      <c r="C87" s="45"/>
      <c r="D87" s="45"/>
    </row>
    <row r="88" spans="2:4" x14ac:dyDescent="0.25">
      <c r="C88" s="45"/>
      <c r="D88" s="45"/>
    </row>
    <row r="89" spans="2:4" x14ac:dyDescent="0.25">
      <c r="C89" s="45"/>
      <c r="D89" s="45"/>
    </row>
    <row r="90" spans="2:4" x14ac:dyDescent="0.25">
      <c r="C90" s="45"/>
      <c r="D90" s="45"/>
    </row>
    <row r="91" spans="2:4" x14ac:dyDescent="0.25">
      <c r="D91" s="4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87823-A139-4D39-A0AE-3A240FA05E6F}">
  <dimension ref="A1:DB45"/>
  <sheetViews>
    <sheetView workbookViewId="0">
      <pane xSplit="2" topLeftCell="C1" activePane="topRight" state="frozen"/>
      <selection pane="topRight" activeCell="U33" sqref="U33"/>
    </sheetView>
  </sheetViews>
  <sheetFormatPr defaultRowHeight="15" customHeight="1" x14ac:dyDescent="0.25"/>
  <cols>
    <col min="56" max="56" width="19.42578125" customWidth="1"/>
    <col min="58" max="58" width="9.140625" bestFit="1" customWidth="1"/>
    <col min="59" max="61" width="8.7109375" bestFit="1" customWidth="1"/>
  </cols>
  <sheetData>
    <row r="1" spans="1:106" x14ac:dyDescent="0.25">
      <c r="B1" t="s">
        <v>304</v>
      </c>
      <c r="C1" t="s">
        <v>305</v>
      </c>
      <c r="D1" t="s">
        <v>211</v>
      </c>
      <c r="E1" t="s">
        <v>306</v>
      </c>
      <c r="F1" t="s">
        <v>307</v>
      </c>
      <c r="G1" t="s">
        <v>308</v>
      </c>
      <c r="H1" t="s">
        <v>309</v>
      </c>
      <c r="I1" t="s">
        <v>310</v>
      </c>
      <c r="J1" t="s">
        <v>311</v>
      </c>
      <c r="K1" t="s">
        <v>312</v>
      </c>
      <c r="L1" t="s">
        <v>313</v>
      </c>
      <c r="M1" t="s">
        <v>314</v>
      </c>
      <c r="N1" t="s">
        <v>315</v>
      </c>
      <c r="P1" t="s">
        <v>304</v>
      </c>
      <c r="Q1" t="s">
        <v>316</v>
      </c>
      <c r="R1" t="s">
        <v>317</v>
      </c>
      <c r="S1" t="s">
        <v>318</v>
      </c>
      <c r="T1" t="s">
        <v>319</v>
      </c>
      <c r="U1" t="s">
        <v>289</v>
      </c>
      <c r="V1" t="s">
        <v>320</v>
      </c>
      <c r="X1" t="s">
        <v>321</v>
      </c>
      <c r="Y1" t="s">
        <v>317</v>
      </c>
      <c r="Z1" t="s">
        <v>318</v>
      </c>
      <c r="AA1" t="s">
        <v>319</v>
      </c>
      <c r="AB1" t="s">
        <v>289</v>
      </c>
      <c r="AD1" t="s">
        <v>321</v>
      </c>
      <c r="AE1" t="s">
        <v>317</v>
      </c>
      <c r="AF1" t="s">
        <v>318</v>
      </c>
      <c r="AG1" t="s">
        <v>319</v>
      </c>
      <c r="AH1" t="s">
        <v>289</v>
      </c>
      <c r="CQ1" t="s">
        <v>304</v>
      </c>
      <c r="CR1" t="s">
        <v>322</v>
      </c>
      <c r="CS1" t="s">
        <v>323</v>
      </c>
      <c r="CT1" t="s">
        <v>324</v>
      </c>
      <c r="CU1" t="s">
        <v>325</v>
      </c>
      <c r="CV1" t="s">
        <v>326</v>
      </c>
      <c r="CW1" t="s">
        <v>327</v>
      </c>
      <c r="CX1" t="s">
        <v>328</v>
      </c>
      <c r="CY1" t="s">
        <v>329</v>
      </c>
      <c r="CZ1" t="s">
        <v>330</v>
      </c>
      <c r="DB1" t="s">
        <v>331</v>
      </c>
    </row>
    <row r="2" spans="1:106" x14ac:dyDescent="0.25">
      <c r="B2" s="182" t="s">
        <v>332</v>
      </c>
      <c r="C2">
        <v>357.93599999999998</v>
      </c>
      <c r="D2">
        <f>40.072+13.623</f>
        <v>53.695</v>
      </c>
      <c r="E2" s="45">
        <f t="shared" ref="E2:E16" si="0">D2/C2</f>
        <v>0.15001285145947879</v>
      </c>
      <c r="F2">
        <f>40.072</f>
        <v>40.072000000000003</v>
      </c>
      <c r="G2">
        <v>39.854999999999997</v>
      </c>
      <c r="H2">
        <v>184.483</v>
      </c>
      <c r="I2">
        <v>58.718000000000004</v>
      </c>
      <c r="J2">
        <v>96.951999999999998</v>
      </c>
      <c r="L2">
        <f t="shared" ref="L2:L16" si="1">I2-K2</f>
        <v>58.718000000000004</v>
      </c>
      <c r="M2">
        <f t="shared" ref="M2:M16" si="2">H2-G2-J2</f>
        <v>47.676000000000016</v>
      </c>
      <c r="N2" s="45">
        <f t="shared" ref="N2:N16" si="3">F2/(M2+L2)</f>
        <v>0.37663778032595818</v>
      </c>
      <c r="O2" s="45"/>
      <c r="P2" s="182" t="s">
        <v>332</v>
      </c>
      <c r="Q2">
        <v>21.983000000000001</v>
      </c>
      <c r="R2">
        <v>23.091999999999999</v>
      </c>
      <c r="S2">
        <v>13.622999999999999</v>
      </c>
      <c r="T2">
        <v>3.2839999999999998</v>
      </c>
      <c r="U2">
        <f t="shared" ref="U2:U10" si="4">R2-S2-T2</f>
        <v>6.1849999999999996</v>
      </c>
      <c r="V2" s="111">
        <f>U2/Q2</f>
        <v>0.28135377337033157</v>
      </c>
      <c r="CQ2" s="182" t="s">
        <v>332</v>
      </c>
      <c r="CR2">
        <v>357.92599999999999</v>
      </c>
      <c r="CS2">
        <v>238.46299999999999</v>
      </c>
      <c r="CT2">
        <v>73.459000000000003</v>
      </c>
      <c r="CU2">
        <v>50.725000000000001</v>
      </c>
      <c r="CV2">
        <v>29.257999999999999</v>
      </c>
      <c r="CW2">
        <f>(CU2/CS2)*365</f>
        <v>77.64149993919392</v>
      </c>
      <c r="CX2">
        <f>(CT2/CR2)*365</f>
        <v>74.910833524248034</v>
      </c>
      <c r="CY2">
        <f t="shared" ref="CY2:CY15" si="5">(CV2/DB2)*365</f>
        <v>43.155310576701595</v>
      </c>
      <c r="CZ2">
        <f>CW2+CX2-CY2</f>
        <v>109.39702288674036</v>
      </c>
      <c r="DB2">
        <f>(CU2-41.729)+CS2</f>
        <v>247.459</v>
      </c>
    </row>
    <row r="3" spans="1:106" x14ac:dyDescent="0.25">
      <c r="B3" t="s">
        <v>333</v>
      </c>
      <c r="C3">
        <v>342.233</v>
      </c>
      <c r="D3">
        <f>17.791+14.935</f>
        <v>32.725999999999999</v>
      </c>
      <c r="E3" s="45">
        <f t="shared" si="0"/>
        <v>9.5624910514181857E-2</v>
      </c>
      <c r="F3">
        <f>17.791</f>
        <v>17.791</v>
      </c>
      <c r="G3">
        <v>58.292000000000002</v>
      </c>
      <c r="H3">
        <v>203.61099999999999</v>
      </c>
      <c r="I3">
        <v>62.39</v>
      </c>
      <c r="J3">
        <v>122.294</v>
      </c>
      <c r="L3">
        <f t="shared" si="1"/>
        <v>62.39</v>
      </c>
      <c r="M3">
        <f t="shared" si="2"/>
        <v>23.024999999999991</v>
      </c>
      <c r="N3" s="45">
        <f t="shared" si="3"/>
        <v>0.20828894222326291</v>
      </c>
      <c r="O3" s="45"/>
      <c r="P3" t="s">
        <v>333</v>
      </c>
      <c r="Q3">
        <v>8.08</v>
      </c>
      <c r="R3">
        <v>39.287999999999997</v>
      </c>
      <c r="S3">
        <v>14.935</v>
      </c>
      <c r="T3">
        <v>1.68</v>
      </c>
      <c r="U3">
        <f t="shared" si="4"/>
        <v>22.672999999999995</v>
      </c>
      <c r="V3" s="111">
        <f t="shared" ref="V3:V16" si="6">U3/Q3</f>
        <v>2.8060643564356429</v>
      </c>
      <c r="AO3" s="104">
        <v>0.34</v>
      </c>
      <c r="BV3" t="s">
        <v>19</v>
      </c>
      <c r="BW3">
        <v>2025</v>
      </c>
      <c r="BX3">
        <v>2026</v>
      </c>
      <c r="BY3">
        <v>2027</v>
      </c>
      <c r="BZ3">
        <v>2028</v>
      </c>
      <c r="CQ3" t="s">
        <v>333</v>
      </c>
      <c r="CR3">
        <v>342.233</v>
      </c>
      <c r="CS3">
        <v>237.54499999999999</v>
      </c>
      <c r="CT3">
        <v>64.753</v>
      </c>
      <c r="CU3">
        <v>51.72</v>
      </c>
      <c r="CV3">
        <v>40.119</v>
      </c>
      <c r="CW3">
        <f t="shared" ref="CW3:CW16" si="7">(CU3/CS3)*365</f>
        <v>79.470416131680309</v>
      </c>
      <c r="CX3">
        <f t="shared" ref="CX3:CX16" si="8">(CT3/CR3)*365</f>
        <v>69.060683803139966</v>
      </c>
      <c r="CY3">
        <f t="shared" si="5"/>
        <v>61.387754674268464</v>
      </c>
      <c r="CZ3">
        <f t="shared" ref="CZ3:CZ16" si="9">CW3+CX3-CY3</f>
        <v>87.143345260551811</v>
      </c>
      <c r="DB3">
        <f>CS3+(CU3-CU2)</f>
        <v>238.54</v>
      </c>
    </row>
    <row r="4" spans="1:106" x14ac:dyDescent="0.25">
      <c r="B4" t="s">
        <v>334</v>
      </c>
      <c r="C4">
        <v>411.99700000000001</v>
      </c>
      <c r="D4">
        <f>44.916+16.729</f>
        <v>61.644999999999996</v>
      </c>
      <c r="E4" s="45">
        <f t="shared" si="0"/>
        <v>0.14962487590929058</v>
      </c>
      <c r="F4">
        <f>44.916</f>
        <v>44.915999999999997</v>
      </c>
      <c r="G4">
        <v>56.716999999999999</v>
      </c>
      <c r="H4">
        <v>190.714</v>
      </c>
      <c r="I4">
        <v>60.527999999999999</v>
      </c>
      <c r="J4">
        <v>83.344999999999999</v>
      </c>
      <c r="L4">
        <f t="shared" si="1"/>
        <v>60.527999999999999</v>
      </c>
      <c r="M4">
        <f t="shared" si="2"/>
        <v>50.652000000000015</v>
      </c>
      <c r="N4" s="45">
        <f t="shared" si="3"/>
        <v>0.40399352401511057</v>
      </c>
      <c r="O4" s="45"/>
      <c r="P4" t="s">
        <v>334</v>
      </c>
      <c r="Q4">
        <v>26.433</v>
      </c>
      <c r="R4">
        <v>37.85</v>
      </c>
      <c r="S4">
        <v>16.728999999999999</v>
      </c>
      <c r="T4">
        <v>2.484</v>
      </c>
      <c r="U4">
        <f t="shared" si="4"/>
        <v>18.637</v>
      </c>
      <c r="V4" s="111">
        <f t="shared" si="6"/>
        <v>0.70506563764990737</v>
      </c>
      <c r="AO4" s="104">
        <v>0.37</v>
      </c>
      <c r="BU4" t="s">
        <v>32</v>
      </c>
      <c r="BV4" s="104">
        <v>0.4</v>
      </c>
      <c r="BW4" s="104">
        <v>0.4</v>
      </c>
      <c r="BX4" s="104">
        <v>0.6</v>
      </c>
      <c r="BY4" s="104">
        <v>0.75</v>
      </c>
      <c r="BZ4" s="104">
        <v>0.85</v>
      </c>
      <c r="CQ4" t="s">
        <v>334</v>
      </c>
      <c r="CR4">
        <v>411.99700000000001</v>
      </c>
      <c r="CS4">
        <v>284.00799999999998</v>
      </c>
      <c r="CT4">
        <v>48.313000000000002</v>
      </c>
      <c r="CU4">
        <v>55.295999999999999</v>
      </c>
      <c r="CV4">
        <v>28.617999999999999</v>
      </c>
      <c r="CW4">
        <f t="shared" si="7"/>
        <v>71.065040421396588</v>
      </c>
      <c r="CX4">
        <f t="shared" si="8"/>
        <v>42.801877198134939</v>
      </c>
      <c r="CY4">
        <f t="shared" si="5"/>
        <v>36.321805107377315</v>
      </c>
      <c r="CZ4">
        <f t="shared" si="9"/>
        <v>77.545112512154219</v>
      </c>
      <c r="DB4">
        <f t="shared" ref="DB4:DB16" si="10">CS4+(CU4-CU3)</f>
        <v>287.584</v>
      </c>
    </row>
    <row r="5" spans="1:106" x14ac:dyDescent="0.25">
      <c r="B5" t="s">
        <v>335</v>
      </c>
      <c r="C5">
        <v>587.51400000000001</v>
      </c>
      <c r="D5">
        <f>132.834+16.73</f>
        <v>149.56399999999999</v>
      </c>
      <c r="E5" s="45">
        <f t="shared" si="0"/>
        <v>0.25457095490490439</v>
      </c>
      <c r="F5">
        <f>132.834</f>
        <v>132.834</v>
      </c>
      <c r="G5">
        <v>100.48699999999999</v>
      </c>
      <c r="H5">
        <v>229.566</v>
      </c>
      <c r="I5">
        <v>86.382000000000005</v>
      </c>
      <c r="J5">
        <v>82.593000000000004</v>
      </c>
      <c r="L5">
        <f t="shared" si="1"/>
        <v>86.382000000000005</v>
      </c>
      <c r="M5">
        <f t="shared" si="2"/>
        <v>46.486000000000004</v>
      </c>
      <c r="N5" s="45">
        <f t="shared" si="3"/>
        <v>0.99974410693319693</v>
      </c>
      <c r="O5" s="45"/>
      <c r="P5" t="s">
        <v>335</v>
      </c>
      <c r="Q5">
        <v>78.712999999999994</v>
      </c>
      <c r="R5">
        <v>98.097999999999999</v>
      </c>
      <c r="S5">
        <v>16.73</v>
      </c>
      <c r="T5">
        <v>4.0730000000000004</v>
      </c>
      <c r="U5">
        <f t="shared" si="4"/>
        <v>77.294999999999987</v>
      </c>
      <c r="V5" s="111">
        <f t="shared" si="6"/>
        <v>0.98198518669088963</v>
      </c>
      <c r="AO5" s="104">
        <v>0.28999999999999998</v>
      </c>
      <c r="BC5" t="s">
        <v>336</v>
      </c>
      <c r="BD5">
        <f>119.33*1000000</f>
        <v>119330000</v>
      </c>
      <c r="CQ5" t="s">
        <v>335</v>
      </c>
      <c r="CR5">
        <v>587.51400000000001</v>
      </c>
      <c r="CS5">
        <v>369.44200000000001</v>
      </c>
      <c r="CT5">
        <v>46.088000000000001</v>
      </c>
      <c r="CU5">
        <v>62.997999999999998</v>
      </c>
      <c r="CV5">
        <v>31.22</v>
      </c>
      <c r="CW5">
        <f t="shared" si="7"/>
        <v>62.240541140422579</v>
      </c>
      <c r="CX5">
        <f t="shared" si="8"/>
        <v>28.632713433211801</v>
      </c>
      <c r="CY5">
        <f t="shared" si="5"/>
        <v>30.21471904630592</v>
      </c>
      <c r="CZ5">
        <f t="shared" si="9"/>
        <v>60.658535527328468</v>
      </c>
      <c r="DB5">
        <f t="shared" si="10"/>
        <v>377.14400000000001</v>
      </c>
    </row>
    <row r="6" spans="1:106" x14ac:dyDescent="0.25">
      <c r="B6" t="s">
        <v>337</v>
      </c>
      <c r="C6">
        <v>626.62</v>
      </c>
      <c r="D6">
        <f>150.988+21.704</f>
        <v>172.69200000000001</v>
      </c>
      <c r="E6" s="45">
        <f t="shared" si="0"/>
        <v>0.27559286329833071</v>
      </c>
      <c r="F6">
        <f>150.988</f>
        <v>150.988</v>
      </c>
      <c r="G6">
        <v>68.86</v>
      </c>
      <c r="H6">
        <v>239.17099999999999</v>
      </c>
      <c r="I6">
        <v>120.44</v>
      </c>
      <c r="J6">
        <v>92.543000000000006</v>
      </c>
      <c r="L6">
        <f t="shared" si="1"/>
        <v>120.44</v>
      </c>
      <c r="M6">
        <f t="shared" si="2"/>
        <v>77.767999999999972</v>
      </c>
      <c r="N6" s="45">
        <f t="shared" si="3"/>
        <v>0.7617654181465936</v>
      </c>
      <c r="O6" s="45"/>
      <c r="P6" t="s">
        <v>337</v>
      </c>
      <c r="Q6">
        <v>89.305000000000007</v>
      </c>
      <c r="R6">
        <v>90.206000000000003</v>
      </c>
      <c r="S6">
        <v>21.704000000000001</v>
      </c>
      <c r="T6">
        <v>8.2119999999999997</v>
      </c>
      <c r="U6">
        <f t="shared" si="4"/>
        <v>60.290000000000006</v>
      </c>
      <c r="V6" s="111">
        <f t="shared" si="6"/>
        <v>0.67510217792956728</v>
      </c>
      <c r="BC6" t="s">
        <v>338</v>
      </c>
      <c r="BD6" s="184">
        <v>116958625</v>
      </c>
      <c r="BE6" s="45">
        <f>BD6/BD5-1</f>
        <v>-1.9872412637224501E-2</v>
      </c>
      <c r="CQ6" t="s">
        <v>337</v>
      </c>
      <c r="CR6">
        <v>626.62</v>
      </c>
      <c r="CS6">
        <v>367.51499999999999</v>
      </c>
      <c r="CT6">
        <v>55.89</v>
      </c>
      <c r="CU6">
        <v>86.742000000000004</v>
      </c>
      <c r="CV6">
        <v>37.688000000000002</v>
      </c>
      <c r="CW6">
        <f t="shared" si="7"/>
        <v>86.1484021060365</v>
      </c>
      <c r="CX6">
        <f t="shared" si="8"/>
        <v>32.555376464204777</v>
      </c>
      <c r="CY6">
        <f t="shared" si="5"/>
        <v>35.158603380369527</v>
      </c>
      <c r="CZ6">
        <f t="shared" si="9"/>
        <v>83.545175189871742</v>
      </c>
      <c r="DB6">
        <f t="shared" si="10"/>
        <v>391.25900000000001</v>
      </c>
    </row>
    <row r="7" spans="1:106" x14ac:dyDescent="0.25">
      <c r="B7" t="s">
        <v>339</v>
      </c>
      <c r="C7">
        <v>551.86199999999997</v>
      </c>
      <c r="D7">
        <f>89.628+30.893</f>
        <v>120.521</v>
      </c>
      <c r="E7" s="45">
        <f t="shared" si="0"/>
        <v>0.21838974236312703</v>
      </c>
      <c r="F7">
        <f>89.628</f>
        <v>89.628</v>
      </c>
      <c r="G7">
        <v>42.222000000000001</v>
      </c>
      <c r="H7">
        <v>197.07599999999999</v>
      </c>
      <c r="I7">
        <v>133.84399999999999</v>
      </c>
      <c r="J7">
        <v>81.010999999999996</v>
      </c>
      <c r="L7">
        <f t="shared" si="1"/>
        <v>133.84399999999999</v>
      </c>
      <c r="M7">
        <f t="shared" si="2"/>
        <v>73.842999999999989</v>
      </c>
      <c r="N7" s="45">
        <f t="shared" si="3"/>
        <v>0.43155325080529838</v>
      </c>
      <c r="O7" s="45"/>
      <c r="P7" t="s">
        <v>339</v>
      </c>
      <c r="Q7">
        <v>49.613</v>
      </c>
      <c r="R7">
        <v>114.807</v>
      </c>
      <c r="S7">
        <v>30.893000000000001</v>
      </c>
      <c r="T7">
        <v>5.8079999999999998</v>
      </c>
      <c r="U7">
        <f t="shared" si="4"/>
        <v>78.105999999999995</v>
      </c>
      <c r="V7" s="111">
        <f t="shared" si="6"/>
        <v>1.5743051216415052</v>
      </c>
      <c r="BC7" t="s">
        <v>340</v>
      </c>
      <c r="BD7">
        <f>'Revenue MLR'!G18*1000</f>
        <v>136302288.65288472</v>
      </c>
      <c r="BE7" s="45">
        <f>BD7/BD5-1</f>
        <v>0.14222985546706379</v>
      </c>
      <c r="BV7" t="s">
        <v>19</v>
      </c>
      <c r="BW7">
        <v>2025</v>
      </c>
      <c r="BX7">
        <v>2026</v>
      </c>
      <c r="BY7">
        <v>2027</v>
      </c>
      <c r="BZ7">
        <v>2028</v>
      </c>
      <c r="CQ7" t="s">
        <v>339</v>
      </c>
      <c r="CR7">
        <v>551.86199999999997</v>
      </c>
      <c r="CS7">
        <v>356.93599999999998</v>
      </c>
      <c r="CT7">
        <v>55.28</v>
      </c>
      <c r="CU7">
        <v>76.894999999999996</v>
      </c>
      <c r="CV7">
        <v>32.36</v>
      </c>
      <c r="CW7">
        <f t="shared" si="7"/>
        <v>78.632233789811053</v>
      </c>
      <c r="CX7">
        <f t="shared" si="8"/>
        <v>36.562039060489766</v>
      </c>
      <c r="CY7">
        <f t="shared" si="5"/>
        <v>34.029888587653318</v>
      </c>
      <c r="CZ7">
        <f t="shared" si="9"/>
        <v>81.164384262647502</v>
      </c>
      <c r="DB7">
        <f t="shared" si="10"/>
        <v>347.08899999999994</v>
      </c>
    </row>
    <row r="8" spans="1:106" x14ac:dyDescent="0.25">
      <c r="B8" t="s">
        <v>341</v>
      </c>
      <c r="C8">
        <v>722.90800000000002</v>
      </c>
      <c r="D8">
        <f>158.643+41.237</f>
        <v>199.88</v>
      </c>
      <c r="E8" s="45">
        <f t="shared" si="0"/>
        <v>0.27649438102773793</v>
      </c>
      <c r="F8">
        <f>158.643</f>
        <v>158.643</v>
      </c>
      <c r="G8">
        <v>191.279</v>
      </c>
      <c r="H8">
        <v>333.23099999999999</v>
      </c>
      <c r="I8">
        <v>135.405</v>
      </c>
      <c r="J8">
        <v>122.592</v>
      </c>
      <c r="L8">
        <f t="shared" si="1"/>
        <v>135.405</v>
      </c>
      <c r="M8">
        <f t="shared" si="2"/>
        <v>19.36</v>
      </c>
      <c r="N8" s="45">
        <f t="shared" si="3"/>
        <v>1.025057345006946</v>
      </c>
      <c r="O8" s="45"/>
      <c r="P8" t="s">
        <v>341</v>
      </c>
      <c r="Q8">
        <v>93.957999999999998</v>
      </c>
      <c r="R8">
        <v>168.55699999999999</v>
      </c>
      <c r="S8">
        <v>41.237000000000002</v>
      </c>
      <c r="T8">
        <v>6.4720000000000004</v>
      </c>
      <c r="U8">
        <f t="shared" si="4"/>
        <v>120.848</v>
      </c>
      <c r="V8" s="111">
        <f t="shared" si="6"/>
        <v>1.2861917026756635</v>
      </c>
      <c r="BU8" t="s">
        <v>342</v>
      </c>
      <c r="BV8" s="185">
        <f>'1854 Unit Volume'!E23</f>
        <v>2.6470588235294117</v>
      </c>
      <c r="BW8" s="185">
        <f t="shared" ref="BW8:BZ9" si="11">BV8</f>
        <v>2.6470588235294117</v>
      </c>
      <c r="BX8" s="185">
        <f t="shared" si="11"/>
        <v>2.6470588235294117</v>
      </c>
      <c r="BY8" s="185">
        <f t="shared" si="11"/>
        <v>2.6470588235294117</v>
      </c>
      <c r="BZ8" s="185">
        <f t="shared" si="11"/>
        <v>2.6470588235294117</v>
      </c>
      <c r="CQ8" t="s">
        <v>341</v>
      </c>
      <c r="CR8">
        <v>722.90800000000002</v>
      </c>
      <c r="CS8">
        <v>429.096</v>
      </c>
      <c r="CT8">
        <v>57.792000000000002</v>
      </c>
      <c r="CU8">
        <v>77.789000000000001</v>
      </c>
      <c r="CV8">
        <v>45.512999999999998</v>
      </c>
      <c r="CW8">
        <f t="shared" si="7"/>
        <v>66.169307101441177</v>
      </c>
      <c r="CX8">
        <f t="shared" si="8"/>
        <v>29.179480653139819</v>
      </c>
      <c r="CY8">
        <f t="shared" si="5"/>
        <v>38.634026372706337</v>
      </c>
      <c r="CZ8">
        <f t="shared" si="9"/>
        <v>56.714761381874659</v>
      </c>
      <c r="DB8">
        <f t="shared" si="10"/>
        <v>429.99</v>
      </c>
    </row>
    <row r="9" spans="1:106" x14ac:dyDescent="0.25">
      <c r="B9" t="s">
        <v>343</v>
      </c>
      <c r="C9">
        <v>903.18799999999999</v>
      </c>
      <c r="D9">
        <f>199.939+50.213</f>
        <v>250.15199999999999</v>
      </c>
      <c r="E9" s="45">
        <f t="shared" si="0"/>
        <v>0.27696559298839224</v>
      </c>
      <c r="F9">
        <f>199.939</f>
        <v>199.93899999999999</v>
      </c>
      <c r="G9">
        <v>61.548999999999999</v>
      </c>
      <c r="H9">
        <v>318.44099999999997</v>
      </c>
      <c r="I9">
        <v>149.685</v>
      </c>
      <c r="J9">
        <v>151.245</v>
      </c>
      <c r="L9">
        <f t="shared" si="1"/>
        <v>149.685</v>
      </c>
      <c r="M9">
        <f t="shared" si="2"/>
        <v>105.64699999999999</v>
      </c>
      <c r="N9" s="45">
        <f t="shared" si="3"/>
        <v>0.78305500289818741</v>
      </c>
      <c r="O9" s="45"/>
      <c r="P9" t="s">
        <v>343</v>
      </c>
      <c r="Q9">
        <v>127.854</v>
      </c>
      <c r="R9">
        <v>123.57599999999999</v>
      </c>
      <c r="S9">
        <v>50.213000000000001</v>
      </c>
      <c r="T9">
        <v>8.59</v>
      </c>
      <c r="U9">
        <f t="shared" si="4"/>
        <v>64.772999999999996</v>
      </c>
      <c r="V9" s="111">
        <f t="shared" si="6"/>
        <v>0.5066169224271434</v>
      </c>
      <c r="BU9" t="s">
        <v>344</v>
      </c>
      <c r="BV9" s="185">
        <f>'1854 Unit Volume'!F23</f>
        <v>1.6176470588235294</v>
      </c>
      <c r="BW9" s="185">
        <f t="shared" si="11"/>
        <v>1.6176470588235294</v>
      </c>
      <c r="BX9" s="185">
        <f t="shared" si="11"/>
        <v>1.6176470588235294</v>
      </c>
      <c r="BY9" s="185">
        <f t="shared" si="11"/>
        <v>1.6176470588235294</v>
      </c>
      <c r="BZ9" s="185">
        <f t="shared" si="11"/>
        <v>1.6176470588235294</v>
      </c>
      <c r="CQ9" t="s">
        <v>343</v>
      </c>
      <c r="CR9">
        <v>903.18799999999999</v>
      </c>
      <c r="CS9">
        <v>527.91600000000005</v>
      </c>
      <c r="CT9">
        <v>108.444</v>
      </c>
      <c r="CU9">
        <v>131.68199999999999</v>
      </c>
      <c r="CV9">
        <v>53.447000000000003</v>
      </c>
      <c r="CW9">
        <f t="shared" si="7"/>
        <v>91.044654831450444</v>
      </c>
      <c r="CX9">
        <f t="shared" si="8"/>
        <v>43.824829382144138</v>
      </c>
      <c r="CY9">
        <f t="shared" si="5"/>
        <v>33.530170554254056</v>
      </c>
      <c r="CZ9">
        <f t="shared" si="9"/>
        <v>101.33931365934052</v>
      </c>
      <c r="DB9">
        <f t="shared" si="10"/>
        <v>581.80900000000008</v>
      </c>
    </row>
    <row r="10" spans="1:106" x14ac:dyDescent="0.25">
      <c r="B10" t="s">
        <v>345</v>
      </c>
      <c r="C10">
        <v>606.85</v>
      </c>
      <c r="D10">
        <f>27.048+52.075</f>
        <v>79.123000000000005</v>
      </c>
      <c r="E10" s="45">
        <f t="shared" si="0"/>
        <v>0.13038312597841312</v>
      </c>
      <c r="F10">
        <f>27.048</f>
        <v>27.047999999999998</v>
      </c>
      <c r="G10">
        <v>48.86</v>
      </c>
      <c r="H10">
        <v>270.36399999999998</v>
      </c>
      <c r="I10">
        <v>159.125</v>
      </c>
      <c r="J10">
        <v>100.682</v>
      </c>
      <c r="K10">
        <v>21.974</v>
      </c>
      <c r="L10">
        <f t="shared" si="1"/>
        <v>137.15100000000001</v>
      </c>
      <c r="M10">
        <f t="shared" si="2"/>
        <v>120.82199999999996</v>
      </c>
      <c r="N10" s="45">
        <f t="shared" si="3"/>
        <v>0.10484818178646603</v>
      </c>
      <c r="O10" s="45"/>
      <c r="P10" t="s">
        <v>345</v>
      </c>
      <c r="Q10">
        <v>20.128</v>
      </c>
      <c r="R10">
        <v>61.643000000000001</v>
      </c>
      <c r="S10">
        <v>52.075000000000003</v>
      </c>
      <c r="T10">
        <v>7.8150000000000004</v>
      </c>
      <c r="U10">
        <f t="shared" si="4"/>
        <v>1.7529999999999974</v>
      </c>
      <c r="V10" s="111">
        <f t="shared" si="6"/>
        <v>8.7092607313195416E-2</v>
      </c>
      <c r="BU10" t="s">
        <v>346</v>
      </c>
      <c r="BV10" s="185">
        <v>0.5</v>
      </c>
      <c r="BW10" s="185">
        <v>0.75</v>
      </c>
      <c r="BX10" s="185">
        <v>1</v>
      </c>
      <c r="BY10" s="185">
        <v>1.25</v>
      </c>
      <c r="BZ10" s="185">
        <v>1.5</v>
      </c>
      <c r="CQ10" t="s">
        <v>345</v>
      </c>
      <c r="CR10">
        <v>606.85</v>
      </c>
      <c r="CS10">
        <v>411.09800000000001</v>
      </c>
      <c r="CT10">
        <v>56.676000000000002</v>
      </c>
      <c r="CU10">
        <v>153.35300000000001</v>
      </c>
      <c r="CV10">
        <v>33.616999999999997</v>
      </c>
      <c r="CW10">
        <f t="shared" si="7"/>
        <v>136.15693824830089</v>
      </c>
      <c r="CX10">
        <f t="shared" si="8"/>
        <v>34.08872044162478</v>
      </c>
      <c r="CY10">
        <f t="shared" si="5"/>
        <v>28.352781738063491</v>
      </c>
      <c r="CZ10">
        <f t="shared" si="9"/>
        <v>141.89287695186218</v>
      </c>
      <c r="DB10">
        <f t="shared" si="10"/>
        <v>432.76900000000001</v>
      </c>
    </row>
    <row r="11" spans="1:106" x14ac:dyDescent="0.25">
      <c r="A11" t="s">
        <v>347</v>
      </c>
      <c r="B11" t="s">
        <v>348</v>
      </c>
      <c r="C11">
        <v>481.33600000000001</v>
      </c>
      <c r="D11">
        <f>43.517+29.046</f>
        <v>72.563000000000002</v>
      </c>
      <c r="E11" s="45">
        <f t="shared" si="0"/>
        <v>0.15075331992620539</v>
      </c>
      <c r="F11">
        <f>43.517</f>
        <v>43.517000000000003</v>
      </c>
      <c r="G11">
        <v>41.015000000000001</v>
      </c>
      <c r="H11">
        <v>298.68400000000003</v>
      </c>
      <c r="I11">
        <v>183.268</v>
      </c>
      <c r="J11">
        <v>111.283</v>
      </c>
      <c r="K11">
        <v>38.786000000000001</v>
      </c>
      <c r="L11">
        <f t="shared" si="1"/>
        <v>144.482</v>
      </c>
      <c r="M11">
        <f t="shared" si="2"/>
        <v>146.38600000000002</v>
      </c>
      <c r="N11" s="45">
        <f t="shared" si="3"/>
        <v>0.14961082002832898</v>
      </c>
      <c r="O11" s="45"/>
      <c r="P11" t="s">
        <v>348</v>
      </c>
      <c r="Q11">
        <v>24.92</v>
      </c>
      <c r="R11">
        <v>51.097999999999999</v>
      </c>
      <c r="S11">
        <v>29.045999999999999</v>
      </c>
      <c r="T11">
        <v>6.9470000000000001</v>
      </c>
      <c r="U11">
        <f t="shared" ref="U11:U16" si="12">R11-S11-T11</f>
        <v>15.105</v>
      </c>
      <c r="V11" s="111">
        <f t="shared" si="6"/>
        <v>0.60613964686998389</v>
      </c>
      <c r="CQ11" t="s">
        <v>348</v>
      </c>
      <c r="CR11">
        <v>481.33600000000001</v>
      </c>
      <c r="CS11">
        <v>335.05200000000002</v>
      </c>
      <c r="CT11">
        <v>84.906999999999996</v>
      </c>
      <c r="CU11">
        <v>163.77000000000001</v>
      </c>
      <c r="CV11">
        <v>35.584000000000003</v>
      </c>
      <c r="CW11">
        <f t="shared" si="7"/>
        <v>178.40827692417892</v>
      </c>
      <c r="CX11">
        <f t="shared" si="8"/>
        <v>64.3854916316253</v>
      </c>
      <c r="CY11">
        <f t="shared" si="5"/>
        <v>37.595732178574629</v>
      </c>
      <c r="CZ11">
        <f t="shared" si="9"/>
        <v>205.19803637722958</v>
      </c>
      <c r="DB11">
        <f t="shared" si="10"/>
        <v>345.46900000000005</v>
      </c>
    </row>
    <row r="12" spans="1:106" x14ac:dyDescent="0.25">
      <c r="B12" t="s">
        <v>349</v>
      </c>
      <c r="C12">
        <v>529.61800000000005</v>
      </c>
      <c r="D12">
        <f>50.305+31.972</f>
        <v>82.277000000000001</v>
      </c>
      <c r="E12" s="45">
        <f t="shared" si="0"/>
        <v>0.15535159303497992</v>
      </c>
      <c r="F12">
        <f>50.305</f>
        <v>50.305</v>
      </c>
      <c r="G12">
        <v>125.398</v>
      </c>
      <c r="H12">
        <v>395.851</v>
      </c>
      <c r="I12">
        <v>157.417</v>
      </c>
      <c r="J12">
        <v>129.971</v>
      </c>
      <c r="K12">
        <v>38.786000000000001</v>
      </c>
      <c r="L12">
        <f t="shared" si="1"/>
        <v>118.631</v>
      </c>
      <c r="M12">
        <f t="shared" si="2"/>
        <v>140.48199999999997</v>
      </c>
      <c r="N12" s="45">
        <f t="shared" si="3"/>
        <v>0.19414309586936979</v>
      </c>
      <c r="O12" s="45"/>
      <c r="P12" t="s">
        <v>349</v>
      </c>
      <c r="Q12">
        <v>27.652999999999999</v>
      </c>
      <c r="R12">
        <v>80.834999999999994</v>
      </c>
      <c r="S12">
        <v>31.972000000000001</v>
      </c>
      <c r="T12">
        <v>2.3570000000000002</v>
      </c>
      <c r="U12">
        <f t="shared" si="12"/>
        <v>46.505999999999993</v>
      </c>
      <c r="V12" s="111">
        <f t="shared" si="6"/>
        <v>1.6817705131450473</v>
      </c>
      <c r="W12" s="28" t="s">
        <v>350</v>
      </c>
      <c r="X12">
        <v>27.652999999999999</v>
      </c>
      <c r="Y12">
        <v>80.834999999999994</v>
      </c>
      <c r="Z12">
        <v>31.972000000000001</v>
      </c>
      <c r="AA12">
        <v>2.3570000000000002</v>
      </c>
      <c r="AB12">
        <f>Y12-Z12-AA12</f>
        <v>46.505999999999993</v>
      </c>
      <c r="AC12" s="28" t="s">
        <v>351</v>
      </c>
      <c r="CQ12" t="s">
        <v>349</v>
      </c>
      <c r="CR12">
        <v>529.61800000000005</v>
      </c>
      <c r="CS12">
        <v>363.92899999999997</v>
      </c>
      <c r="CT12">
        <v>93.433000000000007</v>
      </c>
      <c r="CU12">
        <v>164.191</v>
      </c>
      <c r="CV12">
        <v>39.195999999999998</v>
      </c>
      <c r="CW12">
        <f t="shared" si="7"/>
        <v>164.67419469182178</v>
      </c>
      <c r="CX12">
        <f t="shared" si="8"/>
        <v>64.391778602690991</v>
      </c>
      <c r="CY12">
        <f t="shared" si="5"/>
        <v>39.265925620968851</v>
      </c>
      <c r="CZ12">
        <f t="shared" si="9"/>
        <v>189.80004767354393</v>
      </c>
      <c r="DB12">
        <f t="shared" si="10"/>
        <v>364.34999999999997</v>
      </c>
    </row>
    <row r="13" spans="1:106" x14ac:dyDescent="0.25">
      <c r="B13" t="s">
        <v>352</v>
      </c>
      <c r="C13">
        <v>1059.1949999999999</v>
      </c>
      <c r="D13">
        <f>319.632+31.575</f>
        <v>351.20699999999999</v>
      </c>
      <c r="E13" s="45">
        <f t="shared" si="0"/>
        <v>0.33157917097418321</v>
      </c>
      <c r="F13">
        <f>319.632</f>
        <v>319.63200000000001</v>
      </c>
      <c r="G13">
        <v>113.017</v>
      </c>
      <c r="H13">
        <v>268.25299999999999</v>
      </c>
      <c r="I13">
        <v>141.61199999999999</v>
      </c>
      <c r="J13">
        <v>125.655</v>
      </c>
      <c r="K13">
        <v>38.786000000000001</v>
      </c>
      <c r="L13">
        <f t="shared" si="1"/>
        <v>102.82599999999999</v>
      </c>
      <c r="M13">
        <f t="shared" si="2"/>
        <v>29.580999999999989</v>
      </c>
      <c r="N13" s="45">
        <f t="shared" si="3"/>
        <v>2.4140113438111284</v>
      </c>
      <c r="O13" s="45"/>
      <c r="P13" t="s">
        <v>352</v>
      </c>
      <c r="Q13">
        <v>243.571</v>
      </c>
      <c r="R13">
        <v>317.26</v>
      </c>
      <c r="S13">
        <v>31.574999999999999</v>
      </c>
      <c r="T13">
        <v>4.7060000000000004</v>
      </c>
      <c r="U13">
        <f t="shared" si="12"/>
        <v>280.97899999999998</v>
      </c>
      <c r="V13" s="111">
        <f t="shared" si="6"/>
        <v>1.1535815019029358</v>
      </c>
      <c r="X13">
        <v>243.571</v>
      </c>
      <c r="Y13">
        <v>317.26</v>
      </c>
      <c r="Z13">
        <v>31.574999999999999</v>
      </c>
      <c r="AA13">
        <v>4.7060000000000004</v>
      </c>
      <c r="AB13">
        <f>Y13-Z13-AA13</f>
        <v>280.97899999999998</v>
      </c>
      <c r="CQ13" t="s">
        <v>352</v>
      </c>
      <c r="CR13">
        <v>1059.1949999999999</v>
      </c>
      <c r="CS13">
        <v>610.21199999999999</v>
      </c>
      <c r="CT13">
        <v>67.441999999999993</v>
      </c>
      <c r="CU13">
        <v>78.477000000000004</v>
      </c>
      <c r="CV13">
        <v>57.337000000000003</v>
      </c>
      <c r="CW13">
        <f t="shared" si="7"/>
        <v>46.94123517728265</v>
      </c>
      <c r="CX13">
        <f t="shared" si="8"/>
        <v>23.24060253305576</v>
      </c>
      <c r="CY13">
        <f t="shared" si="5"/>
        <v>39.901019641638285</v>
      </c>
      <c r="CZ13">
        <f t="shared" si="9"/>
        <v>30.280818068700128</v>
      </c>
      <c r="DB13">
        <f t="shared" si="10"/>
        <v>524.49800000000005</v>
      </c>
    </row>
    <row r="14" spans="1:106" x14ac:dyDescent="0.25">
      <c r="B14" t="s">
        <v>353</v>
      </c>
      <c r="C14">
        <v>854.12599999999998</v>
      </c>
      <c r="D14">
        <f>251.653+30.073</f>
        <v>281.726</v>
      </c>
      <c r="E14" s="45">
        <f t="shared" si="0"/>
        <v>0.32984126463777008</v>
      </c>
      <c r="F14">
        <f>251.653</f>
        <v>251.65299999999999</v>
      </c>
      <c r="G14">
        <v>120.72799999999999</v>
      </c>
      <c r="H14">
        <v>327.59699999999998</v>
      </c>
      <c r="I14">
        <v>135.59100000000001</v>
      </c>
      <c r="J14">
        <v>88.948999999999998</v>
      </c>
      <c r="K14">
        <v>37.628</v>
      </c>
      <c r="L14">
        <f t="shared" si="1"/>
        <v>97.963000000000008</v>
      </c>
      <c r="M14">
        <f t="shared" si="2"/>
        <v>117.91999999999997</v>
      </c>
      <c r="N14" s="45">
        <f t="shared" si="3"/>
        <v>1.1656916014693144</v>
      </c>
      <c r="O14" s="45"/>
      <c r="P14" t="s">
        <v>353</v>
      </c>
      <c r="Q14">
        <v>194.494</v>
      </c>
      <c r="R14">
        <v>137.81399999999999</v>
      </c>
      <c r="S14">
        <v>30.073</v>
      </c>
      <c r="T14">
        <v>4.5359999999999996</v>
      </c>
      <c r="U14">
        <f t="shared" si="12"/>
        <v>103.20499999999998</v>
      </c>
      <c r="V14" s="111">
        <f t="shared" si="6"/>
        <v>0.53063333573272176</v>
      </c>
      <c r="X14">
        <v>194.494</v>
      </c>
      <c r="Y14">
        <v>137.81399999999999</v>
      </c>
      <c r="Z14">
        <v>30.073</v>
      </c>
      <c r="AA14">
        <v>4.5359999999999996</v>
      </c>
      <c r="AB14">
        <f>Y14-Z14-AA14</f>
        <v>103.20499999999998</v>
      </c>
      <c r="CQ14" t="s">
        <v>353</v>
      </c>
      <c r="CR14">
        <v>864.12599999999998</v>
      </c>
      <c r="CS14">
        <v>489.56200000000001</v>
      </c>
      <c r="CT14">
        <v>62.695</v>
      </c>
      <c r="CU14">
        <v>136.66</v>
      </c>
      <c r="CV14">
        <v>30.042000000000002</v>
      </c>
      <c r="CW14">
        <f t="shared" si="7"/>
        <v>101.88883124098683</v>
      </c>
      <c r="CX14">
        <f t="shared" si="8"/>
        <v>26.481873013889178</v>
      </c>
      <c r="CY14">
        <f t="shared" si="5"/>
        <v>20.019041707363829</v>
      </c>
      <c r="CZ14">
        <f t="shared" si="9"/>
        <v>108.35166254751219</v>
      </c>
      <c r="DB14">
        <f t="shared" si="10"/>
        <v>547.745</v>
      </c>
    </row>
    <row r="15" spans="1:106" x14ac:dyDescent="0.25">
      <c r="B15" t="s">
        <v>354</v>
      </c>
      <c r="C15">
        <v>479.24200000000002</v>
      </c>
      <c r="D15">
        <f>48.407+31.436</f>
        <v>79.842999999999989</v>
      </c>
      <c r="E15" s="45">
        <f t="shared" si="0"/>
        <v>0.16660267672699802</v>
      </c>
      <c r="F15">
        <f>48.407</f>
        <v>48.406999999999996</v>
      </c>
      <c r="G15">
        <v>53.555999999999997</v>
      </c>
      <c r="H15">
        <v>291.92</v>
      </c>
      <c r="I15">
        <v>210.33</v>
      </c>
      <c r="J15">
        <v>87.212999999999994</v>
      </c>
      <c r="K15">
        <v>36.960999999999999</v>
      </c>
      <c r="L15">
        <f t="shared" si="1"/>
        <v>173.36900000000003</v>
      </c>
      <c r="M15">
        <f t="shared" si="2"/>
        <v>151.15100000000004</v>
      </c>
      <c r="N15" s="45">
        <f t="shared" si="3"/>
        <v>0.14916492049796617</v>
      </c>
      <c r="O15" s="45"/>
      <c r="P15" t="s">
        <v>354</v>
      </c>
      <c r="Q15">
        <v>36.875999999999998</v>
      </c>
      <c r="R15">
        <v>16.731999999999999</v>
      </c>
      <c r="S15">
        <v>31.436</v>
      </c>
      <c r="T15">
        <v>5.1020000000000003</v>
      </c>
      <c r="U15">
        <f t="shared" si="12"/>
        <v>-19.806000000000001</v>
      </c>
      <c r="V15" s="111">
        <f t="shared" si="6"/>
        <v>-0.53709729905629688</v>
      </c>
      <c r="X15">
        <v>36.875999999999998</v>
      </c>
      <c r="Y15">
        <v>16.731999999999999</v>
      </c>
      <c r="Z15">
        <v>31.436</v>
      </c>
      <c r="AA15">
        <v>5.1020000000000003</v>
      </c>
      <c r="AB15">
        <f>Y15-Z15-AA15</f>
        <v>-19.806000000000001</v>
      </c>
      <c r="CQ15" t="s">
        <v>354</v>
      </c>
      <c r="CR15">
        <v>479.24200000000002</v>
      </c>
      <c r="CS15">
        <v>324.70499999999998</v>
      </c>
      <c r="CT15">
        <v>55.152999999999999</v>
      </c>
      <c r="CU15">
        <v>177.11799999999999</v>
      </c>
      <c r="CV15">
        <v>36.795000000000002</v>
      </c>
      <c r="CW15">
        <f t="shared" si="7"/>
        <v>199.09785805577371</v>
      </c>
      <c r="CX15">
        <f t="shared" si="8"/>
        <v>42.005594250921249</v>
      </c>
      <c r="CY15">
        <f t="shared" si="5"/>
        <v>36.778575595008263</v>
      </c>
      <c r="CZ15">
        <f t="shared" si="9"/>
        <v>204.32487671168673</v>
      </c>
      <c r="DB15">
        <f t="shared" si="10"/>
        <v>365.16300000000001</v>
      </c>
    </row>
    <row r="16" spans="1:106" x14ac:dyDescent="0.25">
      <c r="B16" t="s">
        <v>355</v>
      </c>
      <c r="C16">
        <v>535.83299999999997</v>
      </c>
      <c r="D16">
        <f>44.779+32.558</f>
        <v>77.337000000000003</v>
      </c>
      <c r="E16" s="45">
        <f t="shared" si="0"/>
        <v>0.14433041637973026</v>
      </c>
      <c r="F16">
        <f>44.779</f>
        <v>44.779000000000003</v>
      </c>
      <c r="G16">
        <v>60.838999999999999</v>
      </c>
      <c r="H16">
        <v>287.87799999999999</v>
      </c>
      <c r="I16">
        <v>252.63300000000001</v>
      </c>
      <c r="J16">
        <v>96.7</v>
      </c>
      <c r="K16">
        <v>35.404000000000003</v>
      </c>
      <c r="L16">
        <f t="shared" si="1"/>
        <v>217.22900000000001</v>
      </c>
      <c r="M16">
        <f t="shared" si="2"/>
        <v>130.339</v>
      </c>
      <c r="N16" s="45">
        <f t="shared" si="3"/>
        <v>0.12883522073378448</v>
      </c>
      <c r="O16" s="45"/>
      <c r="P16" t="s">
        <v>355</v>
      </c>
      <c r="Q16">
        <v>39.609000000000002</v>
      </c>
      <c r="R16">
        <v>106.739</v>
      </c>
      <c r="S16">
        <v>32.558</v>
      </c>
      <c r="T16">
        <v>5.6829999999999998</v>
      </c>
      <c r="U16">
        <f t="shared" si="12"/>
        <v>68.498000000000019</v>
      </c>
      <c r="V16" s="111">
        <f t="shared" si="6"/>
        <v>1.7293544396475553</v>
      </c>
      <c r="X16">
        <v>39.609000000000002</v>
      </c>
      <c r="Y16">
        <v>106.739</v>
      </c>
      <c r="Z16">
        <v>32.558</v>
      </c>
      <c r="AA16">
        <v>5.6829999999999998</v>
      </c>
      <c r="AB16">
        <f>Y16-Z16-AA16</f>
        <v>68.498000000000019</v>
      </c>
      <c r="CQ16" t="s">
        <v>355</v>
      </c>
      <c r="CR16">
        <v>535.83299999999997</v>
      </c>
      <c r="CS16">
        <v>377.74</v>
      </c>
      <c r="CT16">
        <v>59.070999999999998</v>
      </c>
      <c r="CU16">
        <v>160.5</v>
      </c>
      <c r="CV16">
        <v>41.831000000000003</v>
      </c>
      <c r="CW16">
        <f t="shared" si="7"/>
        <v>155.08683221263303</v>
      </c>
      <c r="CX16">
        <f t="shared" si="8"/>
        <v>40.238124564929748</v>
      </c>
      <c r="CY16">
        <f>(CV16/DB16)*365</f>
        <v>42.280212781276134</v>
      </c>
      <c r="CZ16">
        <f t="shared" si="9"/>
        <v>153.04474399628663</v>
      </c>
      <c r="DB16">
        <f t="shared" si="10"/>
        <v>361.12200000000001</v>
      </c>
    </row>
    <row r="17" spans="2:104" x14ac:dyDescent="0.25">
      <c r="B17" t="s">
        <v>356</v>
      </c>
      <c r="C17">
        <f>SUM('Three Statement Model'!R5:S5,'Three Statement Model'!O5:P5)/1000</f>
        <v>514.64499999999998</v>
      </c>
      <c r="D17">
        <f>SUM('Three Statement Model'!R31:S31,'Three Statement Model'!O31:P31,'Three Statement Model'!R89:S89,'Three Statement Model'!O89:P89)/1000</f>
        <v>73.263999999999996</v>
      </c>
      <c r="E17" s="45">
        <f>D17/C17</f>
        <v>0.14235832467040388</v>
      </c>
      <c r="F17" s="183"/>
      <c r="N17" s="45"/>
      <c r="O17" s="45"/>
      <c r="P17" s="45"/>
      <c r="R17" s="45"/>
      <c r="V17">
        <f>QUARTILE(V2:V16,3)</f>
        <v>1.4302484121585843</v>
      </c>
      <c r="X17">
        <f>SUM(X12:X16)</f>
        <v>542.20299999999997</v>
      </c>
      <c r="AA17">
        <f>AB17/X17</f>
        <v>0.88413749093974026</v>
      </c>
      <c r="AB17">
        <f>SUM(AB12:AB16)</f>
        <v>479.38199999999995</v>
      </c>
      <c r="CZ17">
        <f>QUARTILE(CZ2:CZ16,3)</f>
        <v>147.46881047407442</v>
      </c>
    </row>
    <row r="24" spans="2:104" ht="15" customHeight="1" x14ac:dyDescent="0.25">
      <c r="Q24" t="s">
        <v>357</v>
      </c>
    </row>
    <row r="25" spans="2:104" ht="15" customHeight="1" x14ac:dyDescent="0.25">
      <c r="Q25" t="s">
        <v>358</v>
      </c>
    </row>
    <row r="26" spans="2:104" ht="15" customHeight="1" x14ac:dyDescent="0.25">
      <c r="Q26" t="s">
        <v>359</v>
      </c>
      <c r="BE26">
        <v>2024</v>
      </c>
      <c r="BF26">
        <f>BE26+1</f>
        <v>2025</v>
      </c>
      <c r="BG26">
        <f>BF26+1</f>
        <v>2026</v>
      </c>
      <c r="BH26">
        <f>BG26+1</f>
        <v>2027</v>
      </c>
      <c r="BI26">
        <f>BH26+1</f>
        <v>2028</v>
      </c>
    </row>
    <row r="27" spans="2:104" ht="15" customHeight="1" x14ac:dyDescent="0.25">
      <c r="Q27" t="s">
        <v>360</v>
      </c>
      <c r="BD27" t="s">
        <v>361</v>
      </c>
      <c r="BE27" s="42">
        <v>228</v>
      </c>
      <c r="BF27" s="40">
        <v>224.65</v>
      </c>
      <c r="BG27" s="40">
        <v>230.26624999999999</v>
      </c>
      <c r="BH27" s="40">
        <v>234.87157499999998</v>
      </c>
      <c r="BI27" s="40">
        <v>238.39464862499995</v>
      </c>
    </row>
    <row r="28" spans="2:104" ht="15" customHeight="1" x14ac:dyDescent="0.25">
      <c r="BD28" s="37" t="s">
        <v>362</v>
      </c>
      <c r="BE28" s="42"/>
      <c r="BF28" s="207">
        <f>('1854 Unit Volume'!J9)/1000</f>
        <v>5.023200000000001</v>
      </c>
      <c r="BG28" s="207">
        <f>('1854 Unit Volume'!K9)/1000</f>
        <v>10.0464</v>
      </c>
      <c r="BH28" s="207">
        <f>('1854 Unit Volume'!L9)/1000</f>
        <v>18.920720000000003</v>
      </c>
      <c r="BI28" s="207">
        <f>('1854 Unit Volume'!M9)/1000</f>
        <v>22.704864000000001</v>
      </c>
    </row>
    <row r="29" spans="2:104" ht="15" customHeight="1" x14ac:dyDescent="0.25">
      <c r="BD29" t="s">
        <v>363</v>
      </c>
      <c r="BE29" s="40">
        <v>510.92543859649123</v>
      </c>
      <c r="BF29" s="40">
        <v>567.95150901402178</v>
      </c>
      <c r="BG29" s="40">
        <v>619.7486866361005</v>
      </c>
      <c r="BH29" s="40">
        <v>676.26976685731279</v>
      </c>
      <c r="BI29" s="40">
        <v>737.94556959469969</v>
      </c>
    </row>
    <row r="30" spans="2:104" ht="15" customHeight="1" x14ac:dyDescent="0.25">
      <c r="BD30" t="s">
        <v>364</v>
      </c>
      <c r="BE30" s="40"/>
      <c r="BF30" s="40">
        <v>1.2</v>
      </c>
      <c r="BG30" s="40">
        <v>1.2</v>
      </c>
      <c r="BH30" s="40">
        <v>1.2</v>
      </c>
      <c r="BI30" s="40">
        <v>1.2</v>
      </c>
    </row>
    <row r="31" spans="2:104" ht="15" customHeight="1" x14ac:dyDescent="0.25">
      <c r="BD31" t="s">
        <v>365</v>
      </c>
      <c r="BF31" s="40">
        <f>BF30*BF28</f>
        <v>6.0278400000000012</v>
      </c>
      <c r="BG31" s="111">
        <f>BG30*BG28</f>
        <v>12.055680000000001</v>
      </c>
      <c r="BH31" s="111">
        <f>BH30*BH28</f>
        <v>22.704864000000004</v>
      </c>
      <c r="BI31" s="111">
        <f>BI30*BI28</f>
        <v>27.245836799999999</v>
      </c>
    </row>
    <row r="32" spans="2:104" ht="15" customHeight="1" x14ac:dyDescent="0.25">
      <c r="BD32" t="s">
        <v>366</v>
      </c>
      <c r="BE32" s="40">
        <v>116.491</v>
      </c>
      <c r="BF32" s="40">
        <v>127.59030650000001</v>
      </c>
      <c r="BG32" s="40">
        <v>142.70720601411998</v>
      </c>
      <c r="BH32" s="40">
        <v>158.83654526665984</v>
      </c>
      <c r="BI32" s="40">
        <v>175.92227476790387</v>
      </c>
      <c r="BJ32" s="40"/>
    </row>
    <row r="33" spans="56:61" ht="15" customHeight="1" x14ac:dyDescent="0.25">
      <c r="BD33" t="s">
        <v>367</v>
      </c>
      <c r="BE33" s="40">
        <v>535.83299999999997</v>
      </c>
      <c r="BF33" s="40">
        <v>509.28990741254461</v>
      </c>
      <c r="BG33" s="40">
        <v>534.88881222762018</v>
      </c>
      <c r="BH33" s="40">
        <v>562.34649445162631</v>
      </c>
      <c r="BI33" s="40">
        <v>591.10274264281327</v>
      </c>
    </row>
    <row r="34" spans="56:61" ht="15" customHeight="1" x14ac:dyDescent="0.25">
      <c r="BE34" s="40"/>
      <c r="BF34" s="40">
        <f>BF33-BE33</f>
        <v>-26.543092587455362</v>
      </c>
      <c r="BG34" s="40">
        <f>BG33-BF33</f>
        <v>25.598904815075571</v>
      </c>
      <c r="BH34" s="40">
        <f>BH33-BG33</f>
        <v>27.457682224006135</v>
      </c>
      <c r="BI34" s="40">
        <f>BI33-BH33</f>
        <v>28.756248191186955</v>
      </c>
    </row>
    <row r="35" spans="56:61" ht="15" customHeight="1" x14ac:dyDescent="0.25">
      <c r="BE35" s="40"/>
      <c r="BF35" s="204">
        <f>BF33/BE33-1</f>
        <v>-4.9536128957073156E-2</v>
      </c>
      <c r="BG35" s="204">
        <f>BG33/BF33-1</f>
        <v>5.0263915389824332E-2</v>
      </c>
      <c r="BH35" s="204">
        <f>BH33/BG33-1</f>
        <v>5.1333439018204086E-2</v>
      </c>
      <c r="BI35" s="204">
        <f>BI33/BH33-1</f>
        <v>5.1136174004656532E-2</v>
      </c>
    </row>
    <row r="36" spans="56:61" ht="15" customHeight="1" x14ac:dyDescent="0.25">
      <c r="BD36" t="s">
        <v>368</v>
      </c>
      <c r="BF36" s="204">
        <f>BF31/BF33</f>
        <v>1.1835773519692424E-2</v>
      </c>
      <c r="BG36" s="204">
        <f>BG31/BG33</f>
        <v>2.253866546543087E-2</v>
      </c>
      <c r="BH36" s="204">
        <f>BH31/BH33</f>
        <v>4.0375221014119972E-2</v>
      </c>
      <c r="BI36" s="204">
        <f>BI31/BI33</f>
        <v>4.6093233602984465E-2</v>
      </c>
    </row>
    <row r="43" spans="56:61" ht="15" customHeight="1" x14ac:dyDescent="0.25">
      <c r="BE43">
        <v>2024</v>
      </c>
      <c r="BF43">
        <f>BE43+1</f>
        <v>2025</v>
      </c>
      <c r="BG43">
        <f>BF43+1</f>
        <v>2026</v>
      </c>
      <c r="BH43">
        <f>BG43+1</f>
        <v>2027</v>
      </c>
      <c r="BI43">
        <f>BH43+1</f>
        <v>2028</v>
      </c>
    </row>
    <row r="44" spans="56:61" ht="15" customHeight="1" x14ac:dyDescent="0.25">
      <c r="BD44" t="s">
        <v>369</v>
      </c>
      <c r="BE44" s="40">
        <v>535.83299999999997</v>
      </c>
      <c r="BF44" s="40">
        <v>509.28990741254461</v>
      </c>
      <c r="BG44" s="40">
        <v>534.88881222762018</v>
      </c>
      <c r="BH44" s="40">
        <v>562.34649445162631</v>
      </c>
      <c r="BI44" s="40">
        <v>591.10274264281327</v>
      </c>
    </row>
    <row r="45" spans="56:61" ht="15" customHeight="1" x14ac:dyDescent="0.25">
      <c r="BD45" t="s">
        <v>370</v>
      </c>
      <c r="BE45">
        <v>0</v>
      </c>
      <c r="BF45" s="111">
        <v>6.0278400000000012</v>
      </c>
      <c r="BG45" s="111">
        <v>12.055680000000001</v>
      </c>
      <c r="BH45" s="111">
        <v>22.704864000000004</v>
      </c>
      <c r="BI45" s="111">
        <v>27.245836799999999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7A4E7-8010-4CF2-B48B-315CC378AD9F}">
  <dimension ref="A1:AU32"/>
  <sheetViews>
    <sheetView topLeftCell="U1" zoomScaleNormal="100" workbookViewId="0">
      <selection activeCell="AO21" sqref="AO21"/>
    </sheetView>
  </sheetViews>
  <sheetFormatPr defaultRowHeight="15" x14ac:dyDescent="0.25"/>
  <cols>
    <col min="8" max="8" width="10.42578125" bestFit="1" customWidth="1"/>
    <col min="9" max="9" width="11.42578125" bestFit="1" customWidth="1"/>
    <col min="37" max="37" width="13.140625" bestFit="1" customWidth="1"/>
  </cols>
  <sheetData>
    <row r="1" spans="1:47" x14ac:dyDescent="0.25">
      <c r="A1" t="s">
        <v>304</v>
      </c>
      <c r="B1" t="s">
        <v>371</v>
      </c>
      <c r="C1" t="s">
        <v>122</v>
      </c>
      <c r="D1" t="s">
        <v>372</v>
      </c>
      <c r="E1" t="s">
        <v>373</v>
      </c>
      <c r="F1" t="s">
        <v>374</v>
      </c>
      <c r="H1" t="s">
        <v>371</v>
      </c>
      <c r="I1" t="s">
        <v>375</v>
      </c>
      <c r="O1" t="s">
        <v>351</v>
      </c>
      <c r="P1" t="s">
        <v>304</v>
      </c>
      <c r="Q1" t="s">
        <v>371</v>
      </c>
      <c r="R1" t="s">
        <v>373</v>
      </c>
      <c r="V1" t="s">
        <v>371</v>
      </c>
      <c r="W1" t="s">
        <v>375</v>
      </c>
      <c r="AH1" t="s">
        <v>350</v>
      </c>
      <c r="AJ1" t="s">
        <v>298</v>
      </c>
      <c r="AK1" t="s">
        <v>376</v>
      </c>
      <c r="AN1" t="s">
        <v>351</v>
      </c>
      <c r="AO1" t="s">
        <v>298</v>
      </c>
      <c r="AP1" t="s">
        <v>376</v>
      </c>
    </row>
    <row r="2" spans="1:47" x14ac:dyDescent="0.25">
      <c r="A2" t="s">
        <v>377</v>
      </c>
      <c r="B2">
        <v>7364</v>
      </c>
      <c r="C2">
        <v>529618</v>
      </c>
      <c r="D2" s="204">
        <v>0.28199999999999997</v>
      </c>
      <c r="E2" s="205">
        <f t="shared" ref="E2:E5" si="0">C2*D2</f>
        <v>149352.27599999998</v>
      </c>
      <c r="H2" s="40">
        <f>B7-AC5+AC6</f>
        <v>37897</v>
      </c>
      <c r="I2" s="40">
        <f>E7-AB5+AB6</f>
        <v>758616.60899999994</v>
      </c>
      <c r="J2">
        <f>I2/H2</f>
        <v>20.017853893448027</v>
      </c>
      <c r="P2" t="s">
        <v>377</v>
      </c>
      <c r="Q2">
        <v>8000</v>
      </c>
      <c r="R2" s="205">
        <v>111200</v>
      </c>
      <c r="S2">
        <f t="shared" ref="S2:S5" si="1">R2/Q2</f>
        <v>13.9</v>
      </c>
      <c r="V2" s="40">
        <f>Q7</f>
        <v>47300</v>
      </c>
      <c r="W2" s="40">
        <f>R7</f>
        <v>623400</v>
      </c>
      <c r="AI2" t="s">
        <v>377</v>
      </c>
      <c r="AJ2">
        <v>0</v>
      </c>
      <c r="AK2">
        <v>0</v>
      </c>
      <c r="AN2" t="s">
        <v>377</v>
      </c>
      <c r="AO2">
        <v>-113896</v>
      </c>
      <c r="AP2">
        <v>0</v>
      </c>
    </row>
    <row r="3" spans="1:47" x14ac:dyDescent="0.25">
      <c r="A3" t="s">
        <v>378</v>
      </c>
      <c r="B3">
        <v>7480</v>
      </c>
      <c r="C3">
        <v>1059195</v>
      </c>
      <c r="D3" s="204">
        <v>0.17299999999999999</v>
      </c>
      <c r="E3" s="205">
        <f t="shared" si="0"/>
        <v>183240.73499999999</v>
      </c>
      <c r="P3" t="s">
        <v>378</v>
      </c>
      <c r="Q3">
        <v>11700</v>
      </c>
      <c r="R3" s="205">
        <v>155500</v>
      </c>
      <c r="S3">
        <f t="shared" si="1"/>
        <v>13.290598290598291</v>
      </c>
      <c r="AI3" t="s">
        <v>378</v>
      </c>
      <c r="AJ3">
        <v>-8223</v>
      </c>
      <c r="AK3">
        <v>-110000</v>
      </c>
      <c r="AN3" t="s">
        <v>378</v>
      </c>
      <c r="AO3">
        <v>-59104</v>
      </c>
      <c r="AP3">
        <v>0</v>
      </c>
    </row>
    <row r="4" spans="1:47" x14ac:dyDescent="0.25">
      <c r="A4" t="s">
        <v>379</v>
      </c>
      <c r="B4">
        <v>7262</v>
      </c>
      <c r="C4">
        <v>864126</v>
      </c>
      <c r="D4" s="204">
        <v>0.19800000000000001</v>
      </c>
      <c r="E4" s="205">
        <f t="shared" si="0"/>
        <v>171096.948</v>
      </c>
      <c r="P4" t="s">
        <v>379</v>
      </c>
      <c r="Q4">
        <v>9600</v>
      </c>
      <c r="R4" s="205">
        <v>78400</v>
      </c>
      <c r="S4">
        <f t="shared" si="1"/>
        <v>8.1666666666666661</v>
      </c>
      <c r="Z4" t="s">
        <v>380</v>
      </c>
      <c r="AA4" t="s">
        <v>381</v>
      </c>
      <c r="AB4" t="s">
        <v>382</v>
      </c>
      <c r="AC4" t="s">
        <v>371</v>
      </c>
      <c r="AI4" t="s">
        <v>379</v>
      </c>
      <c r="AJ4">
        <v>-15015</v>
      </c>
      <c r="AK4">
        <v>-90000</v>
      </c>
      <c r="AN4" t="s">
        <v>379</v>
      </c>
      <c r="AO4">
        <v>-42718</v>
      </c>
      <c r="AP4">
        <v>-222</v>
      </c>
    </row>
    <row r="5" spans="1:47" x14ac:dyDescent="0.25">
      <c r="A5" t="s">
        <v>383</v>
      </c>
      <c r="B5">
        <v>7550</v>
      </c>
      <c r="C5">
        <v>479242</v>
      </c>
      <c r="D5" s="204">
        <v>0.25800000000000001</v>
      </c>
      <c r="E5" s="205">
        <f t="shared" si="0"/>
        <v>123644.436</v>
      </c>
      <c r="P5" t="s">
        <v>383</v>
      </c>
      <c r="Q5">
        <v>9800</v>
      </c>
      <c r="R5" s="205">
        <v>119000</v>
      </c>
      <c r="S5">
        <f t="shared" si="1"/>
        <v>12.142857142857142</v>
      </c>
      <c r="Y5" t="s">
        <v>384</v>
      </c>
      <c r="Z5">
        <v>478614</v>
      </c>
      <c r="AA5" s="204">
        <v>0.155</v>
      </c>
      <c r="AB5">
        <f>Z5*AA5</f>
        <v>74185.17</v>
      </c>
      <c r="AC5">
        <v>3761</v>
      </c>
      <c r="AI5" t="s">
        <v>383</v>
      </c>
      <c r="AJ5">
        <v>-18333</v>
      </c>
      <c r="AK5">
        <v>0</v>
      </c>
      <c r="AN5" t="s">
        <v>383</v>
      </c>
      <c r="AO5">
        <v>-110789</v>
      </c>
      <c r="AP5">
        <v>-11811</v>
      </c>
    </row>
    <row r="6" spans="1:47" x14ac:dyDescent="0.25">
      <c r="A6" t="s">
        <v>385</v>
      </c>
      <c r="B6">
        <v>7266</v>
      </c>
      <c r="C6">
        <v>535833</v>
      </c>
      <c r="D6" s="204">
        <v>0.27600000000000002</v>
      </c>
      <c r="E6" s="205">
        <f>C6*D6</f>
        <v>147889.90800000002</v>
      </c>
      <c r="P6" t="s">
        <v>385</v>
      </c>
      <c r="Q6">
        <v>8200</v>
      </c>
      <c r="R6" s="205">
        <v>159300</v>
      </c>
      <c r="S6">
        <f>R6/Q6</f>
        <v>19.426829268292682</v>
      </c>
      <c r="Y6" t="s">
        <v>382</v>
      </c>
      <c r="Z6">
        <v>129679</v>
      </c>
      <c r="AA6" s="204">
        <v>0.44400000000000001</v>
      </c>
      <c r="AB6">
        <f>Z6*AA6</f>
        <v>57577.476000000002</v>
      </c>
      <c r="AC6">
        <v>4736</v>
      </c>
      <c r="AI6" t="s">
        <v>385</v>
      </c>
      <c r="AJ6">
        <v>-22020</v>
      </c>
      <c r="AK6">
        <v>-10213</v>
      </c>
      <c r="AN6" t="s">
        <v>385</v>
      </c>
      <c r="AO6">
        <v>-11829</v>
      </c>
      <c r="AP6">
        <v>-34408</v>
      </c>
    </row>
    <row r="7" spans="1:47" x14ac:dyDescent="0.25">
      <c r="B7">
        <f>SUM(B2:B6)</f>
        <v>36922</v>
      </c>
      <c r="E7">
        <f>SUM(E2:E6)</f>
        <v>775224.30299999996</v>
      </c>
      <c r="Q7">
        <f>SUM(Q2:Q6)</f>
        <v>47300</v>
      </c>
      <c r="R7">
        <f>SUM(R2:R6)</f>
        <v>623400</v>
      </c>
      <c r="S7">
        <f>R7/Q7</f>
        <v>13.17970401691332</v>
      </c>
      <c r="AJ7">
        <f>SUM(AJ2:AJ6)*-1</f>
        <v>63591</v>
      </c>
      <c r="AK7">
        <f>SUM(AK2:AK6)*-1</f>
        <v>210213</v>
      </c>
      <c r="AL7">
        <f>SUM(AJ7:AK7)</f>
        <v>273804</v>
      </c>
      <c r="AO7">
        <f>SUM(AO2:AO6)*-1</f>
        <v>338336</v>
      </c>
      <c r="AP7">
        <f>SUM(AP2:AP6)*-1</f>
        <v>46441</v>
      </c>
      <c r="AQ7">
        <f>SUM(AO7:AP7)</f>
        <v>384777</v>
      </c>
    </row>
    <row r="8" spans="1:47" x14ac:dyDescent="0.25">
      <c r="AJ8">
        <f>AJ7/AL7</f>
        <v>0.23225007669719946</v>
      </c>
      <c r="AK8">
        <f>AK7/AL7</f>
        <v>0.76774992330280056</v>
      </c>
      <c r="AO8">
        <f>AO7/AQ7</f>
        <v>0.87930411641028439</v>
      </c>
      <c r="AP8">
        <f>AP7/AQ7</f>
        <v>0.1206958835897156</v>
      </c>
    </row>
    <row r="10" spans="1:47" x14ac:dyDescent="0.25">
      <c r="AG10" t="s">
        <v>350</v>
      </c>
      <c r="AH10" t="s">
        <v>351</v>
      </c>
    </row>
    <row r="11" spans="1:47" x14ac:dyDescent="0.25">
      <c r="AG11" s="104">
        <f>AJ8</f>
        <v>0.23225007669719946</v>
      </c>
      <c r="AH11" s="104">
        <f>AO8</f>
        <v>0.87930411641028439</v>
      </c>
    </row>
    <row r="12" spans="1:47" x14ac:dyDescent="0.25">
      <c r="AG12" s="104">
        <f>AK8</f>
        <v>0.76774992330280056</v>
      </c>
      <c r="AH12" s="104">
        <f>AP8</f>
        <v>0.1206958835897156</v>
      </c>
      <c r="AP12" t="s">
        <v>350</v>
      </c>
      <c r="AQ12">
        <v>2021</v>
      </c>
      <c r="AR12">
        <v>2022</v>
      </c>
      <c r="AS12">
        <v>2023</v>
      </c>
      <c r="AT12">
        <v>2024</v>
      </c>
      <c r="AU12" t="s">
        <v>301</v>
      </c>
    </row>
    <row r="13" spans="1:47" x14ac:dyDescent="0.25">
      <c r="AP13" t="s">
        <v>298</v>
      </c>
      <c r="AQ13">
        <v>8223</v>
      </c>
      <c r="AR13">
        <v>15015</v>
      </c>
      <c r="AS13">
        <v>18333</v>
      </c>
      <c r="AT13">
        <v>22020</v>
      </c>
      <c r="AU13">
        <f>SUM(AQ13:AT13)/AQ23</f>
        <v>0.23225007669719946</v>
      </c>
    </row>
    <row r="14" spans="1:47" x14ac:dyDescent="0.25">
      <c r="AP14" t="s">
        <v>376</v>
      </c>
      <c r="AQ14">
        <v>110000</v>
      </c>
      <c r="AR14">
        <v>90000</v>
      </c>
      <c r="AS14">
        <v>0</v>
      </c>
      <c r="AT14">
        <v>10213</v>
      </c>
      <c r="AU14">
        <f>1-AU13</f>
        <v>0.76774992330280056</v>
      </c>
    </row>
    <row r="16" spans="1:47" x14ac:dyDescent="0.25">
      <c r="AP16" t="s">
        <v>351</v>
      </c>
      <c r="AQ16">
        <v>2021</v>
      </c>
      <c r="AR16">
        <v>2022</v>
      </c>
      <c r="AS16">
        <v>2023</v>
      </c>
      <c r="AT16">
        <v>2024</v>
      </c>
      <c r="AU16" t="str">
        <f>AU12</f>
        <v>Cumulative</v>
      </c>
    </row>
    <row r="17" spans="31:47" x14ac:dyDescent="0.25">
      <c r="AE17" t="s">
        <v>350</v>
      </c>
      <c r="AF17">
        <v>2020</v>
      </c>
      <c r="AG17">
        <v>2021</v>
      </c>
      <c r="AH17">
        <v>2022</v>
      </c>
      <c r="AI17">
        <v>2023</v>
      </c>
      <c r="AJ17">
        <v>2024</v>
      </c>
      <c r="AK17" t="s">
        <v>386</v>
      </c>
      <c r="AL17" t="s">
        <v>387</v>
      </c>
      <c r="AP17" t="s">
        <v>298</v>
      </c>
      <c r="AQ17">
        <v>59104</v>
      </c>
      <c r="AR17">
        <v>42718</v>
      </c>
      <c r="AS17">
        <v>110789</v>
      </c>
      <c r="AT17">
        <v>11829</v>
      </c>
      <c r="AU17">
        <f>SUM(AQ17:AT17)/AQ21</f>
        <v>0.82855571265611094</v>
      </c>
    </row>
    <row r="18" spans="31:47" x14ac:dyDescent="0.25">
      <c r="AE18" t="s">
        <v>298</v>
      </c>
      <c r="AF18">
        <v>0</v>
      </c>
      <c r="AG18">
        <v>8223</v>
      </c>
      <c r="AH18">
        <v>15015</v>
      </c>
      <c r="AI18">
        <v>18333</v>
      </c>
      <c r="AJ18">
        <v>22020</v>
      </c>
      <c r="AK18">
        <f>SUM(AF18:AJ18)/AL18</f>
        <v>0.23225007669719946</v>
      </c>
      <c r="AL18">
        <f>SUM(AF18:AJ19)</f>
        <v>273804</v>
      </c>
      <c r="AP18" t="s">
        <v>376</v>
      </c>
      <c r="AQ18">
        <v>0</v>
      </c>
      <c r="AR18">
        <v>222</v>
      </c>
      <c r="AS18">
        <v>11811</v>
      </c>
      <c r="AT18">
        <v>34408</v>
      </c>
      <c r="AU18">
        <f>1-AU17</f>
        <v>0.17144428734388906</v>
      </c>
    </row>
    <row r="19" spans="31:47" x14ac:dyDescent="0.25">
      <c r="AE19" t="s">
        <v>376</v>
      </c>
      <c r="AF19">
        <v>0</v>
      </c>
      <c r="AG19">
        <v>110000</v>
      </c>
      <c r="AH19">
        <v>90000</v>
      </c>
      <c r="AI19">
        <v>0</v>
      </c>
      <c r="AJ19">
        <v>10213</v>
      </c>
      <c r="AK19">
        <f>1-AK18</f>
        <v>0.76774992330280056</v>
      </c>
    </row>
    <row r="21" spans="31:47" x14ac:dyDescent="0.25">
      <c r="AE21" t="s">
        <v>351</v>
      </c>
      <c r="AF21">
        <v>2020</v>
      </c>
      <c r="AG21">
        <v>2021</v>
      </c>
      <c r="AH21">
        <v>2022</v>
      </c>
      <c r="AI21">
        <v>2023</v>
      </c>
      <c r="AJ21">
        <v>2024</v>
      </c>
      <c r="AK21" t="str">
        <f>AK17</f>
        <v>Cummulative %</v>
      </c>
      <c r="AL21" t="str">
        <f>AL17</f>
        <v>Total</v>
      </c>
      <c r="AP21" t="s">
        <v>388</v>
      </c>
      <c r="AQ21">
        <f>SUM(AQ17:AT18)</f>
        <v>270881</v>
      </c>
    </row>
    <row r="22" spans="31:47" x14ac:dyDescent="0.25">
      <c r="AE22" t="s">
        <v>298</v>
      </c>
      <c r="AF22">
        <v>113896</v>
      </c>
      <c r="AG22">
        <v>59104</v>
      </c>
      <c r="AH22">
        <v>42718</v>
      </c>
      <c r="AI22">
        <v>110789</v>
      </c>
      <c r="AJ22">
        <v>11829</v>
      </c>
      <c r="AK22">
        <f>SUM(AF22:AJ22)/AL22</f>
        <v>0.87930411641028439</v>
      </c>
      <c r="AL22">
        <f>SUM(AF22:AJ23)</f>
        <v>384777</v>
      </c>
    </row>
    <row r="23" spans="31:47" x14ac:dyDescent="0.25">
      <c r="AE23" t="s">
        <v>376</v>
      </c>
      <c r="AF23">
        <v>0</v>
      </c>
      <c r="AG23">
        <v>0</v>
      </c>
      <c r="AH23">
        <v>222</v>
      </c>
      <c r="AI23">
        <v>11811</v>
      </c>
      <c r="AJ23">
        <v>34408</v>
      </c>
      <c r="AK23">
        <f>1-AK22</f>
        <v>0.12069588358971561</v>
      </c>
      <c r="AP23" t="s">
        <v>389</v>
      </c>
      <c r="AQ23">
        <f>SUM(AQ13:AT14)</f>
        <v>273804</v>
      </c>
    </row>
    <row r="25" spans="31:47" x14ac:dyDescent="0.25">
      <c r="AG25" t="s">
        <v>390</v>
      </c>
    </row>
    <row r="26" spans="31:47" x14ac:dyDescent="0.25">
      <c r="AE26" t="s">
        <v>350</v>
      </c>
    </row>
    <row r="27" spans="31:47" x14ac:dyDescent="0.25">
      <c r="AE27" t="str">
        <f>AE18</f>
        <v>Dividend</v>
      </c>
      <c r="AF27" s="104">
        <f>AK18</f>
        <v>0.23225007669719946</v>
      </c>
    </row>
    <row r="28" spans="31:47" x14ac:dyDescent="0.25">
      <c r="AE28" t="str">
        <f>AE19</f>
        <v>Buyback</v>
      </c>
      <c r="AF28" s="104">
        <f>AK19</f>
        <v>0.76774992330280056</v>
      </c>
    </row>
    <row r="29" spans="31:47" x14ac:dyDescent="0.25">
      <c r="AF29" s="104"/>
      <c r="AG29" t="s">
        <v>391</v>
      </c>
    </row>
    <row r="30" spans="31:47" x14ac:dyDescent="0.25">
      <c r="AE30" t="s">
        <v>351</v>
      </c>
      <c r="AF30" s="104"/>
    </row>
    <row r="31" spans="31:47" x14ac:dyDescent="0.25">
      <c r="AE31" t="str">
        <f>AE22</f>
        <v>Dividend</v>
      </c>
      <c r="AF31" s="104">
        <f>AK22</f>
        <v>0.87930411641028439</v>
      </c>
    </row>
    <row r="32" spans="31:47" x14ac:dyDescent="0.25">
      <c r="AE32" t="str">
        <f>AE23</f>
        <v>Buyback</v>
      </c>
      <c r="AF32" s="104">
        <f>AK23</f>
        <v>0.12069588358971561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3EB10-2910-4D51-A6D1-F7660B4E8939}">
  <dimension ref="B1:AC21"/>
  <sheetViews>
    <sheetView showGridLines="0" topLeftCell="F1" workbookViewId="0">
      <selection activeCell="AG15" sqref="AG15"/>
    </sheetView>
  </sheetViews>
  <sheetFormatPr defaultRowHeight="15" customHeight="1" x14ac:dyDescent="0.25"/>
  <cols>
    <col min="4" max="4" width="9.140625" bestFit="1" customWidth="1"/>
    <col min="18" max="18" width="1.5703125" bestFit="1" customWidth="1"/>
    <col min="19" max="20" width="1.5703125" customWidth="1"/>
    <col min="24" max="24" width="1.5703125" bestFit="1" customWidth="1"/>
    <col min="25" max="26" width="1.5703125" customWidth="1"/>
  </cols>
  <sheetData>
    <row r="1" spans="2:29" x14ac:dyDescent="0.25"/>
    <row r="2" spans="2:29" ht="14.1" customHeight="1" x14ac:dyDescent="0.25">
      <c r="B2" s="254" t="s">
        <v>392</v>
      </c>
      <c r="C2" s="255"/>
      <c r="D2" s="256"/>
      <c r="G2" s="251" t="s">
        <v>393</v>
      </c>
      <c r="H2" s="251"/>
      <c r="I2" s="251"/>
      <c r="O2" s="240" t="s">
        <v>394</v>
      </c>
      <c r="P2" s="241"/>
      <c r="Q2" s="242"/>
      <c r="R2" s="212"/>
      <c r="S2" s="212"/>
      <c r="T2" s="212"/>
      <c r="U2" s="240" t="s">
        <v>395</v>
      </c>
      <c r="V2" s="241"/>
      <c r="W2" s="242"/>
      <c r="X2" s="212"/>
      <c r="Y2" s="212"/>
      <c r="Z2" s="212"/>
      <c r="AA2" s="240" t="s">
        <v>396</v>
      </c>
      <c r="AB2" s="241"/>
      <c r="AC2" s="242"/>
    </row>
    <row r="3" spans="2:29" x14ac:dyDescent="0.25">
      <c r="B3" s="252" t="s">
        <v>397</v>
      </c>
      <c r="C3" s="253"/>
      <c r="D3" s="199">
        <v>58930.159083356251</v>
      </c>
      <c r="G3" s="246" t="s">
        <v>322</v>
      </c>
      <c r="H3" s="246"/>
      <c r="I3" s="209">
        <f>Valuation!G5</f>
        <v>591102.74264281325</v>
      </c>
      <c r="J3" s="209">
        <v>474263.57670374389</v>
      </c>
      <c r="O3" s="243" t="s">
        <v>322</v>
      </c>
      <c r="P3" s="244"/>
      <c r="Q3" s="213">
        <v>474263.57670374389</v>
      </c>
      <c r="R3" s="212"/>
      <c r="S3" s="212"/>
      <c r="T3" s="212"/>
      <c r="U3" s="243" t="s">
        <v>322</v>
      </c>
      <c r="V3" s="244"/>
      <c r="W3" s="213">
        <v>591102.74264281325</v>
      </c>
      <c r="X3" s="212"/>
      <c r="Y3" s="212"/>
      <c r="Z3" s="212"/>
      <c r="AA3" s="243" t="s">
        <v>322</v>
      </c>
      <c r="AB3" s="244"/>
      <c r="AC3" s="213">
        <v>625963.40110655047</v>
      </c>
    </row>
    <row r="4" spans="2:29" x14ac:dyDescent="0.25">
      <c r="B4" s="245" t="s">
        <v>294</v>
      </c>
      <c r="C4" s="246"/>
      <c r="D4" s="200">
        <v>0.11455185676683119</v>
      </c>
      <c r="G4" s="246" t="s">
        <v>211</v>
      </c>
      <c r="H4" s="246"/>
      <c r="I4" s="209">
        <f>Valuation!G7</f>
        <v>92179.932688355198</v>
      </c>
      <c r="J4" s="209">
        <v>40321.750333579359</v>
      </c>
      <c r="O4" s="230" t="s">
        <v>211</v>
      </c>
      <c r="P4" s="231"/>
      <c r="Q4" s="214">
        <v>40321.750333579359</v>
      </c>
      <c r="R4" s="212"/>
      <c r="S4" s="212"/>
      <c r="T4" s="212"/>
      <c r="U4" s="230" t="s">
        <v>211</v>
      </c>
      <c r="V4" s="231"/>
      <c r="W4" s="214">
        <v>92179.932688355198</v>
      </c>
      <c r="X4" s="212"/>
      <c r="Y4" s="212"/>
      <c r="Z4" s="212"/>
      <c r="AA4" s="230" t="s">
        <v>211</v>
      </c>
      <c r="AB4" s="231"/>
      <c r="AC4" s="214">
        <v>100106.94132142216</v>
      </c>
    </row>
    <row r="5" spans="2:29" ht="14.1" customHeight="1" x14ac:dyDescent="0.25">
      <c r="B5" s="245" t="s">
        <v>398</v>
      </c>
      <c r="C5" s="246"/>
      <c r="D5" s="201">
        <v>6</v>
      </c>
      <c r="G5" s="246" t="s">
        <v>399</v>
      </c>
      <c r="H5" s="246"/>
      <c r="I5" s="210">
        <f>Valuation!G8</f>
        <v>0.15594570290135998</v>
      </c>
      <c r="J5" s="210">
        <v>8.5019707003067976E-2</v>
      </c>
      <c r="O5" s="230" t="s">
        <v>399</v>
      </c>
      <c r="P5" s="231"/>
      <c r="Q5" s="215">
        <v>8.5019707003067976E-2</v>
      </c>
      <c r="R5" s="212"/>
      <c r="S5" s="212"/>
      <c r="T5" s="212"/>
      <c r="U5" s="230" t="s">
        <v>399</v>
      </c>
      <c r="V5" s="231"/>
      <c r="W5" s="215">
        <v>0.15594570290135998</v>
      </c>
      <c r="X5" s="212"/>
      <c r="Y5" s="212"/>
      <c r="Z5" s="212"/>
      <c r="AA5" s="230" t="s">
        <v>399</v>
      </c>
      <c r="AB5" s="231"/>
      <c r="AC5" s="215">
        <v>0.15992459166855047</v>
      </c>
    </row>
    <row r="6" spans="2:29" x14ac:dyDescent="0.25">
      <c r="B6" s="247" t="s">
        <v>400</v>
      </c>
      <c r="C6" s="248"/>
      <c r="D6" s="203">
        <v>-0.1945468074771336</v>
      </c>
      <c r="G6" s="246" t="s">
        <v>398</v>
      </c>
      <c r="H6" s="246"/>
      <c r="I6" s="211">
        <f ca="1">Valuation!G9</f>
        <v>7.760664486417614</v>
      </c>
      <c r="J6" s="211">
        <v>6</v>
      </c>
      <c r="O6" s="230" t="s">
        <v>398</v>
      </c>
      <c r="P6" s="231"/>
      <c r="Q6" s="216">
        <v>6</v>
      </c>
      <c r="R6" s="212"/>
      <c r="S6" s="212"/>
      <c r="T6" s="212"/>
      <c r="U6" s="230" t="s">
        <v>398</v>
      </c>
      <c r="V6" s="231"/>
      <c r="W6" s="216">
        <v>7.8121363095108105</v>
      </c>
      <c r="X6" s="212"/>
      <c r="Y6" s="212"/>
      <c r="Z6" s="212"/>
      <c r="AA6" s="230" t="s">
        <v>398</v>
      </c>
      <c r="AB6" s="231"/>
      <c r="AC6" s="216">
        <v>10.6</v>
      </c>
    </row>
    <row r="7" spans="2:29" ht="14.1" customHeight="1" x14ac:dyDescent="0.25">
      <c r="B7" s="249" t="s">
        <v>288</v>
      </c>
      <c r="C7" s="250"/>
      <c r="D7" s="202">
        <v>-6.570078432559967E-2</v>
      </c>
      <c r="G7" s="246" t="s">
        <v>290</v>
      </c>
      <c r="H7" s="246"/>
      <c r="I7" s="210">
        <f ca="1">Valuation!G31</f>
        <v>6.6983217049152E-2</v>
      </c>
      <c r="J7" s="210">
        <v>7.5354427597828552E-2</v>
      </c>
      <c r="O7" s="230" t="s">
        <v>290</v>
      </c>
      <c r="P7" s="231"/>
      <c r="Q7" s="215">
        <v>7.5354427597828552E-2</v>
      </c>
      <c r="R7" s="212"/>
      <c r="S7" s="212"/>
      <c r="T7" s="212"/>
      <c r="U7" s="230" t="s">
        <v>290</v>
      </c>
      <c r="V7" s="231"/>
      <c r="W7" s="215">
        <v>6.6517995106752742E-2</v>
      </c>
      <c r="X7" s="212"/>
      <c r="Y7" s="212"/>
      <c r="Z7" s="212"/>
      <c r="AA7" s="230" t="s">
        <v>290</v>
      </c>
      <c r="AB7" s="231"/>
      <c r="AC7" s="215">
        <v>4.6558910172797549E-2</v>
      </c>
    </row>
    <row r="8" spans="2:29" x14ac:dyDescent="0.25">
      <c r="B8" s="198"/>
      <c r="C8" s="198"/>
      <c r="D8" s="198"/>
      <c r="G8" s="229" t="s">
        <v>400</v>
      </c>
      <c r="H8" s="229"/>
      <c r="I8" s="210">
        <f ca="1">Valuation!G27</f>
        <v>0.73532754321306681</v>
      </c>
      <c r="J8" s="210">
        <v>-0.44756300352087386</v>
      </c>
      <c r="O8" s="236" t="s">
        <v>400</v>
      </c>
      <c r="P8" s="237"/>
      <c r="Q8" s="217">
        <v>-0.44756300352087386</v>
      </c>
      <c r="R8" s="218"/>
      <c r="S8" s="218"/>
      <c r="T8" s="218"/>
      <c r="U8" s="236" t="s">
        <v>400</v>
      </c>
      <c r="V8" s="237"/>
      <c r="W8" s="220">
        <v>0.73121362833571535</v>
      </c>
      <c r="X8" s="218"/>
      <c r="Y8" s="218"/>
      <c r="Z8" s="218"/>
      <c r="AA8" s="232" t="s">
        <v>400</v>
      </c>
      <c r="AB8" s="233"/>
      <c r="AC8" s="217">
        <v>1.5959456977468611</v>
      </c>
    </row>
    <row r="9" spans="2:29" x14ac:dyDescent="0.25">
      <c r="B9" s="254" t="s">
        <v>401</v>
      </c>
      <c r="C9" s="255"/>
      <c r="D9" s="256"/>
      <c r="G9" s="229" t="s">
        <v>288</v>
      </c>
      <c r="H9" s="229"/>
      <c r="I9" s="210">
        <f ca="1">Valuation!G28</f>
        <v>0.19063846468925474</v>
      </c>
      <c r="J9" s="210">
        <v>-0.17045878432691097</v>
      </c>
      <c r="O9" s="238" t="s">
        <v>288</v>
      </c>
      <c r="P9" s="239"/>
      <c r="Q9" s="219">
        <v>-0.17045878432691097</v>
      </c>
      <c r="R9" s="218"/>
      <c r="S9" s="218"/>
      <c r="T9" s="218"/>
      <c r="U9" s="238" t="s">
        <v>288</v>
      </c>
      <c r="V9" s="239"/>
      <c r="W9" s="221">
        <v>0.1886745870113373</v>
      </c>
      <c r="X9" s="218"/>
      <c r="Y9" s="218"/>
      <c r="Z9" s="218"/>
      <c r="AA9" s="234" t="s">
        <v>288</v>
      </c>
      <c r="AB9" s="235"/>
      <c r="AC9" s="219">
        <v>0.3504320323467256</v>
      </c>
    </row>
    <row r="10" spans="2:29" x14ac:dyDescent="0.25">
      <c r="B10" s="252" t="s">
        <v>397</v>
      </c>
      <c r="C10" s="253"/>
      <c r="D10" s="199">
        <v>90695.984787830181</v>
      </c>
    </row>
    <row r="11" spans="2:29" x14ac:dyDescent="0.25">
      <c r="B11" s="245" t="s">
        <v>294</v>
      </c>
      <c r="C11" s="246"/>
      <c r="D11" s="200">
        <v>0.15560547053973281</v>
      </c>
    </row>
    <row r="12" spans="2:29" x14ac:dyDescent="0.25">
      <c r="B12" s="245" t="s">
        <v>398</v>
      </c>
      <c r="C12" s="246"/>
      <c r="D12" s="201">
        <v>7.8721967798645993</v>
      </c>
    </row>
    <row r="13" spans="2:29" x14ac:dyDescent="0.25">
      <c r="B13" s="247" t="s">
        <v>400</v>
      </c>
      <c r="C13" s="248"/>
      <c r="D13" s="203">
        <v>0.70822544947010657</v>
      </c>
    </row>
    <row r="14" spans="2:29" x14ac:dyDescent="0.25">
      <c r="B14" s="249" t="s">
        <v>288</v>
      </c>
      <c r="C14" s="250"/>
      <c r="D14" s="202">
        <v>0.18316579461097718</v>
      </c>
    </row>
    <row r="15" spans="2:29" x14ac:dyDescent="0.25">
      <c r="B15" s="198"/>
      <c r="C15" s="198"/>
      <c r="D15" s="198"/>
    </row>
    <row r="16" spans="2:29" x14ac:dyDescent="0.25">
      <c r="B16" s="254" t="s">
        <v>402</v>
      </c>
      <c r="C16" s="255"/>
      <c r="D16" s="256"/>
    </row>
    <row r="17" spans="2:4" x14ac:dyDescent="0.25">
      <c r="B17" s="252" t="s">
        <v>397</v>
      </c>
      <c r="C17" s="253"/>
      <c r="D17" s="199">
        <v>105283.86821222542</v>
      </c>
    </row>
    <row r="18" spans="2:4" x14ac:dyDescent="0.25">
      <c r="B18" s="245" t="s">
        <v>294</v>
      </c>
      <c r="C18" s="246"/>
      <c r="D18" s="200">
        <v>0.16819492645434103</v>
      </c>
    </row>
    <row r="19" spans="2:4" x14ac:dyDescent="0.25">
      <c r="B19" s="245" t="s">
        <v>398</v>
      </c>
      <c r="C19" s="246"/>
      <c r="D19" s="201">
        <v>10.199999999999999</v>
      </c>
    </row>
    <row r="20" spans="2:4" x14ac:dyDescent="0.25">
      <c r="B20" s="247" t="s">
        <v>400</v>
      </c>
      <c r="C20" s="248"/>
      <c r="D20" s="203">
        <v>1.6583452900599651</v>
      </c>
    </row>
    <row r="21" spans="2:4" x14ac:dyDescent="0.25">
      <c r="B21" s="249" t="s">
        <v>288</v>
      </c>
      <c r="C21" s="250"/>
      <c r="D21" s="202">
        <v>0.35949060320854187</v>
      </c>
    </row>
  </sheetData>
  <mergeCells count="50">
    <mergeCell ref="B10:C10"/>
    <mergeCell ref="B11:C11"/>
    <mergeCell ref="B12:C12"/>
    <mergeCell ref="B2:D2"/>
    <mergeCell ref="B3:C3"/>
    <mergeCell ref="B4:C4"/>
    <mergeCell ref="B5:C5"/>
    <mergeCell ref="B6:C6"/>
    <mergeCell ref="B19:C19"/>
    <mergeCell ref="B20:C20"/>
    <mergeCell ref="B21:C21"/>
    <mergeCell ref="G2:I2"/>
    <mergeCell ref="G3:H3"/>
    <mergeCell ref="G4:H4"/>
    <mergeCell ref="G5:H5"/>
    <mergeCell ref="G6:H6"/>
    <mergeCell ref="G7:H7"/>
    <mergeCell ref="B17:C17"/>
    <mergeCell ref="B18:C18"/>
    <mergeCell ref="B7:C7"/>
    <mergeCell ref="B9:D9"/>
    <mergeCell ref="B13:C13"/>
    <mergeCell ref="B14:C14"/>
    <mergeCell ref="B16:D16"/>
    <mergeCell ref="O9:P9"/>
    <mergeCell ref="O2:Q2"/>
    <mergeCell ref="U2:W2"/>
    <mergeCell ref="AA2:AC2"/>
    <mergeCell ref="O3:P3"/>
    <mergeCell ref="O4:P4"/>
    <mergeCell ref="U3:V3"/>
    <mergeCell ref="U4:V4"/>
    <mergeCell ref="AA3:AB3"/>
    <mergeCell ref="AA4:AB4"/>
    <mergeCell ref="G8:H8"/>
    <mergeCell ref="G9:H9"/>
    <mergeCell ref="AA5:AB5"/>
    <mergeCell ref="AA6:AB6"/>
    <mergeCell ref="AA7:AB7"/>
    <mergeCell ref="AA8:AB8"/>
    <mergeCell ref="AA9:AB9"/>
    <mergeCell ref="U5:V5"/>
    <mergeCell ref="U6:V6"/>
    <mergeCell ref="U7:V7"/>
    <mergeCell ref="U8:V8"/>
    <mergeCell ref="U9:V9"/>
    <mergeCell ref="O5:P5"/>
    <mergeCell ref="O6:P6"/>
    <mergeCell ref="O7:P7"/>
    <mergeCell ref="O8:P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64D66-F48B-4DCB-8ED3-D14AA744AD02}">
  <dimension ref="A1:Y23"/>
  <sheetViews>
    <sheetView workbookViewId="0">
      <selection activeCell="H22" sqref="H22"/>
    </sheetView>
  </sheetViews>
  <sheetFormatPr defaultRowHeight="15" x14ac:dyDescent="0.25"/>
  <cols>
    <col min="21" max="25" width="11.7109375" bestFit="1" customWidth="1"/>
  </cols>
  <sheetData>
    <row r="1" spans="1:25" s="28" customFormat="1" x14ac:dyDescent="0.25">
      <c r="A1" s="28" t="s">
        <v>97</v>
      </c>
      <c r="B1" s="32" t="s">
        <v>98</v>
      </c>
      <c r="C1" s="33" t="s">
        <v>99</v>
      </c>
      <c r="D1" s="33" t="s">
        <v>99</v>
      </c>
      <c r="E1" s="33" t="s">
        <v>100</v>
      </c>
      <c r="F1" s="33" t="s">
        <v>101</v>
      </c>
      <c r="G1" s="33" t="s">
        <v>102</v>
      </c>
      <c r="H1" s="33" t="s">
        <v>103</v>
      </c>
      <c r="I1" s="33" t="s">
        <v>104</v>
      </c>
      <c r="J1" s="33" t="s">
        <v>105</v>
      </c>
      <c r="K1" s="33" t="s">
        <v>106</v>
      </c>
      <c r="L1" s="33" t="s">
        <v>107</v>
      </c>
      <c r="M1" s="33" t="s">
        <v>108</v>
      </c>
      <c r="N1" s="33" t="s">
        <v>109</v>
      </c>
      <c r="O1" s="33" t="s">
        <v>110</v>
      </c>
      <c r="P1" s="33" t="s">
        <v>111</v>
      </c>
      <c r="Q1" s="33" t="s">
        <v>112</v>
      </c>
      <c r="R1" s="33" t="s">
        <v>113</v>
      </c>
      <c r="S1" s="33" t="s">
        <v>114</v>
      </c>
      <c r="T1" s="30" t="s">
        <v>115</v>
      </c>
      <c r="U1" s="30" t="s">
        <v>116</v>
      </c>
      <c r="V1" s="30" t="s">
        <v>117</v>
      </c>
      <c r="W1" s="30" t="s">
        <v>118</v>
      </c>
      <c r="X1" s="30" t="s">
        <v>119</v>
      </c>
      <c r="Y1" s="30" t="s">
        <v>120</v>
      </c>
    </row>
    <row r="2" spans="1:25" s="28" customFormat="1" x14ac:dyDescent="0.25">
      <c r="B2" s="34" t="s">
        <v>121</v>
      </c>
      <c r="C2" s="35">
        <v>44408</v>
      </c>
      <c r="D2" s="35">
        <v>44500</v>
      </c>
      <c r="E2" s="35">
        <v>44592</v>
      </c>
      <c r="F2" s="35">
        <v>44681</v>
      </c>
      <c r="G2" s="35">
        <v>44681</v>
      </c>
      <c r="H2" s="35">
        <v>44773</v>
      </c>
      <c r="I2" s="35">
        <v>44865</v>
      </c>
      <c r="J2" s="35">
        <v>44957</v>
      </c>
      <c r="K2" s="35">
        <v>45046</v>
      </c>
      <c r="L2" s="35">
        <v>45046</v>
      </c>
      <c r="M2" s="35">
        <v>45138</v>
      </c>
      <c r="N2" s="35">
        <v>45230</v>
      </c>
      <c r="O2" s="35">
        <v>45322</v>
      </c>
      <c r="P2" s="35">
        <v>45412</v>
      </c>
      <c r="Q2" s="35">
        <v>45412</v>
      </c>
      <c r="R2" s="35">
        <v>45504</v>
      </c>
      <c r="S2" s="35">
        <v>45596</v>
      </c>
      <c r="T2" s="31">
        <v>45688</v>
      </c>
      <c r="U2" s="31">
        <v>45777</v>
      </c>
      <c r="V2" s="31">
        <v>45777</v>
      </c>
      <c r="W2" s="31">
        <v>46053</v>
      </c>
      <c r="X2" s="31">
        <v>46507</v>
      </c>
      <c r="Y2" s="31">
        <v>46873</v>
      </c>
    </row>
    <row r="3" spans="1:25" s="47" customFormat="1" x14ac:dyDescent="0.25">
      <c r="B3" s="46" t="s">
        <v>122</v>
      </c>
      <c r="C3" s="48">
        <v>274609</v>
      </c>
      <c r="D3" s="48">
        <v>230479</v>
      </c>
      <c r="E3" s="48">
        <v>177738</v>
      </c>
      <c r="F3" s="48">
        <v>181300</v>
      </c>
      <c r="G3" s="48">
        <v>864126</v>
      </c>
      <c r="H3" s="48">
        <v>84394</v>
      </c>
      <c r="I3" s="48">
        <v>121035</v>
      </c>
      <c r="J3" s="48">
        <v>129036</v>
      </c>
      <c r="K3" s="48">
        <v>144867</v>
      </c>
      <c r="L3" s="48">
        <v>479332</v>
      </c>
      <c r="M3" s="48">
        <v>114243</v>
      </c>
      <c r="N3" s="48">
        <v>124958</v>
      </c>
      <c r="O3" s="48">
        <v>137484</v>
      </c>
      <c r="P3" s="48">
        <v>159148</v>
      </c>
      <c r="Q3" s="48">
        <v>535833</v>
      </c>
      <c r="R3" s="48">
        <v>88334</v>
      </c>
      <c r="S3" s="48">
        <v>129679</v>
      </c>
      <c r="T3" s="48">
        <v>137046.73431224987</v>
      </c>
      <c r="U3" s="48">
        <v>154230.17310029466</v>
      </c>
      <c r="V3" s="48">
        <v>509289.90741254459</v>
      </c>
      <c r="W3" s="48">
        <v>534888.81222762016</v>
      </c>
      <c r="X3" s="48">
        <v>562346.49445162632</v>
      </c>
      <c r="Y3" s="48">
        <v>591102.74264281325</v>
      </c>
    </row>
    <row r="4" spans="1:25" s="42" customFormat="1" x14ac:dyDescent="0.25">
      <c r="B4" s="36" t="s">
        <v>127</v>
      </c>
      <c r="C4" s="42">
        <v>197856</v>
      </c>
      <c r="D4" s="42">
        <v>157525</v>
      </c>
      <c r="E4" s="42">
        <v>132921</v>
      </c>
      <c r="F4" s="40">
        <v>135917</v>
      </c>
      <c r="G4" s="42">
        <v>624219</v>
      </c>
      <c r="H4" s="42">
        <v>59367</v>
      </c>
      <c r="I4" s="42">
        <v>93037</v>
      </c>
      <c r="J4" s="42">
        <v>101952</v>
      </c>
      <c r="K4" s="40">
        <v>106312</v>
      </c>
      <c r="L4" s="42">
        <v>360668</v>
      </c>
      <c r="M4" s="42">
        <v>86106</v>
      </c>
      <c r="N4" s="42">
        <v>88347</v>
      </c>
      <c r="O4" s="42">
        <v>94451</v>
      </c>
      <c r="P4" s="40">
        <v>112994</v>
      </c>
      <c r="Q4" s="42">
        <v>381898</v>
      </c>
      <c r="R4" s="42">
        <v>53277</v>
      </c>
      <c r="S4" s="42">
        <v>93810</v>
      </c>
      <c r="T4" s="40">
        <v>89728.449999999983</v>
      </c>
      <c r="U4" s="40">
        <v>104519.45000000001</v>
      </c>
      <c r="V4" s="40">
        <v>341334.9</v>
      </c>
      <c r="W4" s="40">
        <v>350277.87437999999</v>
      </c>
      <c r="X4" s="40">
        <v>359455.15468875604</v>
      </c>
      <c r="Y4" s="40">
        <v>368872.87974160141</v>
      </c>
    </row>
    <row r="5" spans="1:25" s="42" customFormat="1" x14ac:dyDescent="0.25">
      <c r="B5" s="36" t="s">
        <v>128</v>
      </c>
      <c r="C5" s="42">
        <v>67691</v>
      </c>
      <c r="D5" s="42">
        <v>60320</v>
      </c>
      <c r="E5" s="42">
        <v>29459</v>
      </c>
      <c r="F5" s="40">
        <v>31997</v>
      </c>
      <c r="G5" s="42">
        <v>189467</v>
      </c>
      <c r="H5" s="42">
        <v>14105</v>
      </c>
      <c r="I5" s="42">
        <v>16999</v>
      </c>
      <c r="J5" s="42">
        <v>15312</v>
      </c>
      <c r="K5" s="40">
        <v>27904</v>
      </c>
      <c r="L5" s="42">
        <v>74320</v>
      </c>
      <c r="M5" s="42">
        <v>18782</v>
      </c>
      <c r="N5" s="42">
        <v>28120</v>
      </c>
      <c r="O5" s="42">
        <v>32236</v>
      </c>
      <c r="P5" s="40">
        <v>37353</v>
      </c>
      <c r="Q5" s="42">
        <v>116491</v>
      </c>
      <c r="R5" s="42">
        <v>24721</v>
      </c>
      <c r="S5" s="42">
        <v>25132</v>
      </c>
      <c r="T5" s="40">
        <v>36555.624000000003</v>
      </c>
      <c r="U5" s="40">
        <v>41181.682500000003</v>
      </c>
      <c r="V5" s="40">
        <v>127590.30650000001</v>
      </c>
      <c r="W5" s="40">
        <v>142707.20601411996</v>
      </c>
      <c r="X5" s="40">
        <v>158836.54526665984</v>
      </c>
      <c r="Y5" s="40">
        <v>175922.27476790387</v>
      </c>
    </row>
    <row r="6" spans="1:25" s="42" customFormat="1" x14ac:dyDescent="0.25">
      <c r="B6" s="36" t="s">
        <v>129</v>
      </c>
      <c r="C6" s="42">
        <v>9062</v>
      </c>
      <c r="D6" s="42">
        <v>12634</v>
      </c>
      <c r="E6" s="42">
        <v>15358</v>
      </c>
      <c r="F6" s="42">
        <v>13386</v>
      </c>
      <c r="G6" s="42">
        <v>50440</v>
      </c>
      <c r="H6" s="42">
        <v>10922</v>
      </c>
      <c r="I6" s="42">
        <v>10999</v>
      </c>
      <c r="J6" s="42">
        <v>11772</v>
      </c>
      <c r="K6" s="40">
        <v>10651</v>
      </c>
      <c r="L6" s="42">
        <v>44344</v>
      </c>
      <c r="M6" s="42">
        <v>9355</v>
      </c>
      <c r="N6" s="42">
        <v>8491</v>
      </c>
      <c r="O6" s="42">
        <v>10797</v>
      </c>
      <c r="P6" s="40">
        <v>8801</v>
      </c>
      <c r="Q6" s="42">
        <v>37444</v>
      </c>
      <c r="R6" s="42">
        <v>10336</v>
      </c>
      <c r="S6" s="42">
        <v>10737</v>
      </c>
      <c r="T6" s="40">
        <v>10762.660312249876</v>
      </c>
      <c r="U6" s="40">
        <v>8529.0406002946511</v>
      </c>
      <c r="V6" s="40">
        <v>40364.700912544533</v>
      </c>
      <c r="W6" s="40">
        <v>41903.731833500198</v>
      </c>
      <c r="X6" s="40">
        <v>44054.794496210357</v>
      </c>
      <c r="Y6" s="40">
        <v>46307.588133307952</v>
      </c>
    </row>
    <row r="7" spans="1:25" x14ac:dyDescent="0.25">
      <c r="V7">
        <f t="shared" ref="V7:X7" si="0">V5/V3</f>
        <v>0.25052588838491729</v>
      </c>
      <c r="W7">
        <f t="shared" si="0"/>
        <v>0.2667978891160494</v>
      </c>
      <c r="X7">
        <f t="shared" si="0"/>
        <v>0.28245316158954581</v>
      </c>
      <c r="Y7">
        <f>Y5/Y3</f>
        <v>0.29761708426754629</v>
      </c>
    </row>
    <row r="8" spans="1:25" x14ac:dyDescent="0.25">
      <c r="S8" s="40">
        <f>S3+R3+P3+O3</f>
        <v>514645</v>
      </c>
    </row>
    <row r="9" spans="1:25" x14ac:dyDescent="0.25">
      <c r="S9" s="40">
        <f>S4+R4+P4+O4</f>
        <v>354532</v>
      </c>
      <c r="X9" t="s">
        <v>403</v>
      </c>
      <c r="Y9" s="101">
        <f>S9/S8</f>
        <v>0.68888651400479939</v>
      </c>
    </row>
    <row r="10" spans="1:25" x14ac:dyDescent="0.25">
      <c r="S10" s="40">
        <f>S5+R5+P5+O5</f>
        <v>119442</v>
      </c>
      <c r="X10" t="s">
        <v>404</v>
      </c>
      <c r="Y10" s="101">
        <f>S10/S8</f>
        <v>0.23208619533853433</v>
      </c>
    </row>
    <row r="11" spans="1:25" x14ac:dyDescent="0.25">
      <c r="S11" s="40">
        <f>S6+R6+P6+O6</f>
        <v>40671</v>
      </c>
      <c r="X11" t="s">
        <v>405</v>
      </c>
      <c r="Y11" s="101">
        <f>S11/S8</f>
        <v>7.9027290656666249E-2</v>
      </c>
    </row>
    <row r="13" spans="1:25" x14ac:dyDescent="0.25">
      <c r="U13" t="s">
        <v>356</v>
      </c>
      <c r="V13" t="s">
        <v>406</v>
      </c>
      <c r="W13" t="s">
        <v>407</v>
      </c>
      <c r="X13" t="s">
        <v>408</v>
      </c>
      <c r="Y13" t="s">
        <v>409</v>
      </c>
    </row>
    <row r="14" spans="1:25" x14ac:dyDescent="0.25">
      <c r="U14" s="208">
        <f>S10</f>
        <v>119442</v>
      </c>
      <c r="V14" s="208">
        <f t="shared" ref="V14:X14" si="1">V5</f>
        <v>127590.30650000001</v>
      </c>
      <c r="W14" s="208">
        <f t="shared" si="1"/>
        <v>142707.20601411996</v>
      </c>
      <c r="X14" s="208">
        <f t="shared" si="1"/>
        <v>158836.54526665984</v>
      </c>
      <c r="Y14" s="208">
        <f>Y5</f>
        <v>175922.27476790387</v>
      </c>
    </row>
    <row r="15" spans="1:25" x14ac:dyDescent="0.25">
      <c r="U15" s="45">
        <f>U14/S8</f>
        <v>0.23208619533853433</v>
      </c>
      <c r="V15" s="45">
        <f>V14/V3</f>
        <v>0.25052588838491729</v>
      </c>
      <c r="W15" s="45">
        <f t="shared" ref="W15:Y15" si="2">W14/W3</f>
        <v>0.2667978891160494</v>
      </c>
      <c r="X15" s="45">
        <f t="shared" si="2"/>
        <v>0.28245316158954581</v>
      </c>
      <c r="Y15" s="45">
        <f t="shared" si="2"/>
        <v>0.29761708426754629</v>
      </c>
    </row>
    <row r="16" spans="1:25" x14ac:dyDescent="0.25">
      <c r="Y16">
        <f>(Y14/U14)^(1/4)-1</f>
        <v>0.10164315746544883</v>
      </c>
    </row>
    <row r="17" spans="3:25" x14ac:dyDescent="0.25">
      <c r="Y17" s="45">
        <f>Y15-U15</f>
        <v>6.553088892901196E-2</v>
      </c>
    </row>
    <row r="21" spans="3:25" x14ac:dyDescent="0.25">
      <c r="D21" t="s">
        <v>410</v>
      </c>
      <c r="E21" t="s">
        <v>211</v>
      </c>
      <c r="F21" t="s">
        <v>380</v>
      </c>
      <c r="G21" t="s">
        <v>411</v>
      </c>
      <c r="H21" t="s">
        <v>412</v>
      </c>
    </row>
    <row r="22" spans="3:25" x14ac:dyDescent="0.25">
      <c r="C22" t="s">
        <v>350</v>
      </c>
      <c r="D22">
        <v>579.20000000000005</v>
      </c>
      <c r="E22">
        <v>74.3</v>
      </c>
      <c r="F22">
        <v>514.6</v>
      </c>
      <c r="G22">
        <f>D22/E22</f>
        <v>7.7954239569313604</v>
      </c>
      <c r="H22">
        <f>D22/F22</f>
        <v>1.1255343956471047</v>
      </c>
      <c r="V22" t="s">
        <v>356</v>
      </c>
      <c r="W22" t="s">
        <v>409</v>
      </c>
    </row>
    <row r="23" spans="3:25" x14ac:dyDescent="0.25">
      <c r="C23" t="s">
        <v>351</v>
      </c>
      <c r="D23">
        <v>568.9</v>
      </c>
      <c r="E23">
        <v>53.7</v>
      </c>
      <c r="F23">
        <v>535.6</v>
      </c>
      <c r="G23">
        <f>D23/E23</f>
        <v>10.594040968342643</v>
      </c>
      <c r="H23">
        <f>D23/F23</f>
        <v>1.0621732636295742</v>
      </c>
      <c r="V23" s="104">
        <f>Y10</f>
        <v>0.23208619533853433</v>
      </c>
      <c r="W23" s="104">
        <f>Y7</f>
        <v>0.29761708426754629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A5E6-66E0-47D3-BDB7-FB098BFC68EB}">
  <dimension ref="C1:P11"/>
  <sheetViews>
    <sheetView workbookViewId="0">
      <selection activeCell="I7" sqref="I7"/>
    </sheetView>
  </sheetViews>
  <sheetFormatPr defaultRowHeight="15" x14ac:dyDescent="0.25"/>
  <sheetData>
    <row r="1" spans="3:16" x14ac:dyDescent="0.25">
      <c r="C1" t="s">
        <v>304</v>
      </c>
      <c r="D1" t="s">
        <v>350</v>
      </c>
      <c r="E1" t="s">
        <v>351</v>
      </c>
      <c r="J1" t="s">
        <v>350</v>
      </c>
      <c r="K1" t="s">
        <v>307</v>
      </c>
      <c r="L1" t="s">
        <v>318</v>
      </c>
      <c r="N1" t="s">
        <v>351</v>
      </c>
      <c r="O1" t="s">
        <v>307</v>
      </c>
      <c r="P1" t="s">
        <v>318</v>
      </c>
    </row>
    <row r="2" spans="3:16" x14ac:dyDescent="0.25">
      <c r="C2" t="s">
        <v>413</v>
      </c>
      <c r="D2">
        <f t="shared" ref="D2:D11" si="0">K2+L2</f>
        <v>120521</v>
      </c>
      <c r="E2">
        <f t="shared" ref="E2:E11" si="1">O2+P2</f>
        <v>130870</v>
      </c>
      <c r="K2">
        <v>89628</v>
      </c>
      <c r="L2">
        <v>30893</v>
      </c>
      <c r="O2">
        <v>94545</v>
      </c>
      <c r="P2">
        <v>36325</v>
      </c>
    </row>
    <row r="3" spans="3:16" x14ac:dyDescent="0.25">
      <c r="C3" t="s">
        <v>414</v>
      </c>
      <c r="D3">
        <f t="shared" si="0"/>
        <v>199880</v>
      </c>
      <c r="E3">
        <f t="shared" si="1"/>
        <v>169764</v>
      </c>
      <c r="K3">
        <v>158643</v>
      </c>
      <c r="L3">
        <v>41237</v>
      </c>
      <c r="O3">
        <v>134409</v>
      </c>
      <c r="P3">
        <v>35355</v>
      </c>
    </row>
    <row r="4" spans="3:16" x14ac:dyDescent="0.25">
      <c r="C4" t="s">
        <v>415</v>
      </c>
      <c r="D4">
        <f t="shared" si="0"/>
        <v>250152</v>
      </c>
      <c r="E4">
        <f t="shared" si="1"/>
        <v>110613</v>
      </c>
      <c r="K4">
        <v>199939</v>
      </c>
      <c r="L4">
        <v>50213</v>
      </c>
      <c r="O4">
        <v>76349</v>
      </c>
      <c r="P4">
        <v>34264</v>
      </c>
    </row>
    <row r="5" spans="3:16" x14ac:dyDescent="0.25">
      <c r="C5" t="s">
        <v>416</v>
      </c>
      <c r="D5">
        <f t="shared" si="0"/>
        <v>79123</v>
      </c>
      <c r="E5">
        <f t="shared" si="1"/>
        <v>98981</v>
      </c>
      <c r="K5">
        <v>27048</v>
      </c>
      <c r="L5">
        <v>52075</v>
      </c>
      <c r="O5">
        <v>67009</v>
      </c>
      <c r="P5">
        <v>31972</v>
      </c>
    </row>
    <row r="6" spans="3:16" x14ac:dyDescent="0.25">
      <c r="C6" t="s">
        <v>417</v>
      </c>
      <c r="D6">
        <f t="shared" si="0"/>
        <v>72563</v>
      </c>
      <c r="E6">
        <f t="shared" si="1"/>
        <v>68706</v>
      </c>
      <c r="K6">
        <v>43517</v>
      </c>
      <c r="L6">
        <v>29046</v>
      </c>
      <c r="O6">
        <v>39375</v>
      </c>
      <c r="P6">
        <v>29331</v>
      </c>
    </row>
    <row r="7" spans="3:16" x14ac:dyDescent="0.25">
      <c r="C7" t="s">
        <v>377</v>
      </c>
      <c r="D7">
        <f t="shared" si="0"/>
        <v>82277</v>
      </c>
      <c r="E7">
        <f t="shared" si="1"/>
        <v>146724</v>
      </c>
      <c r="K7">
        <v>50305</v>
      </c>
      <c r="L7">
        <v>31972</v>
      </c>
      <c r="O7">
        <v>119148</v>
      </c>
      <c r="P7">
        <v>27576</v>
      </c>
    </row>
    <row r="8" spans="3:16" x14ac:dyDescent="0.25">
      <c r="C8" t="s">
        <v>378</v>
      </c>
      <c r="D8">
        <f t="shared" si="0"/>
        <v>351207</v>
      </c>
      <c r="E8">
        <f t="shared" si="1"/>
        <v>229288</v>
      </c>
      <c r="K8">
        <v>319632</v>
      </c>
      <c r="L8">
        <v>31575</v>
      </c>
      <c r="O8">
        <v>203136</v>
      </c>
      <c r="P8">
        <v>26152</v>
      </c>
    </row>
    <row r="9" spans="3:16" x14ac:dyDescent="0.25">
      <c r="C9" t="s">
        <v>379</v>
      </c>
      <c r="D9">
        <f t="shared" si="0"/>
        <v>281726</v>
      </c>
      <c r="E9">
        <f t="shared" si="1"/>
        <v>129245</v>
      </c>
      <c r="K9">
        <v>251653</v>
      </c>
      <c r="L9">
        <v>30073</v>
      </c>
      <c r="O9">
        <v>103456</v>
      </c>
      <c r="P9">
        <v>25789</v>
      </c>
    </row>
    <row r="10" spans="3:16" x14ac:dyDescent="0.25">
      <c r="C10" t="s">
        <v>383</v>
      </c>
      <c r="D10">
        <f t="shared" si="0"/>
        <v>79843</v>
      </c>
      <c r="E10">
        <f t="shared" si="1"/>
        <v>74467</v>
      </c>
      <c r="K10">
        <v>48407</v>
      </c>
      <c r="L10">
        <v>31436</v>
      </c>
      <c r="O10">
        <v>52084</v>
      </c>
      <c r="P10">
        <v>22383</v>
      </c>
    </row>
    <row r="11" spans="3:16" x14ac:dyDescent="0.25">
      <c r="C11" t="s">
        <v>385</v>
      </c>
      <c r="D11">
        <f t="shared" si="0"/>
        <v>77337</v>
      </c>
      <c r="E11">
        <f t="shared" si="1"/>
        <v>53717</v>
      </c>
      <c r="K11">
        <v>44779</v>
      </c>
      <c r="L11">
        <v>32558</v>
      </c>
      <c r="O11">
        <v>31654</v>
      </c>
      <c r="P11">
        <v>22063</v>
      </c>
    </row>
  </sheetData>
  <sortState xmlns:xlrd2="http://schemas.microsoft.com/office/spreadsheetml/2017/richdata2" ref="C2:D11">
    <sortCondition ref="C2:C11"/>
  </sortState>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62F095CDE6FCB43B3A203165A7B7A4A" ma:contentTypeVersion="13" ma:contentTypeDescription="Create a new document." ma:contentTypeScope="" ma:versionID="be4a4889e29d0c794f308999f7678beb">
  <xsd:schema xmlns:xsd="http://www.w3.org/2001/XMLSchema" xmlns:xs="http://www.w3.org/2001/XMLSchema" xmlns:p="http://schemas.microsoft.com/office/2006/metadata/properties" xmlns:ns3="9e820952-2d1b-47b1-af34-944f9b69f8c8" xmlns:ns4="f9ff3a89-7aa1-4405-8072-a57c627826a8" targetNamespace="http://schemas.microsoft.com/office/2006/metadata/properties" ma:root="true" ma:fieldsID="16cb6b55eb57f8672e1c86f3e1588ffb" ns3:_="" ns4:_="">
    <xsd:import namespace="9e820952-2d1b-47b1-af34-944f9b69f8c8"/>
    <xsd:import namespace="f9ff3a89-7aa1-4405-8072-a57c627826a8"/>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820952-2d1b-47b1-af34-944f9b69f8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SystemTags" ma:index="16" nillable="true" ma:displayName="MediaServiceSystemTags" ma:hidden="true" ma:internalName="MediaServiceSystemTags" ma:readOnly="true">
      <xsd:simpleType>
        <xsd:restriction base="dms:Note"/>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9ff3a89-7aa1-4405-8072-a57c627826a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9e820952-2d1b-47b1-af34-944f9b69f8c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2C13582-71E2-47C1-B3F8-53DB552A18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820952-2d1b-47b1-af34-944f9b69f8c8"/>
    <ds:schemaRef ds:uri="f9ff3a89-7aa1-4405-8072-a57c627826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1D09A8-9ABB-4395-BC21-84E7118E139C}">
  <ds:schemaRefs>
    <ds:schemaRef ds:uri="f9ff3a89-7aa1-4405-8072-a57c627826a8"/>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 ds:uri="9e820952-2d1b-47b1-af34-944f9b69f8c8"/>
  </ds:schemaRefs>
</ds:datastoreItem>
</file>

<file path=customXml/itemProps3.xml><?xml version="1.0" encoding="utf-8"?>
<ds:datastoreItem xmlns:ds="http://schemas.openxmlformats.org/officeDocument/2006/customXml" ds:itemID="{A8C3394D-DEC6-4BC5-8191-650D0DCD5C71}">
  <ds:schemaRefs>
    <ds:schemaRef ds:uri="http://schemas.microsoft.com/sharepoint/v3/contenttype/forms"/>
  </ds:schemaRefs>
</ds:datastoreItem>
</file>

<file path=docMetadata/LabelInfo.xml><?xml version="1.0" encoding="utf-8"?>
<clbl:labelList xmlns:clbl="http://schemas.microsoft.com/office/2020/mipLabelMetadata">
  <clbl:label id="{a8eec281-aaa3-4dae-ac9b-9a398b9215e7}" enabled="0" method="" siteId="{a8eec281-aaa3-4dae-ac9b-9a398b9215e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1854 Unit Volume</vt:lpstr>
      <vt:lpstr>Revenue MLR</vt:lpstr>
      <vt:lpstr>Assumptions</vt:lpstr>
      <vt:lpstr>Three Statement Model</vt:lpstr>
      <vt:lpstr>Valuation</vt:lpstr>
      <vt:lpstr>Return Attribution</vt:lpstr>
      <vt:lpstr>Ignore &gt;&gt;</vt:lpstr>
      <vt:lpstr>MLR Visualization</vt:lpstr>
      <vt:lpstr>Other visuals</vt:lpstr>
      <vt:lpstr>Capital Allocation</vt:lpstr>
      <vt:lpstr>Valuation Scenarios</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Anthony Casale</cp:lastModifiedBy>
  <cp:revision/>
  <dcterms:created xsi:type="dcterms:W3CDTF">2025-02-03T15:29:03Z</dcterms:created>
  <dcterms:modified xsi:type="dcterms:W3CDTF">2025-03-04T15:55:13Z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0x010100D62F095CDE6FCB43B3A203165A7B7A4A</vt:lpwstr>
  </property>
</Properties>
</file>