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20400" windowHeight="7095" firstSheet="1" activeTab="3"/>
  </bookViews>
  <sheets>
    <sheet name="Resumen Global" sheetId="4" r:id="rId1"/>
    <sheet name="Presupuesto Ventas" sheetId="1" r:id="rId2"/>
    <sheet name="Presupuesto Planes " sheetId="2" r:id="rId3"/>
    <sheet name="PresupuestoVentasQlik" sheetId="5" r:id="rId4"/>
    <sheet name="PresupuestoPlanesQlik" sheetId="6" r:id="rId5"/>
    <sheet name="Hoja3" sheetId="3" state="hidden" r:id="rId6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P43" i="6"/>
  <c r="Q43" i="6"/>
  <c r="P44" i="6"/>
  <c r="Q44" i="6"/>
  <c r="P45" i="6"/>
  <c r="Q45" i="6"/>
  <c r="P46" i="6"/>
  <c r="Q46" i="6"/>
  <c r="P47" i="6"/>
  <c r="Q47" i="6"/>
  <c r="P48" i="6"/>
  <c r="Q48" i="6"/>
  <c r="P49" i="6"/>
  <c r="Q49" i="6"/>
  <c r="P50" i="6"/>
  <c r="Q50" i="6"/>
  <c r="P51" i="6"/>
  <c r="Q51" i="6"/>
  <c r="P52" i="6"/>
  <c r="Q52" i="6"/>
  <c r="P53" i="6"/>
  <c r="Q53" i="6"/>
  <c r="P54" i="6"/>
  <c r="Q54" i="6"/>
  <c r="P55" i="6"/>
  <c r="Q55" i="6"/>
  <c r="P56" i="6"/>
  <c r="Q56" i="6"/>
  <c r="P57" i="6"/>
  <c r="Q57" i="6"/>
  <c r="P58" i="6"/>
  <c r="Q58" i="6"/>
  <c r="P59" i="6"/>
  <c r="Q59" i="6"/>
  <c r="P60" i="6"/>
  <c r="Q60" i="6"/>
  <c r="P61" i="6"/>
  <c r="Q61" i="6"/>
  <c r="P62" i="6"/>
  <c r="Q62" i="6"/>
  <c r="P63" i="6"/>
  <c r="Q63" i="6"/>
  <c r="P64" i="6"/>
  <c r="Q64" i="6"/>
  <c r="P65" i="6"/>
  <c r="Q65" i="6"/>
  <c r="P66" i="6"/>
  <c r="Q66" i="6"/>
  <c r="P67" i="6"/>
  <c r="Q67" i="6"/>
  <c r="P68" i="6"/>
  <c r="Q68" i="6"/>
  <c r="P69" i="6"/>
  <c r="Q69" i="6"/>
  <c r="P70" i="6"/>
  <c r="Q70" i="6"/>
  <c r="P71" i="6"/>
  <c r="Q71" i="6"/>
  <c r="P72" i="6"/>
  <c r="Q72" i="6"/>
  <c r="P73" i="6"/>
  <c r="Q73" i="6"/>
  <c r="P74" i="6"/>
  <c r="Q74" i="6"/>
  <c r="P75" i="6"/>
  <c r="Q75" i="6"/>
  <c r="P76" i="6"/>
  <c r="Q76" i="6"/>
  <c r="P77" i="6"/>
  <c r="Q77" i="6"/>
  <c r="G3" i="6"/>
  <c r="H3" i="6"/>
  <c r="I3" i="6"/>
  <c r="J3" i="6"/>
  <c r="K3" i="6"/>
  <c r="L3" i="6"/>
  <c r="M3" i="6"/>
  <c r="N3" i="6"/>
  <c r="O3" i="6"/>
  <c r="G4" i="6"/>
  <c r="H4" i="6"/>
  <c r="I4" i="6"/>
  <c r="J4" i="6"/>
  <c r="K4" i="6"/>
  <c r="L4" i="6"/>
  <c r="M4" i="6"/>
  <c r="N4" i="6"/>
  <c r="O4" i="6"/>
  <c r="G5" i="6"/>
  <c r="H5" i="6"/>
  <c r="I5" i="6"/>
  <c r="J5" i="6"/>
  <c r="K5" i="6"/>
  <c r="L5" i="6"/>
  <c r="M5" i="6"/>
  <c r="N5" i="6"/>
  <c r="O5" i="6"/>
  <c r="G6" i="6"/>
  <c r="H6" i="6"/>
  <c r="I6" i="6"/>
  <c r="J6" i="6"/>
  <c r="K6" i="6"/>
  <c r="L6" i="6"/>
  <c r="M6" i="6"/>
  <c r="N6" i="6"/>
  <c r="O6" i="6"/>
  <c r="G7" i="6"/>
  <c r="H7" i="6"/>
  <c r="I7" i="6"/>
  <c r="J7" i="6"/>
  <c r="K7" i="6"/>
  <c r="L7" i="6"/>
  <c r="M7" i="6"/>
  <c r="N7" i="6"/>
  <c r="O7" i="6"/>
  <c r="G8" i="6"/>
  <c r="H8" i="6"/>
  <c r="I8" i="6"/>
  <c r="J8" i="6"/>
  <c r="K8" i="6"/>
  <c r="L8" i="6"/>
  <c r="M8" i="6"/>
  <c r="N8" i="6"/>
  <c r="O8" i="6"/>
  <c r="G9" i="6"/>
  <c r="H9" i="6"/>
  <c r="I9" i="6"/>
  <c r="J9" i="6"/>
  <c r="K9" i="6"/>
  <c r="L9" i="6"/>
  <c r="M9" i="6"/>
  <c r="N9" i="6"/>
  <c r="O9" i="6"/>
  <c r="G10" i="6"/>
  <c r="H10" i="6"/>
  <c r="I10" i="6"/>
  <c r="J10" i="6"/>
  <c r="K10" i="6"/>
  <c r="L10" i="6"/>
  <c r="M10" i="6"/>
  <c r="N10" i="6"/>
  <c r="O10" i="6"/>
  <c r="G11" i="6"/>
  <c r="H11" i="6"/>
  <c r="I11" i="6"/>
  <c r="J11" i="6"/>
  <c r="K11" i="6"/>
  <c r="L11" i="6"/>
  <c r="M11" i="6"/>
  <c r="N11" i="6"/>
  <c r="O11" i="6"/>
  <c r="G12" i="6"/>
  <c r="H12" i="6"/>
  <c r="I12" i="6"/>
  <c r="J12" i="6"/>
  <c r="K12" i="6"/>
  <c r="L12" i="6"/>
  <c r="M12" i="6"/>
  <c r="N12" i="6"/>
  <c r="O12" i="6"/>
  <c r="G13" i="6"/>
  <c r="H13" i="6"/>
  <c r="I13" i="6"/>
  <c r="J13" i="6"/>
  <c r="K13" i="6"/>
  <c r="L13" i="6"/>
  <c r="M13" i="6"/>
  <c r="N13" i="6"/>
  <c r="O13" i="6"/>
  <c r="G14" i="6"/>
  <c r="H14" i="6"/>
  <c r="I14" i="6"/>
  <c r="J14" i="6"/>
  <c r="K14" i="6"/>
  <c r="L14" i="6"/>
  <c r="M14" i="6"/>
  <c r="N14" i="6"/>
  <c r="O14" i="6"/>
  <c r="G15" i="6"/>
  <c r="H15" i="6"/>
  <c r="I15" i="6"/>
  <c r="J15" i="6"/>
  <c r="K15" i="6"/>
  <c r="L15" i="6"/>
  <c r="M15" i="6"/>
  <c r="N15" i="6"/>
  <c r="O15" i="6"/>
  <c r="G16" i="6"/>
  <c r="H16" i="6"/>
  <c r="I16" i="6"/>
  <c r="J16" i="6"/>
  <c r="K16" i="6"/>
  <c r="L16" i="6"/>
  <c r="M16" i="6"/>
  <c r="N16" i="6"/>
  <c r="O16" i="6"/>
  <c r="G17" i="6"/>
  <c r="H17" i="6"/>
  <c r="I17" i="6"/>
  <c r="J17" i="6"/>
  <c r="K17" i="6"/>
  <c r="L17" i="6"/>
  <c r="M17" i="6"/>
  <c r="N17" i="6"/>
  <c r="O17" i="6"/>
  <c r="G18" i="6"/>
  <c r="H18" i="6"/>
  <c r="I18" i="6"/>
  <c r="J18" i="6"/>
  <c r="K18" i="6"/>
  <c r="L18" i="6"/>
  <c r="M18" i="6"/>
  <c r="N18" i="6"/>
  <c r="O18" i="6"/>
  <c r="G19" i="6"/>
  <c r="H19" i="6"/>
  <c r="I19" i="6"/>
  <c r="J19" i="6"/>
  <c r="K19" i="6"/>
  <c r="L19" i="6"/>
  <c r="M19" i="6"/>
  <c r="N19" i="6"/>
  <c r="O19" i="6"/>
  <c r="G20" i="6"/>
  <c r="H20" i="6"/>
  <c r="I20" i="6"/>
  <c r="J20" i="6"/>
  <c r="K20" i="6"/>
  <c r="L20" i="6"/>
  <c r="M20" i="6"/>
  <c r="N20" i="6"/>
  <c r="O20" i="6"/>
  <c r="G21" i="6"/>
  <c r="H21" i="6"/>
  <c r="I21" i="6"/>
  <c r="J21" i="6"/>
  <c r="K21" i="6"/>
  <c r="L21" i="6"/>
  <c r="M21" i="6"/>
  <c r="N21" i="6"/>
  <c r="O21" i="6"/>
  <c r="G22" i="6"/>
  <c r="H22" i="6"/>
  <c r="I22" i="6"/>
  <c r="J22" i="6"/>
  <c r="K22" i="6"/>
  <c r="L22" i="6"/>
  <c r="M22" i="6"/>
  <c r="N22" i="6"/>
  <c r="O22" i="6"/>
  <c r="G23" i="6"/>
  <c r="H23" i="6"/>
  <c r="I23" i="6"/>
  <c r="J23" i="6"/>
  <c r="K23" i="6"/>
  <c r="L23" i="6"/>
  <c r="M23" i="6"/>
  <c r="N23" i="6"/>
  <c r="O23" i="6"/>
  <c r="G24" i="6"/>
  <c r="H24" i="6"/>
  <c r="I24" i="6"/>
  <c r="J24" i="6"/>
  <c r="K24" i="6"/>
  <c r="L24" i="6"/>
  <c r="M24" i="6"/>
  <c r="N24" i="6"/>
  <c r="O24" i="6"/>
  <c r="G25" i="6"/>
  <c r="H25" i="6"/>
  <c r="I25" i="6"/>
  <c r="J25" i="6"/>
  <c r="K25" i="6"/>
  <c r="L25" i="6"/>
  <c r="M25" i="6"/>
  <c r="N25" i="6"/>
  <c r="O25" i="6"/>
  <c r="G26" i="6"/>
  <c r="H26" i="6"/>
  <c r="I26" i="6"/>
  <c r="J26" i="6"/>
  <c r="K26" i="6"/>
  <c r="L26" i="6"/>
  <c r="M26" i="6"/>
  <c r="N26" i="6"/>
  <c r="O26" i="6"/>
  <c r="G27" i="6"/>
  <c r="H27" i="6"/>
  <c r="I27" i="6"/>
  <c r="J27" i="6"/>
  <c r="K27" i="6"/>
  <c r="L27" i="6"/>
  <c r="M27" i="6"/>
  <c r="N27" i="6"/>
  <c r="O27" i="6"/>
  <c r="G28" i="6"/>
  <c r="H28" i="6"/>
  <c r="I28" i="6"/>
  <c r="J28" i="6"/>
  <c r="K28" i="6"/>
  <c r="L28" i="6"/>
  <c r="M28" i="6"/>
  <c r="N28" i="6"/>
  <c r="O28" i="6"/>
  <c r="G29" i="6"/>
  <c r="H29" i="6"/>
  <c r="I29" i="6"/>
  <c r="J29" i="6"/>
  <c r="K29" i="6"/>
  <c r="L29" i="6"/>
  <c r="M29" i="6"/>
  <c r="N29" i="6"/>
  <c r="O29" i="6"/>
  <c r="G30" i="6"/>
  <c r="H30" i="6"/>
  <c r="I30" i="6"/>
  <c r="J30" i="6"/>
  <c r="K30" i="6"/>
  <c r="L30" i="6"/>
  <c r="M30" i="6"/>
  <c r="N30" i="6"/>
  <c r="O30" i="6"/>
  <c r="G31" i="6"/>
  <c r="H31" i="6"/>
  <c r="I31" i="6"/>
  <c r="J31" i="6"/>
  <c r="K31" i="6"/>
  <c r="L31" i="6"/>
  <c r="M31" i="6"/>
  <c r="N31" i="6"/>
  <c r="O31" i="6"/>
  <c r="G32" i="6"/>
  <c r="H32" i="6"/>
  <c r="I32" i="6"/>
  <c r="J32" i="6"/>
  <c r="K32" i="6"/>
  <c r="L32" i="6"/>
  <c r="M32" i="6"/>
  <c r="N32" i="6"/>
  <c r="O32" i="6"/>
  <c r="G33" i="6"/>
  <c r="H33" i="6"/>
  <c r="I33" i="6"/>
  <c r="J33" i="6"/>
  <c r="K33" i="6"/>
  <c r="L33" i="6"/>
  <c r="M33" i="6"/>
  <c r="N33" i="6"/>
  <c r="O33" i="6"/>
  <c r="G34" i="6"/>
  <c r="H34" i="6"/>
  <c r="I34" i="6"/>
  <c r="J34" i="6"/>
  <c r="K34" i="6"/>
  <c r="L34" i="6"/>
  <c r="M34" i="6"/>
  <c r="N34" i="6"/>
  <c r="O34" i="6"/>
  <c r="G35" i="6"/>
  <c r="H35" i="6"/>
  <c r="I35" i="6"/>
  <c r="J35" i="6"/>
  <c r="K35" i="6"/>
  <c r="L35" i="6"/>
  <c r="M35" i="6"/>
  <c r="N35" i="6"/>
  <c r="O35" i="6"/>
  <c r="G36" i="6"/>
  <c r="H36" i="6"/>
  <c r="I36" i="6"/>
  <c r="J36" i="6"/>
  <c r="K36" i="6"/>
  <c r="L36" i="6"/>
  <c r="M36" i="6"/>
  <c r="N36" i="6"/>
  <c r="O36" i="6"/>
  <c r="G37" i="6"/>
  <c r="H37" i="6"/>
  <c r="I37" i="6"/>
  <c r="J37" i="6"/>
  <c r="K37" i="6"/>
  <c r="L37" i="6"/>
  <c r="M37" i="6"/>
  <c r="N37" i="6"/>
  <c r="O37" i="6"/>
  <c r="G38" i="6"/>
  <c r="H38" i="6"/>
  <c r="I38" i="6"/>
  <c r="J38" i="6"/>
  <c r="K38" i="6"/>
  <c r="L38" i="6"/>
  <c r="M38" i="6"/>
  <c r="N38" i="6"/>
  <c r="O38" i="6"/>
  <c r="G39" i="6"/>
  <c r="H39" i="6"/>
  <c r="I39" i="6"/>
  <c r="J39" i="6"/>
  <c r="K39" i="6"/>
  <c r="L39" i="6"/>
  <c r="M39" i="6"/>
  <c r="N39" i="6"/>
  <c r="O39" i="6"/>
  <c r="G40" i="6"/>
  <c r="H40" i="6"/>
  <c r="I40" i="6"/>
  <c r="J40" i="6"/>
  <c r="K40" i="6"/>
  <c r="L40" i="6"/>
  <c r="M40" i="6"/>
  <c r="N40" i="6"/>
  <c r="O40" i="6"/>
  <c r="G41" i="6"/>
  <c r="H41" i="6"/>
  <c r="I41" i="6"/>
  <c r="J41" i="6"/>
  <c r="K41" i="6"/>
  <c r="L41" i="6"/>
  <c r="M41" i="6"/>
  <c r="N41" i="6"/>
  <c r="O41" i="6"/>
  <c r="G42" i="6"/>
  <c r="H42" i="6"/>
  <c r="I42" i="6"/>
  <c r="J42" i="6"/>
  <c r="K42" i="6"/>
  <c r="L42" i="6"/>
  <c r="M42" i="6"/>
  <c r="N42" i="6"/>
  <c r="O42" i="6"/>
  <c r="G43" i="6"/>
  <c r="H43" i="6"/>
  <c r="I43" i="6"/>
  <c r="J43" i="6"/>
  <c r="K43" i="6"/>
  <c r="L43" i="6"/>
  <c r="M43" i="6"/>
  <c r="N43" i="6"/>
  <c r="O43" i="6"/>
  <c r="G44" i="6"/>
  <c r="H44" i="6"/>
  <c r="I44" i="6"/>
  <c r="J44" i="6"/>
  <c r="K44" i="6"/>
  <c r="L44" i="6"/>
  <c r="M44" i="6"/>
  <c r="N44" i="6"/>
  <c r="O44" i="6"/>
  <c r="G45" i="6"/>
  <c r="H45" i="6"/>
  <c r="I45" i="6"/>
  <c r="J45" i="6"/>
  <c r="K45" i="6"/>
  <c r="L45" i="6"/>
  <c r="M45" i="6"/>
  <c r="N45" i="6"/>
  <c r="O45" i="6"/>
  <c r="G46" i="6"/>
  <c r="H46" i="6"/>
  <c r="I46" i="6"/>
  <c r="J46" i="6"/>
  <c r="K46" i="6"/>
  <c r="L46" i="6"/>
  <c r="M46" i="6"/>
  <c r="N46" i="6"/>
  <c r="O46" i="6"/>
  <c r="G47" i="6"/>
  <c r="H47" i="6"/>
  <c r="I47" i="6"/>
  <c r="J47" i="6"/>
  <c r="K47" i="6"/>
  <c r="L47" i="6"/>
  <c r="M47" i="6"/>
  <c r="N47" i="6"/>
  <c r="O47" i="6"/>
  <c r="G48" i="6"/>
  <c r="H48" i="6"/>
  <c r="I48" i="6"/>
  <c r="J48" i="6"/>
  <c r="K48" i="6"/>
  <c r="L48" i="6"/>
  <c r="M48" i="6"/>
  <c r="N48" i="6"/>
  <c r="O48" i="6"/>
  <c r="G49" i="6"/>
  <c r="H49" i="6"/>
  <c r="I49" i="6"/>
  <c r="J49" i="6"/>
  <c r="K49" i="6"/>
  <c r="L49" i="6"/>
  <c r="M49" i="6"/>
  <c r="N49" i="6"/>
  <c r="O49" i="6"/>
  <c r="G50" i="6"/>
  <c r="H50" i="6"/>
  <c r="I50" i="6"/>
  <c r="J50" i="6"/>
  <c r="K50" i="6"/>
  <c r="L50" i="6"/>
  <c r="M50" i="6"/>
  <c r="N50" i="6"/>
  <c r="O50" i="6"/>
  <c r="G51" i="6"/>
  <c r="H51" i="6"/>
  <c r="I51" i="6"/>
  <c r="J51" i="6"/>
  <c r="K51" i="6"/>
  <c r="L51" i="6"/>
  <c r="M51" i="6"/>
  <c r="N51" i="6"/>
  <c r="O51" i="6"/>
  <c r="G52" i="6"/>
  <c r="H52" i="6"/>
  <c r="I52" i="6"/>
  <c r="J52" i="6"/>
  <c r="K52" i="6"/>
  <c r="L52" i="6"/>
  <c r="M52" i="6"/>
  <c r="N52" i="6"/>
  <c r="O52" i="6"/>
  <c r="G53" i="6"/>
  <c r="H53" i="6"/>
  <c r="I53" i="6"/>
  <c r="J53" i="6"/>
  <c r="K53" i="6"/>
  <c r="L53" i="6"/>
  <c r="M53" i="6"/>
  <c r="N53" i="6"/>
  <c r="O53" i="6"/>
  <c r="G54" i="6"/>
  <c r="H54" i="6"/>
  <c r="I54" i="6"/>
  <c r="J54" i="6"/>
  <c r="K54" i="6"/>
  <c r="L54" i="6"/>
  <c r="M54" i="6"/>
  <c r="N54" i="6"/>
  <c r="O54" i="6"/>
  <c r="G55" i="6"/>
  <c r="H55" i="6"/>
  <c r="I55" i="6"/>
  <c r="J55" i="6"/>
  <c r="K55" i="6"/>
  <c r="L55" i="6"/>
  <c r="M55" i="6"/>
  <c r="N55" i="6"/>
  <c r="O55" i="6"/>
  <c r="G56" i="6"/>
  <c r="H56" i="6"/>
  <c r="I56" i="6"/>
  <c r="J56" i="6"/>
  <c r="K56" i="6"/>
  <c r="L56" i="6"/>
  <c r="M56" i="6"/>
  <c r="N56" i="6"/>
  <c r="O56" i="6"/>
  <c r="G57" i="6"/>
  <c r="H57" i="6"/>
  <c r="I57" i="6"/>
  <c r="J57" i="6"/>
  <c r="K57" i="6"/>
  <c r="L57" i="6"/>
  <c r="M57" i="6"/>
  <c r="N57" i="6"/>
  <c r="O57" i="6"/>
  <c r="G58" i="6"/>
  <c r="H58" i="6"/>
  <c r="I58" i="6"/>
  <c r="J58" i="6"/>
  <c r="K58" i="6"/>
  <c r="L58" i="6"/>
  <c r="M58" i="6"/>
  <c r="N58" i="6"/>
  <c r="O58" i="6"/>
  <c r="G59" i="6"/>
  <c r="H59" i="6"/>
  <c r="I59" i="6"/>
  <c r="J59" i="6"/>
  <c r="K59" i="6"/>
  <c r="L59" i="6"/>
  <c r="M59" i="6"/>
  <c r="N59" i="6"/>
  <c r="O59" i="6"/>
  <c r="G60" i="6"/>
  <c r="H60" i="6"/>
  <c r="I60" i="6"/>
  <c r="J60" i="6"/>
  <c r="K60" i="6"/>
  <c r="L60" i="6"/>
  <c r="M60" i="6"/>
  <c r="N60" i="6"/>
  <c r="O60" i="6"/>
  <c r="G61" i="6"/>
  <c r="H61" i="6"/>
  <c r="I61" i="6"/>
  <c r="J61" i="6"/>
  <c r="K61" i="6"/>
  <c r="L61" i="6"/>
  <c r="M61" i="6"/>
  <c r="N61" i="6"/>
  <c r="O61" i="6"/>
  <c r="G62" i="6"/>
  <c r="H62" i="6"/>
  <c r="I62" i="6"/>
  <c r="J62" i="6"/>
  <c r="K62" i="6"/>
  <c r="L62" i="6"/>
  <c r="M62" i="6"/>
  <c r="N62" i="6"/>
  <c r="O62" i="6"/>
  <c r="G63" i="6"/>
  <c r="H63" i="6"/>
  <c r="I63" i="6"/>
  <c r="J63" i="6"/>
  <c r="K63" i="6"/>
  <c r="L63" i="6"/>
  <c r="M63" i="6"/>
  <c r="N63" i="6"/>
  <c r="O63" i="6"/>
  <c r="G64" i="6"/>
  <c r="H64" i="6"/>
  <c r="I64" i="6"/>
  <c r="J64" i="6"/>
  <c r="K64" i="6"/>
  <c r="L64" i="6"/>
  <c r="M64" i="6"/>
  <c r="N64" i="6"/>
  <c r="O64" i="6"/>
  <c r="G65" i="6"/>
  <c r="H65" i="6"/>
  <c r="I65" i="6"/>
  <c r="J65" i="6"/>
  <c r="K65" i="6"/>
  <c r="L65" i="6"/>
  <c r="M65" i="6"/>
  <c r="N65" i="6"/>
  <c r="O65" i="6"/>
  <c r="G66" i="6"/>
  <c r="H66" i="6"/>
  <c r="I66" i="6"/>
  <c r="J66" i="6"/>
  <c r="K66" i="6"/>
  <c r="L66" i="6"/>
  <c r="M66" i="6"/>
  <c r="N66" i="6"/>
  <c r="O66" i="6"/>
  <c r="G67" i="6"/>
  <c r="H67" i="6"/>
  <c r="I67" i="6"/>
  <c r="J67" i="6"/>
  <c r="K67" i="6"/>
  <c r="L67" i="6"/>
  <c r="M67" i="6"/>
  <c r="N67" i="6"/>
  <c r="O67" i="6"/>
  <c r="G68" i="6"/>
  <c r="H68" i="6"/>
  <c r="I68" i="6"/>
  <c r="J68" i="6"/>
  <c r="K68" i="6"/>
  <c r="L68" i="6"/>
  <c r="M68" i="6"/>
  <c r="N68" i="6"/>
  <c r="O68" i="6"/>
  <c r="G69" i="6"/>
  <c r="H69" i="6"/>
  <c r="I69" i="6"/>
  <c r="J69" i="6"/>
  <c r="K69" i="6"/>
  <c r="L69" i="6"/>
  <c r="M69" i="6"/>
  <c r="N69" i="6"/>
  <c r="O69" i="6"/>
  <c r="G70" i="6"/>
  <c r="H70" i="6"/>
  <c r="I70" i="6"/>
  <c r="J70" i="6"/>
  <c r="K70" i="6"/>
  <c r="L70" i="6"/>
  <c r="M70" i="6"/>
  <c r="N70" i="6"/>
  <c r="O70" i="6"/>
  <c r="G71" i="6"/>
  <c r="H71" i="6"/>
  <c r="I71" i="6"/>
  <c r="J71" i="6"/>
  <c r="K71" i="6"/>
  <c r="L71" i="6"/>
  <c r="M71" i="6"/>
  <c r="N71" i="6"/>
  <c r="O71" i="6"/>
  <c r="G72" i="6"/>
  <c r="H72" i="6"/>
  <c r="I72" i="6"/>
  <c r="J72" i="6"/>
  <c r="K72" i="6"/>
  <c r="L72" i="6"/>
  <c r="M72" i="6"/>
  <c r="N72" i="6"/>
  <c r="O72" i="6"/>
  <c r="G73" i="6"/>
  <c r="H73" i="6"/>
  <c r="I73" i="6"/>
  <c r="J73" i="6"/>
  <c r="K73" i="6"/>
  <c r="L73" i="6"/>
  <c r="M73" i="6"/>
  <c r="N73" i="6"/>
  <c r="O73" i="6"/>
  <c r="G74" i="6"/>
  <c r="H74" i="6"/>
  <c r="I74" i="6"/>
  <c r="J74" i="6"/>
  <c r="K74" i="6"/>
  <c r="L74" i="6"/>
  <c r="M74" i="6"/>
  <c r="N74" i="6"/>
  <c r="O74" i="6"/>
  <c r="G75" i="6"/>
  <c r="H75" i="6"/>
  <c r="I75" i="6"/>
  <c r="J75" i="6"/>
  <c r="K75" i="6"/>
  <c r="L75" i="6"/>
  <c r="M75" i="6"/>
  <c r="N75" i="6"/>
  <c r="O75" i="6"/>
  <c r="G76" i="6"/>
  <c r="H76" i="6"/>
  <c r="I76" i="6"/>
  <c r="J76" i="6"/>
  <c r="K76" i="6"/>
  <c r="L76" i="6"/>
  <c r="M76" i="6"/>
  <c r="N76" i="6"/>
  <c r="O76" i="6"/>
  <c r="G77" i="6"/>
  <c r="H77" i="6"/>
  <c r="I77" i="6"/>
  <c r="J77" i="6"/>
  <c r="K77" i="6"/>
  <c r="L77" i="6"/>
  <c r="M77" i="6"/>
  <c r="N77" i="6"/>
  <c r="O77" i="6"/>
  <c r="F74" i="6"/>
  <c r="F75" i="6"/>
  <c r="F76" i="6"/>
  <c r="F77" i="6"/>
  <c r="F73" i="6"/>
  <c r="F69" i="6"/>
  <c r="F70" i="6"/>
  <c r="F71" i="6"/>
  <c r="F72" i="6"/>
  <c r="F68" i="6"/>
  <c r="F64" i="6"/>
  <c r="F65" i="6"/>
  <c r="F66" i="6"/>
  <c r="F67" i="6"/>
  <c r="F63" i="6"/>
  <c r="F59" i="6"/>
  <c r="F60" i="6"/>
  <c r="F61" i="6"/>
  <c r="F62" i="6"/>
  <c r="F58" i="6"/>
  <c r="F54" i="6"/>
  <c r="F55" i="6"/>
  <c r="F56" i="6"/>
  <c r="F57" i="6"/>
  <c r="F53" i="6"/>
  <c r="F49" i="6"/>
  <c r="F50" i="6"/>
  <c r="F51" i="6"/>
  <c r="F52" i="6"/>
  <c r="F48" i="6"/>
  <c r="F44" i="6"/>
  <c r="F45" i="6"/>
  <c r="F46" i="6"/>
  <c r="F47" i="6"/>
  <c r="F43" i="6"/>
  <c r="F39" i="6"/>
  <c r="F40" i="6"/>
  <c r="F41" i="6"/>
  <c r="F42" i="6"/>
  <c r="F38" i="6"/>
  <c r="F34" i="6"/>
  <c r="F35" i="6"/>
  <c r="F36" i="6"/>
  <c r="F37" i="6"/>
  <c r="F33" i="6"/>
  <c r="F29" i="6"/>
  <c r="F30" i="6"/>
  <c r="F31" i="6"/>
  <c r="F32" i="6"/>
  <c r="F28" i="6"/>
  <c r="F24" i="6"/>
  <c r="F25" i="6"/>
  <c r="F26" i="6"/>
  <c r="F27" i="6"/>
  <c r="F23" i="6"/>
  <c r="F19" i="6"/>
  <c r="F20" i="6"/>
  <c r="F21" i="6"/>
  <c r="F22" i="6"/>
  <c r="F18" i="6"/>
  <c r="F14" i="6"/>
  <c r="F15" i="6"/>
  <c r="F16" i="6"/>
  <c r="F17" i="6"/>
  <c r="F13" i="6"/>
  <c r="F9" i="6"/>
  <c r="F10" i="6"/>
  <c r="F11" i="6"/>
  <c r="F12" i="6"/>
  <c r="F8" i="6"/>
  <c r="F4" i="6"/>
  <c r="F5" i="6"/>
  <c r="F6" i="6"/>
  <c r="F7" i="6"/>
  <c r="F3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J98" i="1" l="1"/>
  <c r="P98" i="1"/>
  <c r="N98" i="1"/>
  <c r="L98" i="1"/>
  <c r="X98" i="1"/>
  <c r="V98" i="1"/>
  <c r="T98" i="1"/>
  <c r="R98" i="1"/>
  <c r="H98" i="1"/>
  <c r="F98" i="1"/>
  <c r="D98" i="1"/>
  <c r="B98" i="1"/>
  <c r="J83" i="1"/>
  <c r="J78" i="1"/>
  <c r="J73" i="1"/>
  <c r="J68" i="1"/>
  <c r="J63" i="1"/>
  <c r="J58" i="1"/>
  <c r="J53" i="1"/>
  <c r="J48" i="1"/>
  <c r="J43" i="1"/>
  <c r="J38" i="1"/>
  <c r="J33" i="1"/>
  <c r="J28" i="1"/>
  <c r="J23" i="1"/>
  <c r="J18" i="1"/>
  <c r="J13" i="1"/>
  <c r="H83" i="1"/>
  <c r="H78" i="1"/>
  <c r="H73" i="1"/>
  <c r="H68" i="1"/>
  <c r="H63" i="1"/>
  <c r="H58" i="1"/>
  <c r="H53" i="1"/>
  <c r="H48" i="1"/>
  <c r="H43" i="1"/>
  <c r="H38" i="1"/>
  <c r="H33" i="1"/>
  <c r="H28" i="1"/>
  <c r="H23" i="1"/>
  <c r="H18" i="1"/>
  <c r="H13" i="1"/>
  <c r="D83" i="1"/>
  <c r="D78" i="1"/>
  <c r="D73" i="1"/>
  <c r="D68" i="1"/>
  <c r="D63" i="1"/>
  <c r="D58" i="1"/>
  <c r="D53" i="1"/>
  <c r="D48" i="1"/>
  <c r="D43" i="1"/>
  <c r="D38" i="1"/>
  <c r="D33" i="1"/>
  <c r="D28" i="1"/>
  <c r="D23" i="1"/>
  <c r="D18" i="1"/>
  <c r="D13" i="1"/>
  <c r="B83" i="1"/>
  <c r="B78" i="1"/>
  <c r="B73" i="1"/>
  <c r="B68" i="1"/>
  <c r="B63" i="1"/>
  <c r="B58" i="1"/>
  <c r="B53" i="1"/>
  <c r="B48" i="1"/>
  <c r="B43" i="1"/>
  <c r="B38" i="1"/>
  <c r="B33" i="1"/>
  <c r="B28" i="1"/>
  <c r="B23" i="1"/>
  <c r="B18" i="1"/>
  <c r="B13" i="1"/>
  <c r="O19" i="2"/>
  <c r="B14" i="4" l="1"/>
  <c r="B11" i="4"/>
  <c r="B7" i="4"/>
  <c r="G112" i="2"/>
  <c r="H112" i="2" s="1"/>
  <c r="I112" i="2" s="1"/>
  <c r="J112" i="2" s="1"/>
  <c r="K112" i="2" s="1"/>
  <c r="L112" i="2" s="1"/>
  <c r="M112" i="2" s="1"/>
  <c r="N112" i="2" s="1"/>
  <c r="C112" i="2"/>
  <c r="C109" i="2"/>
  <c r="F109" i="2" s="1"/>
  <c r="A111" i="2"/>
  <c r="G111" i="2" s="1"/>
  <c r="H111" i="2" s="1"/>
  <c r="I111" i="2" s="1"/>
  <c r="J111" i="2" s="1"/>
  <c r="K111" i="2" s="1"/>
  <c r="L111" i="2" s="1"/>
  <c r="M111" i="2" s="1"/>
  <c r="N111" i="2" s="1"/>
  <c r="A110" i="2"/>
  <c r="G110" i="2" s="1"/>
  <c r="H110" i="2" s="1"/>
  <c r="I110" i="2" s="1"/>
  <c r="J110" i="2" s="1"/>
  <c r="K110" i="2" s="1"/>
  <c r="L110" i="2" s="1"/>
  <c r="M110" i="2" s="1"/>
  <c r="N110" i="2" s="1"/>
  <c r="A109" i="2"/>
  <c r="G109" i="2" s="1"/>
  <c r="H109" i="2" s="1"/>
  <c r="I109" i="2" s="1"/>
  <c r="J109" i="2" s="1"/>
  <c r="K109" i="2" s="1"/>
  <c r="L109" i="2" s="1"/>
  <c r="M109" i="2" s="1"/>
  <c r="N109" i="2" s="1"/>
  <c r="A108" i="2"/>
  <c r="C108" i="2" s="1"/>
  <c r="D112" i="2"/>
  <c r="F112" i="2"/>
  <c r="C102" i="2"/>
  <c r="F102" i="2" s="1"/>
  <c r="C101" i="2"/>
  <c r="F101" i="2" s="1"/>
  <c r="C100" i="2"/>
  <c r="E100" i="2" s="1"/>
  <c r="C99" i="2"/>
  <c r="D99" i="2" s="1"/>
  <c r="C98" i="2"/>
  <c r="D98" i="2" s="1"/>
  <c r="C96" i="2"/>
  <c r="E96" i="2" s="1"/>
  <c r="C95" i="2"/>
  <c r="D95" i="2" s="1"/>
  <c r="C94" i="2"/>
  <c r="F94" i="2" s="1"/>
  <c r="C93" i="2"/>
  <c r="F93" i="2" s="1"/>
  <c r="C92" i="2"/>
  <c r="C90" i="2"/>
  <c r="E90" i="2" s="1"/>
  <c r="C89" i="2"/>
  <c r="F89" i="2" s="1"/>
  <c r="C88" i="2"/>
  <c r="E88" i="2" s="1"/>
  <c r="C87" i="2"/>
  <c r="D87" i="2" s="1"/>
  <c r="C86" i="2"/>
  <c r="N85" i="2"/>
  <c r="C84" i="2"/>
  <c r="F84" i="2" s="1"/>
  <c r="C83" i="2"/>
  <c r="E83" i="2" s="1"/>
  <c r="C82" i="2"/>
  <c r="D82" i="2" s="1"/>
  <c r="C81" i="2"/>
  <c r="F81" i="2" s="1"/>
  <c r="C80" i="2"/>
  <c r="E80" i="2" s="1"/>
  <c r="F74" i="2"/>
  <c r="C78" i="2"/>
  <c r="F78" i="2" s="1"/>
  <c r="C77" i="2"/>
  <c r="F77" i="2" s="1"/>
  <c r="C76" i="2"/>
  <c r="E76" i="2" s="1"/>
  <c r="C75" i="2"/>
  <c r="D75" i="2" s="1"/>
  <c r="C74" i="2"/>
  <c r="E74" i="2" s="1"/>
  <c r="D68" i="2"/>
  <c r="C72" i="2"/>
  <c r="D72" i="2" s="1"/>
  <c r="C71" i="2"/>
  <c r="E71" i="2" s="1"/>
  <c r="C70" i="2"/>
  <c r="F70" i="2" s="1"/>
  <c r="C69" i="2"/>
  <c r="F69" i="2" s="1"/>
  <c r="C68" i="2"/>
  <c r="E68" i="2" s="1"/>
  <c r="C66" i="2"/>
  <c r="D66" i="2" s="1"/>
  <c r="C65" i="2"/>
  <c r="E65" i="2" s="1"/>
  <c r="C64" i="2"/>
  <c r="C63" i="2"/>
  <c r="F63" i="2" s="1"/>
  <c r="C62" i="2"/>
  <c r="D62" i="2" s="1"/>
  <c r="C15" i="3"/>
  <c r="C14" i="3"/>
  <c r="C13" i="3"/>
  <c r="C12" i="3"/>
  <c r="C11" i="3"/>
  <c r="C56" i="2"/>
  <c r="C60" i="2"/>
  <c r="C59" i="2"/>
  <c r="C58" i="2"/>
  <c r="C57" i="2"/>
  <c r="C54" i="2"/>
  <c r="C53" i="2"/>
  <c r="C52" i="2"/>
  <c r="C51" i="2"/>
  <c r="C50" i="2"/>
  <c r="C48" i="2"/>
  <c r="C47" i="2"/>
  <c r="C46" i="2"/>
  <c r="C45" i="2"/>
  <c r="C44" i="2"/>
  <c r="C42" i="2"/>
  <c r="C41" i="2"/>
  <c r="C40" i="2"/>
  <c r="C39" i="2"/>
  <c r="C38" i="2"/>
  <c r="C36" i="2"/>
  <c r="C35" i="2"/>
  <c r="C34" i="2"/>
  <c r="C33" i="2"/>
  <c r="C32" i="2"/>
  <c r="C30" i="2"/>
  <c r="C29" i="2"/>
  <c r="C28" i="2"/>
  <c r="C27" i="2"/>
  <c r="C26" i="2"/>
  <c r="C24" i="2"/>
  <c r="C23" i="2"/>
  <c r="C22" i="2"/>
  <c r="C21" i="2"/>
  <c r="C20" i="2"/>
  <c r="F11" i="2"/>
  <c r="E11" i="2"/>
  <c r="D11" i="2"/>
  <c r="C11" i="2"/>
  <c r="Q16" i="3"/>
  <c r="Q15" i="3"/>
  <c r="Q14" i="3"/>
  <c r="Q13" i="3"/>
  <c r="Q12" i="3"/>
  <c r="Q11" i="3"/>
  <c r="P16" i="3"/>
  <c r="O16" i="3"/>
  <c r="O15" i="3"/>
  <c r="O14" i="3"/>
  <c r="O13" i="3"/>
  <c r="O12" i="3"/>
  <c r="O11" i="3"/>
  <c r="M16" i="3"/>
  <c r="M15" i="3"/>
  <c r="M14" i="3"/>
  <c r="M13" i="3"/>
  <c r="M12" i="3"/>
  <c r="M11" i="3"/>
  <c r="K16" i="3"/>
  <c r="K15" i="3"/>
  <c r="K14" i="3"/>
  <c r="K13" i="3"/>
  <c r="K12" i="3"/>
  <c r="K11" i="3"/>
  <c r="I16" i="3"/>
  <c r="I15" i="3"/>
  <c r="I14" i="3"/>
  <c r="I13" i="3"/>
  <c r="I12" i="3"/>
  <c r="I11" i="3"/>
  <c r="G16" i="3"/>
  <c r="G15" i="3"/>
  <c r="G14" i="3"/>
  <c r="G13" i="3"/>
  <c r="G12" i="3"/>
  <c r="G11" i="3"/>
  <c r="E16" i="3"/>
  <c r="E15" i="3"/>
  <c r="E14" i="3"/>
  <c r="E13" i="3"/>
  <c r="E12" i="3"/>
  <c r="E11" i="3"/>
  <c r="N16" i="3"/>
  <c r="L16" i="3"/>
  <c r="J16" i="3"/>
  <c r="H16" i="3"/>
  <c r="F16" i="3"/>
  <c r="D16" i="3"/>
  <c r="B16" i="3"/>
  <c r="O4" i="3"/>
  <c r="O5" i="3"/>
  <c r="O6" i="3"/>
  <c r="O7" i="3"/>
  <c r="O8" i="3"/>
  <c r="O3" i="3"/>
  <c r="N8" i="3"/>
  <c r="M4" i="3"/>
  <c r="M5" i="3"/>
  <c r="M6" i="3"/>
  <c r="M7" i="3"/>
  <c r="M8" i="3"/>
  <c r="M3" i="3"/>
  <c r="L8" i="3"/>
  <c r="F68" i="2" l="1"/>
  <c r="E98" i="2"/>
  <c r="E62" i="2"/>
  <c r="D80" i="2"/>
  <c r="G108" i="2"/>
  <c r="H108" i="2" s="1"/>
  <c r="I108" i="2" s="1"/>
  <c r="J108" i="2" s="1"/>
  <c r="K108" i="2" s="1"/>
  <c r="L108" i="2" s="1"/>
  <c r="M108" i="2" s="1"/>
  <c r="N108" i="2" s="1"/>
  <c r="D74" i="2"/>
  <c r="F80" i="2"/>
  <c r="D94" i="2"/>
  <c r="F86" i="2"/>
  <c r="E86" i="2"/>
  <c r="D86" i="2"/>
  <c r="F92" i="2"/>
  <c r="E92" i="2"/>
  <c r="D92" i="2"/>
  <c r="F62" i="2"/>
  <c r="F98" i="2"/>
  <c r="C110" i="2"/>
  <c r="D110" i="2" s="1"/>
  <c r="C111" i="2"/>
  <c r="E110" i="2"/>
  <c r="F110" i="2"/>
  <c r="F108" i="2"/>
  <c r="D109" i="2"/>
  <c r="E112" i="2"/>
  <c r="O112" i="2" s="1"/>
  <c r="E109" i="2"/>
  <c r="E82" i="2"/>
  <c r="D81" i="2"/>
  <c r="F76" i="2"/>
  <c r="F90" i="2"/>
  <c r="F83" i="2"/>
  <c r="D88" i="2"/>
  <c r="D78" i="2"/>
  <c r="F100" i="2"/>
  <c r="E66" i="2"/>
  <c r="E72" i="2"/>
  <c r="F96" i="2"/>
  <c r="D63" i="2"/>
  <c r="F65" i="2"/>
  <c r="D69" i="2"/>
  <c r="F71" i="2"/>
  <c r="F88" i="2"/>
  <c r="D102" i="2"/>
  <c r="E75" i="2"/>
  <c r="D64" i="2"/>
  <c r="E63" i="2"/>
  <c r="F66" i="2"/>
  <c r="D70" i="2"/>
  <c r="E69" i="2"/>
  <c r="F72" i="2"/>
  <c r="F75" i="2"/>
  <c r="D77" i="2"/>
  <c r="E78" i="2"/>
  <c r="E81" i="2"/>
  <c r="F82" i="2"/>
  <c r="D84" i="2"/>
  <c r="D89" i="2"/>
  <c r="E87" i="2"/>
  <c r="E89" i="2"/>
  <c r="D93" i="2"/>
  <c r="E94" i="2"/>
  <c r="F95" i="2"/>
  <c r="F99" i="2"/>
  <c r="D101" i="2"/>
  <c r="E102" i="2"/>
  <c r="E99" i="2"/>
  <c r="D65" i="2"/>
  <c r="E64" i="2"/>
  <c r="D71" i="2"/>
  <c r="E70" i="2"/>
  <c r="D76" i="2"/>
  <c r="E77" i="2"/>
  <c r="D83" i="2"/>
  <c r="E84" i="2"/>
  <c r="D90" i="2"/>
  <c r="F87" i="2"/>
  <c r="E93" i="2"/>
  <c r="D96" i="2"/>
  <c r="D100" i="2"/>
  <c r="E101" i="2"/>
  <c r="E95" i="2"/>
  <c r="F64" i="2"/>
  <c r="C16" i="3"/>
  <c r="K8" i="3"/>
  <c r="K7" i="3"/>
  <c r="K6" i="3"/>
  <c r="K5" i="3"/>
  <c r="K4" i="3"/>
  <c r="K3" i="3"/>
  <c r="J8" i="3"/>
  <c r="I8" i="3"/>
  <c r="I7" i="3"/>
  <c r="I6" i="3"/>
  <c r="I5" i="3"/>
  <c r="I4" i="3"/>
  <c r="I3" i="3"/>
  <c r="H8" i="3"/>
  <c r="G7" i="3"/>
  <c r="G6" i="3"/>
  <c r="G5" i="3"/>
  <c r="G4" i="3"/>
  <c r="G3" i="3"/>
  <c r="E4" i="3"/>
  <c r="E5" i="3"/>
  <c r="E6" i="3"/>
  <c r="E7" i="3"/>
  <c r="E3" i="3"/>
  <c r="F8" i="3"/>
  <c r="D8" i="3"/>
  <c r="B8" i="3"/>
  <c r="C7" i="3" s="1"/>
  <c r="N121" i="2"/>
  <c r="M121" i="2"/>
  <c r="L121" i="2"/>
  <c r="K121" i="2"/>
  <c r="J121" i="2"/>
  <c r="I121" i="2"/>
  <c r="H121" i="2"/>
  <c r="G121" i="2"/>
  <c r="F121" i="2"/>
  <c r="E121" i="2"/>
  <c r="D121" i="2"/>
  <c r="C121" i="2"/>
  <c r="O119" i="2"/>
  <c r="B13" i="4" s="1"/>
  <c r="B15" i="4" s="1"/>
  <c r="C15" i="4" s="1"/>
  <c r="O115" i="2"/>
  <c r="O121" i="2" s="1"/>
  <c r="O107" i="2"/>
  <c r="N97" i="2"/>
  <c r="M97" i="2"/>
  <c r="L97" i="2"/>
  <c r="K97" i="2"/>
  <c r="J97" i="2"/>
  <c r="I97" i="2"/>
  <c r="H97" i="2"/>
  <c r="G97" i="2"/>
  <c r="N91" i="2"/>
  <c r="M91" i="2"/>
  <c r="L91" i="2"/>
  <c r="K91" i="2"/>
  <c r="J91" i="2"/>
  <c r="I91" i="2"/>
  <c r="H91" i="2"/>
  <c r="G91" i="2"/>
  <c r="M85" i="2"/>
  <c r="L85" i="2"/>
  <c r="K85" i="2"/>
  <c r="J85" i="2"/>
  <c r="I85" i="2"/>
  <c r="H85" i="2"/>
  <c r="G85" i="2"/>
  <c r="N79" i="2"/>
  <c r="M79" i="2"/>
  <c r="L79" i="2"/>
  <c r="K79" i="2"/>
  <c r="J79" i="2"/>
  <c r="I79" i="2"/>
  <c r="H79" i="2"/>
  <c r="G79" i="2"/>
  <c r="N73" i="2"/>
  <c r="M73" i="2"/>
  <c r="L73" i="2"/>
  <c r="K73" i="2"/>
  <c r="J73" i="2"/>
  <c r="I73" i="2"/>
  <c r="H73" i="2"/>
  <c r="G73" i="2"/>
  <c r="N67" i="2"/>
  <c r="M67" i="2"/>
  <c r="L67" i="2"/>
  <c r="K67" i="2"/>
  <c r="J67" i="2"/>
  <c r="I67" i="2"/>
  <c r="H67" i="2"/>
  <c r="G67" i="2"/>
  <c r="N61" i="2"/>
  <c r="M61" i="2"/>
  <c r="L61" i="2"/>
  <c r="K61" i="2"/>
  <c r="J61" i="2"/>
  <c r="I61" i="2"/>
  <c r="H61" i="2"/>
  <c r="G61" i="2"/>
  <c r="N55" i="2"/>
  <c r="M55" i="2"/>
  <c r="L55" i="2"/>
  <c r="K55" i="2"/>
  <c r="J55" i="2"/>
  <c r="I55" i="2"/>
  <c r="H55" i="2"/>
  <c r="G55" i="2"/>
  <c r="N49" i="2"/>
  <c r="M49" i="2"/>
  <c r="L49" i="2"/>
  <c r="K49" i="2"/>
  <c r="J49" i="2"/>
  <c r="I49" i="2"/>
  <c r="H49" i="2"/>
  <c r="G49" i="2"/>
  <c r="N43" i="2"/>
  <c r="M43" i="2"/>
  <c r="L43" i="2"/>
  <c r="K43" i="2"/>
  <c r="J43" i="2"/>
  <c r="I43" i="2"/>
  <c r="H43" i="2"/>
  <c r="G43" i="2"/>
  <c r="N37" i="2"/>
  <c r="M37" i="2"/>
  <c r="L37" i="2"/>
  <c r="K37" i="2"/>
  <c r="J37" i="2"/>
  <c r="I37" i="2"/>
  <c r="H37" i="2"/>
  <c r="G37" i="2"/>
  <c r="N31" i="2"/>
  <c r="M31" i="2"/>
  <c r="L31" i="2"/>
  <c r="K31" i="2"/>
  <c r="J31" i="2"/>
  <c r="I31" i="2"/>
  <c r="H31" i="2"/>
  <c r="G31" i="2"/>
  <c r="N25" i="2"/>
  <c r="M25" i="2"/>
  <c r="L25" i="2"/>
  <c r="K25" i="2"/>
  <c r="J25" i="2"/>
  <c r="I25" i="2"/>
  <c r="H25" i="2"/>
  <c r="G25" i="2"/>
  <c r="N19" i="2"/>
  <c r="M19" i="2"/>
  <c r="L19" i="2"/>
  <c r="K19" i="2"/>
  <c r="J19" i="2"/>
  <c r="I19" i="2"/>
  <c r="H19" i="2"/>
  <c r="G19" i="2"/>
  <c r="N13" i="2"/>
  <c r="M13" i="2"/>
  <c r="L13" i="2"/>
  <c r="K13" i="2"/>
  <c r="J13" i="2"/>
  <c r="I13" i="2"/>
  <c r="H13" i="2"/>
  <c r="G13" i="2"/>
  <c r="F5" i="2"/>
  <c r="F120" i="2" s="1"/>
  <c r="E5" i="2"/>
  <c r="E120" i="2" s="1"/>
  <c r="D5" i="2"/>
  <c r="D120" i="2" s="1"/>
  <c r="C5" i="2"/>
  <c r="Z102" i="1"/>
  <c r="X43" i="1"/>
  <c r="V43" i="1"/>
  <c r="T43" i="1"/>
  <c r="R43" i="1"/>
  <c r="P43" i="1"/>
  <c r="N43" i="1"/>
  <c r="L43" i="1"/>
  <c r="Z43" i="1"/>
  <c r="N11" i="2" l="1"/>
  <c r="J11" i="2"/>
  <c r="J46" i="2"/>
  <c r="J48" i="2"/>
  <c r="J44" i="2"/>
  <c r="J47" i="2"/>
  <c r="J45" i="2"/>
  <c r="J100" i="2"/>
  <c r="J99" i="2"/>
  <c r="J102" i="2"/>
  <c r="J98" i="2"/>
  <c r="J101" i="2"/>
  <c r="G18" i="2"/>
  <c r="G14" i="2"/>
  <c r="G17" i="2"/>
  <c r="G16" i="2"/>
  <c r="G15" i="2"/>
  <c r="K16" i="2"/>
  <c r="K15" i="2"/>
  <c r="K18" i="2"/>
  <c r="K14" i="2"/>
  <c r="K17" i="2"/>
  <c r="G28" i="2"/>
  <c r="G27" i="2"/>
  <c r="G30" i="2"/>
  <c r="G26" i="2"/>
  <c r="G29" i="2"/>
  <c r="K27" i="2"/>
  <c r="K26" i="2"/>
  <c r="K30" i="2"/>
  <c r="K28" i="2"/>
  <c r="K29" i="2"/>
  <c r="G33" i="2"/>
  <c r="G36" i="2"/>
  <c r="G32" i="2"/>
  <c r="G35" i="2"/>
  <c r="G34" i="2"/>
  <c r="K35" i="2"/>
  <c r="K36" i="2"/>
  <c r="K34" i="2"/>
  <c r="K32" i="2"/>
  <c r="K33" i="2"/>
  <c r="G40" i="2"/>
  <c r="G39" i="2"/>
  <c r="G41" i="2"/>
  <c r="G42" i="2"/>
  <c r="G38" i="2"/>
  <c r="K39" i="2"/>
  <c r="K38" i="2"/>
  <c r="K40" i="2"/>
  <c r="K42" i="2"/>
  <c r="K41" i="2"/>
  <c r="G46" i="2"/>
  <c r="G44" i="2"/>
  <c r="G45" i="2"/>
  <c r="G48" i="2"/>
  <c r="G47" i="2"/>
  <c r="K45" i="2"/>
  <c r="K47" i="2"/>
  <c r="K48" i="2"/>
  <c r="K46" i="2"/>
  <c r="K44" i="2"/>
  <c r="G53" i="2"/>
  <c r="G54" i="2"/>
  <c r="G51" i="2"/>
  <c r="G50" i="2"/>
  <c r="G52" i="2"/>
  <c r="K54" i="2"/>
  <c r="K50" i="2"/>
  <c r="K53" i="2"/>
  <c r="K52" i="2"/>
  <c r="K51" i="2"/>
  <c r="G59" i="2"/>
  <c r="G58" i="2"/>
  <c r="G57" i="2"/>
  <c r="G60" i="2"/>
  <c r="O60" i="2" s="1"/>
  <c r="G56" i="2"/>
  <c r="K57" i="2"/>
  <c r="L57" i="2" s="1"/>
  <c r="K60" i="2"/>
  <c r="L60" i="2" s="1"/>
  <c r="K56" i="2"/>
  <c r="L56" i="2" s="1"/>
  <c r="K59" i="2"/>
  <c r="L59" i="2" s="1"/>
  <c r="K58" i="2"/>
  <c r="L58" i="2" s="1"/>
  <c r="G63" i="2"/>
  <c r="J63" i="2" s="1"/>
  <c r="G66" i="2"/>
  <c r="J66" i="2" s="1"/>
  <c r="G62" i="2"/>
  <c r="J62" i="2" s="1"/>
  <c r="G65" i="2"/>
  <c r="J65" i="2" s="1"/>
  <c r="G64" i="2"/>
  <c r="J64" i="2" s="1"/>
  <c r="K63" i="2"/>
  <c r="L63" i="2" s="1"/>
  <c r="K66" i="2"/>
  <c r="L66" i="2" s="1"/>
  <c r="K62" i="2"/>
  <c r="L62" i="2" s="1"/>
  <c r="K65" i="2"/>
  <c r="L65" i="2" s="1"/>
  <c r="K64" i="2"/>
  <c r="L64" i="2" s="1"/>
  <c r="G72" i="2"/>
  <c r="J72" i="2" s="1"/>
  <c r="G68" i="2"/>
  <c r="J68" i="2" s="1"/>
  <c r="G71" i="2"/>
  <c r="J71" i="2" s="1"/>
  <c r="G70" i="2"/>
  <c r="J70" i="2" s="1"/>
  <c r="G69" i="2"/>
  <c r="J69" i="2" s="1"/>
  <c r="K72" i="2"/>
  <c r="L72" i="2" s="1"/>
  <c r="K68" i="2"/>
  <c r="L68" i="2" s="1"/>
  <c r="K71" i="2"/>
  <c r="L71" i="2" s="1"/>
  <c r="K70" i="2"/>
  <c r="L70" i="2" s="1"/>
  <c r="K69" i="2"/>
  <c r="L69" i="2" s="1"/>
  <c r="H77" i="2"/>
  <c r="I77" i="2" s="1"/>
  <c r="H76" i="2"/>
  <c r="I76" i="2" s="1"/>
  <c r="H75" i="2"/>
  <c r="I75" i="2" s="1"/>
  <c r="H78" i="2"/>
  <c r="I78" i="2" s="1"/>
  <c r="H74" i="2"/>
  <c r="I74" i="2" s="1"/>
  <c r="G84" i="2"/>
  <c r="G80" i="2"/>
  <c r="G83" i="2"/>
  <c r="G82" i="2"/>
  <c r="G81" i="2"/>
  <c r="K81" i="2"/>
  <c r="L81" i="2" s="1"/>
  <c r="K84" i="2"/>
  <c r="L84" i="2" s="1"/>
  <c r="K80" i="2"/>
  <c r="L80" i="2" s="1"/>
  <c r="K83" i="2"/>
  <c r="L83" i="2" s="1"/>
  <c r="O83" i="2" s="1"/>
  <c r="K82" i="2"/>
  <c r="L82" i="2" s="1"/>
  <c r="M87" i="2"/>
  <c r="N87" i="2" s="1"/>
  <c r="M90" i="2"/>
  <c r="N90" i="2" s="1"/>
  <c r="M86" i="2"/>
  <c r="N86" i="2" s="1"/>
  <c r="M89" i="2"/>
  <c r="N89" i="2" s="1"/>
  <c r="M88" i="2"/>
  <c r="N88" i="2" s="1"/>
  <c r="M95" i="2"/>
  <c r="N95" i="2" s="1"/>
  <c r="M94" i="2"/>
  <c r="N94" i="2" s="1"/>
  <c r="M93" i="2"/>
  <c r="N93" i="2" s="1"/>
  <c r="M92" i="2"/>
  <c r="N92" i="2" s="1"/>
  <c r="M96" i="2"/>
  <c r="N96" i="2" s="1"/>
  <c r="G99" i="2"/>
  <c r="G102" i="2"/>
  <c r="G98" i="2"/>
  <c r="G101" i="2"/>
  <c r="G100" i="2"/>
  <c r="K99" i="2"/>
  <c r="L99" i="2" s="1"/>
  <c r="K102" i="2"/>
  <c r="L102" i="2" s="1"/>
  <c r="K98" i="2"/>
  <c r="L98" i="2" s="1"/>
  <c r="K101" i="2"/>
  <c r="L101" i="2" s="1"/>
  <c r="K100" i="2"/>
  <c r="L100" i="2" s="1"/>
  <c r="G78" i="2"/>
  <c r="G74" i="2"/>
  <c r="G77" i="2"/>
  <c r="G76" i="2"/>
  <c r="G75" i="2"/>
  <c r="H27" i="2"/>
  <c r="H30" i="2"/>
  <c r="H26" i="2"/>
  <c r="H28" i="2"/>
  <c r="H29" i="2"/>
  <c r="H51" i="2"/>
  <c r="H54" i="2"/>
  <c r="H50" i="2"/>
  <c r="H53" i="2"/>
  <c r="H52" i="2"/>
  <c r="M76" i="2"/>
  <c r="N76" i="2" s="1"/>
  <c r="M75" i="2"/>
  <c r="N75" i="2" s="1"/>
  <c r="M78" i="2"/>
  <c r="N78" i="2" s="1"/>
  <c r="M74" i="2"/>
  <c r="N74" i="2" s="1"/>
  <c r="M77" i="2"/>
  <c r="N77" i="2" s="1"/>
  <c r="H83" i="2"/>
  <c r="I83" i="2" s="1"/>
  <c r="H82" i="2"/>
  <c r="I82" i="2" s="1"/>
  <c r="H81" i="2"/>
  <c r="I81" i="2" s="1"/>
  <c r="H84" i="2"/>
  <c r="I84" i="2" s="1"/>
  <c r="H80" i="2"/>
  <c r="I80" i="2" s="1"/>
  <c r="J90" i="2"/>
  <c r="J86" i="2"/>
  <c r="J89" i="2"/>
  <c r="J88" i="2"/>
  <c r="J87" i="2"/>
  <c r="O87" i="2" s="1"/>
  <c r="J94" i="2"/>
  <c r="J93" i="2"/>
  <c r="J96" i="2"/>
  <c r="J92" i="2"/>
  <c r="J95" i="2"/>
  <c r="H102" i="2"/>
  <c r="I102" i="2" s="1"/>
  <c r="H98" i="2"/>
  <c r="I98" i="2" s="1"/>
  <c r="H101" i="2"/>
  <c r="I101" i="2" s="1"/>
  <c r="H100" i="2"/>
  <c r="I100" i="2" s="1"/>
  <c r="H99" i="2"/>
  <c r="I99" i="2" s="1"/>
  <c r="K78" i="2"/>
  <c r="L78" i="2" s="1"/>
  <c r="K74" i="2"/>
  <c r="L74" i="2" s="1"/>
  <c r="K77" i="2"/>
  <c r="L77" i="2" s="1"/>
  <c r="K76" i="2"/>
  <c r="L76" i="2" s="1"/>
  <c r="K75" i="2"/>
  <c r="L75" i="2" s="1"/>
  <c r="J82" i="2"/>
  <c r="J81" i="2"/>
  <c r="J84" i="2"/>
  <c r="J83" i="2"/>
  <c r="J80" i="2"/>
  <c r="H88" i="2"/>
  <c r="I88" i="2" s="1"/>
  <c r="H87" i="2"/>
  <c r="I87" i="2" s="1"/>
  <c r="H90" i="2"/>
  <c r="I90" i="2" s="1"/>
  <c r="H86" i="2"/>
  <c r="I86" i="2" s="1"/>
  <c r="H89" i="2"/>
  <c r="I89" i="2" s="1"/>
  <c r="H93" i="2"/>
  <c r="I93" i="2" s="1"/>
  <c r="H96" i="2"/>
  <c r="I96" i="2" s="1"/>
  <c r="H92" i="2"/>
  <c r="I92" i="2" s="1"/>
  <c r="H95" i="2"/>
  <c r="I95" i="2" s="1"/>
  <c r="H94" i="2"/>
  <c r="I94" i="2" s="1"/>
  <c r="H16" i="2"/>
  <c r="H15" i="2"/>
  <c r="H17" i="2"/>
  <c r="H14" i="2"/>
  <c r="H18" i="2"/>
  <c r="L11" i="2"/>
  <c r="L5" i="2" s="1"/>
  <c r="L120" i="2" s="1"/>
  <c r="L123" i="2" s="1"/>
  <c r="H36" i="2"/>
  <c r="H32" i="2"/>
  <c r="H33" i="2"/>
  <c r="H35" i="2"/>
  <c r="H34" i="2"/>
  <c r="H39" i="2"/>
  <c r="H42" i="2"/>
  <c r="H38" i="2"/>
  <c r="H41" i="2"/>
  <c r="H40" i="2"/>
  <c r="H47" i="2"/>
  <c r="H45" i="2"/>
  <c r="H44" i="2"/>
  <c r="H46" i="2"/>
  <c r="H48" i="2"/>
  <c r="H58" i="2"/>
  <c r="H57" i="2"/>
  <c r="H60" i="2"/>
  <c r="H56" i="2"/>
  <c r="H59" i="2"/>
  <c r="H66" i="2"/>
  <c r="I66" i="2" s="1"/>
  <c r="H62" i="2"/>
  <c r="I62" i="2" s="1"/>
  <c r="H65" i="2"/>
  <c r="I65" i="2" s="1"/>
  <c r="H64" i="2"/>
  <c r="I64" i="2" s="1"/>
  <c r="H63" i="2"/>
  <c r="I63" i="2" s="1"/>
  <c r="H71" i="2"/>
  <c r="I71" i="2" s="1"/>
  <c r="H70" i="2"/>
  <c r="I70" i="2" s="1"/>
  <c r="H69" i="2"/>
  <c r="I69" i="2" s="1"/>
  <c r="H68" i="2"/>
  <c r="I68" i="2" s="1"/>
  <c r="H72" i="2"/>
  <c r="I72" i="2" s="1"/>
  <c r="M18" i="2"/>
  <c r="M17" i="2"/>
  <c r="M15" i="2"/>
  <c r="M14" i="2"/>
  <c r="M16" i="2"/>
  <c r="I11" i="2"/>
  <c r="I5" i="2" s="1"/>
  <c r="I120" i="2" s="1"/>
  <c r="I123" i="2" s="1"/>
  <c r="M29" i="2"/>
  <c r="M30" i="2"/>
  <c r="M28" i="2"/>
  <c r="M27" i="2"/>
  <c r="M26" i="2"/>
  <c r="M34" i="2"/>
  <c r="M33" i="2"/>
  <c r="M35" i="2"/>
  <c r="M36" i="2"/>
  <c r="M32" i="2"/>
  <c r="M42" i="2"/>
  <c r="M38" i="2"/>
  <c r="M39" i="2"/>
  <c r="M40" i="2"/>
  <c r="M41" i="2"/>
  <c r="M48" i="2"/>
  <c r="M44" i="2"/>
  <c r="M46" i="2"/>
  <c r="M45" i="2"/>
  <c r="M47" i="2"/>
  <c r="M53" i="2"/>
  <c r="M52" i="2"/>
  <c r="M51" i="2"/>
  <c r="M54" i="2"/>
  <c r="M50" i="2"/>
  <c r="M59" i="2"/>
  <c r="N59" i="2" s="1"/>
  <c r="M58" i="2"/>
  <c r="N58" i="2" s="1"/>
  <c r="M57" i="2"/>
  <c r="N57" i="2" s="1"/>
  <c r="M60" i="2"/>
  <c r="N60" i="2" s="1"/>
  <c r="M56" i="2"/>
  <c r="N56" i="2" s="1"/>
  <c r="M65" i="2"/>
  <c r="N65" i="2" s="1"/>
  <c r="M64" i="2"/>
  <c r="N64" i="2" s="1"/>
  <c r="M63" i="2"/>
  <c r="N63" i="2" s="1"/>
  <c r="M66" i="2"/>
  <c r="N66" i="2" s="1"/>
  <c r="M62" i="2"/>
  <c r="N62" i="2" s="1"/>
  <c r="M70" i="2"/>
  <c r="N70" i="2" s="1"/>
  <c r="M69" i="2"/>
  <c r="N69" i="2" s="1"/>
  <c r="M72" i="2"/>
  <c r="N72" i="2" s="1"/>
  <c r="M68" i="2"/>
  <c r="N68" i="2" s="1"/>
  <c r="O68" i="2" s="1"/>
  <c r="M71" i="2"/>
  <c r="N71" i="2" s="1"/>
  <c r="J75" i="2"/>
  <c r="J78" i="2"/>
  <c r="J74" i="2"/>
  <c r="J77" i="2"/>
  <c r="J76" i="2"/>
  <c r="M82" i="2"/>
  <c r="N82" i="2" s="1"/>
  <c r="M81" i="2"/>
  <c r="N81" i="2" s="1"/>
  <c r="M84" i="2"/>
  <c r="N84" i="2" s="1"/>
  <c r="M80" i="2"/>
  <c r="N80" i="2" s="1"/>
  <c r="M83" i="2"/>
  <c r="N83" i="2" s="1"/>
  <c r="G89" i="2"/>
  <c r="G88" i="2"/>
  <c r="G87" i="2"/>
  <c r="G90" i="2"/>
  <c r="G86" i="2"/>
  <c r="K89" i="2"/>
  <c r="L89" i="2" s="1"/>
  <c r="K88" i="2"/>
  <c r="L88" i="2" s="1"/>
  <c r="O88" i="2" s="1"/>
  <c r="K87" i="2"/>
  <c r="L87" i="2" s="1"/>
  <c r="K90" i="2"/>
  <c r="L90" i="2" s="1"/>
  <c r="O90" i="2" s="1"/>
  <c r="K86" i="2"/>
  <c r="L86" i="2" s="1"/>
  <c r="G94" i="2"/>
  <c r="G93" i="2"/>
  <c r="G96" i="2"/>
  <c r="G92" i="2"/>
  <c r="G95" i="2"/>
  <c r="K93" i="2"/>
  <c r="L93" i="2" s="1"/>
  <c r="K96" i="2"/>
  <c r="L96" i="2" s="1"/>
  <c r="O96" i="2" s="1"/>
  <c r="K92" i="2"/>
  <c r="L92" i="2" s="1"/>
  <c r="K95" i="2"/>
  <c r="L95" i="2" s="1"/>
  <c r="K94" i="2"/>
  <c r="L94" i="2" s="1"/>
  <c r="M101" i="2"/>
  <c r="N101" i="2" s="1"/>
  <c r="O101" i="2" s="1"/>
  <c r="M100" i="2"/>
  <c r="N100" i="2" s="1"/>
  <c r="M99" i="2"/>
  <c r="N99" i="2" s="1"/>
  <c r="M102" i="2"/>
  <c r="N102" i="2" s="1"/>
  <c r="O102" i="2" s="1"/>
  <c r="M98" i="2"/>
  <c r="N98" i="2" s="1"/>
  <c r="O98" i="2" s="1"/>
  <c r="O110" i="2"/>
  <c r="K23" i="2"/>
  <c r="K20" i="2"/>
  <c r="K22" i="2"/>
  <c r="K21" i="2"/>
  <c r="K11" i="2"/>
  <c r="K24" i="2"/>
  <c r="H24" i="2"/>
  <c r="H20" i="2"/>
  <c r="H23" i="2"/>
  <c r="H11" i="2"/>
  <c r="H5" i="2" s="1"/>
  <c r="H120" i="2" s="1"/>
  <c r="H123" i="2" s="1"/>
  <c r="H21" i="2"/>
  <c r="H22" i="2"/>
  <c r="M22" i="2"/>
  <c r="M11" i="2"/>
  <c r="M5" i="2" s="1"/>
  <c r="M120" i="2" s="1"/>
  <c r="M123" i="2" s="1"/>
  <c r="M21" i="2"/>
  <c r="M23" i="2"/>
  <c r="M24" i="2"/>
  <c r="M20" i="2"/>
  <c r="G21" i="2"/>
  <c r="G24" i="2"/>
  <c r="G20" i="2"/>
  <c r="G23" i="2"/>
  <c r="G11" i="2"/>
  <c r="G5" i="2" s="1"/>
  <c r="G120" i="2" s="1"/>
  <c r="G123" i="2" s="1"/>
  <c r="G22" i="2"/>
  <c r="O22" i="2" s="1"/>
  <c r="F111" i="2"/>
  <c r="E111" i="2"/>
  <c r="D111" i="2"/>
  <c r="O109" i="2"/>
  <c r="E108" i="2"/>
  <c r="D108" i="2"/>
  <c r="O108" i="2" s="1"/>
  <c r="O93" i="2"/>
  <c r="O99" i="2"/>
  <c r="O72" i="2"/>
  <c r="G8" i="3"/>
  <c r="E8" i="3"/>
  <c r="C6" i="3"/>
  <c r="C5" i="3"/>
  <c r="C3" i="3"/>
  <c r="C4" i="3"/>
  <c r="E123" i="2"/>
  <c r="D123" i="2"/>
  <c r="F123" i="2"/>
  <c r="O37" i="2"/>
  <c r="J5" i="2"/>
  <c r="J120" i="2" s="1"/>
  <c r="J123" i="2" s="1"/>
  <c r="O55" i="2"/>
  <c r="O61" i="2"/>
  <c r="N5" i="2"/>
  <c r="N120" i="2" s="1"/>
  <c r="N123" i="2" s="1"/>
  <c r="O13" i="2"/>
  <c r="O31" i="2"/>
  <c r="O43" i="2"/>
  <c r="K5" i="2"/>
  <c r="K120" i="2" s="1"/>
  <c r="K123" i="2" s="1"/>
  <c r="O67" i="2"/>
  <c r="O73" i="2"/>
  <c r="O79" i="2"/>
  <c r="O85" i="2"/>
  <c r="O91" i="2"/>
  <c r="O97" i="2"/>
  <c r="C120" i="2"/>
  <c r="O49" i="2"/>
  <c r="O25" i="2"/>
  <c r="O94" i="2" l="1"/>
  <c r="O64" i="2"/>
  <c r="O81" i="2"/>
  <c r="O78" i="2"/>
  <c r="O100" i="2"/>
  <c r="O84" i="2"/>
  <c r="O54" i="2"/>
  <c r="O35" i="2"/>
  <c r="O82" i="2"/>
  <c r="O75" i="2"/>
  <c r="O70" i="2"/>
  <c r="O80" i="2"/>
  <c r="O76" i="2"/>
  <c r="O69" i="2"/>
  <c r="O95" i="2"/>
  <c r="O77" i="2"/>
  <c r="O89" i="2"/>
  <c r="O86" i="2"/>
  <c r="O48" i="2"/>
  <c r="O39" i="2"/>
  <c r="O27" i="2"/>
  <c r="O16" i="2"/>
  <c r="O66" i="2"/>
  <c r="O65" i="2"/>
  <c r="O111" i="2"/>
  <c r="O57" i="2"/>
  <c r="O52" i="2"/>
  <c r="O53" i="2"/>
  <c r="O45" i="2"/>
  <c r="O38" i="2"/>
  <c r="O40" i="2"/>
  <c r="O32" i="2"/>
  <c r="O29" i="2"/>
  <c r="O28" i="2"/>
  <c r="O17" i="2"/>
  <c r="O24" i="2"/>
  <c r="O44" i="2"/>
  <c r="O92" i="2"/>
  <c r="O58" i="2"/>
  <c r="O50" i="2"/>
  <c r="O42" i="2"/>
  <c r="O36" i="2"/>
  <c r="O26" i="2"/>
  <c r="O14" i="2"/>
  <c r="O71" i="2"/>
  <c r="O63" i="2"/>
  <c r="O74" i="2"/>
  <c r="O56" i="2"/>
  <c r="O59" i="2"/>
  <c r="O51" i="2"/>
  <c r="O47" i="2"/>
  <c r="O46" i="2"/>
  <c r="O41" i="2"/>
  <c r="O34" i="2"/>
  <c r="O33" i="2"/>
  <c r="O30" i="2"/>
  <c r="O15" i="2"/>
  <c r="O18" i="2"/>
  <c r="O21" i="2"/>
  <c r="O23" i="2"/>
  <c r="O20" i="2"/>
  <c r="O11" i="2"/>
  <c r="C8" i="3"/>
  <c r="O5" i="2"/>
  <c r="O120" i="2" s="1"/>
  <c r="C123" i="2"/>
  <c r="C124" i="2" s="1"/>
  <c r="C122" i="2"/>
  <c r="D119" i="2" s="1"/>
  <c r="D122" i="2" s="1"/>
  <c r="O123" i="2" l="1"/>
  <c r="O124" i="2" s="1"/>
  <c r="O122" i="2"/>
  <c r="E119" i="2"/>
  <c r="E122" i="2" s="1"/>
  <c r="D124" i="2"/>
  <c r="F119" i="2" l="1"/>
  <c r="F122" i="2" s="1"/>
  <c r="E124" i="2"/>
  <c r="G119" i="2" l="1"/>
  <c r="G122" i="2" s="1"/>
  <c r="F124" i="2"/>
  <c r="H119" i="2" l="1"/>
  <c r="H122" i="2" s="1"/>
  <c r="G124" i="2"/>
  <c r="I119" i="2" l="1"/>
  <c r="I122" i="2" s="1"/>
  <c r="H124" i="2"/>
  <c r="J119" i="2" l="1"/>
  <c r="J122" i="2" s="1"/>
  <c r="I124" i="2"/>
  <c r="X83" i="1"/>
  <c r="X78" i="1"/>
  <c r="X73" i="1"/>
  <c r="X68" i="1"/>
  <c r="X63" i="1"/>
  <c r="X58" i="1"/>
  <c r="X53" i="1"/>
  <c r="X48" i="1"/>
  <c r="X38" i="1"/>
  <c r="X33" i="1"/>
  <c r="X28" i="1"/>
  <c r="X23" i="1"/>
  <c r="X18" i="1"/>
  <c r="X13" i="1"/>
  <c r="V83" i="1"/>
  <c r="V78" i="1"/>
  <c r="V73" i="1"/>
  <c r="V68" i="1"/>
  <c r="V63" i="1"/>
  <c r="V58" i="1"/>
  <c r="V53" i="1"/>
  <c r="V48" i="1"/>
  <c r="V38" i="1"/>
  <c r="V33" i="1"/>
  <c r="V28" i="1"/>
  <c r="V11" i="1" s="1"/>
  <c r="V5" i="1" s="1"/>
  <c r="V103" i="1" s="1"/>
  <c r="V23" i="1"/>
  <c r="V18" i="1"/>
  <c r="V13" i="1"/>
  <c r="R13" i="1"/>
  <c r="T83" i="1"/>
  <c r="T78" i="1"/>
  <c r="T73" i="1"/>
  <c r="T68" i="1"/>
  <c r="T63" i="1"/>
  <c r="T58" i="1"/>
  <c r="T53" i="1"/>
  <c r="T48" i="1"/>
  <c r="T38" i="1"/>
  <c r="T33" i="1"/>
  <c r="T28" i="1"/>
  <c r="T23" i="1"/>
  <c r="T18" i="1"/>
  <c r="T13" i="1"/>
  <c r="R83" i="1"/>
  <c r="R78" i="1"/>
  <c r="R73" i="1"/>
  <c r="R68" i="1"/>
  <c r="R63" i="1"/>
  <c r="R58" i="1"/>
  <c r="R53" i="1"/>
  <c r="R48" i="1"/>
  <c r="R38" i="1"/>
  <c r="R33" i="1"/>
  <c r="R28" i="1"/>
  <c r="R23" i="1"/>
  <c r="R18" i="1"/>
  <c r="P83" i="1"/>
  <c r="P78" i="1"/>
  <c r="P73" i="1"/>
  <c r="P68" i="1"/>
  <c r="P63" i="1"/>
  <c r="P58" i="1"/>
  <c r="P53" i="1"/>
  <c r="P48" i="1"/>
  <c r="P38" i="1"/>
  <c r="P33" i="1"/>
  <c r="P28" i="1"/>
  <c r="P23" i="1"/>
  <c r="P18" i="1"/>
  <c r="P13" i="1"/>
  <c r="N83" i="1"/>
  <c r="N78" i="1"/>
  <c r="N73" i="1"/>
  <c r="N68" i="1"/>
  <c r="N63" i="1"/>
  <c r="N58" i="1"/>
  <c r="N53" i="1"/>
  <c r="N48" i="1"/>
  <c r="N38" i="1"/>
  <c r="N33" i="1"/>
  <c r="N28" i="1"/>
  <c r="N23" i="1"/>
  <c r="N18" i="1"/>
  <c r="N13" i="1"/>
  <c r="L83" i="1"/>
  <c r="L78" i="1"/>
  <c r="L73" i="1"/>
  <c r="L68" i="1"/>
  <c r="L63" i="1"/>
  <c r="AB63" i="1" s="1"/>
  <c r="L58" i="1"/>
  <c r="L53" i="1"/>
  <c r="L48" i="1"/>
  <c r="AB43" i="1"/>
  <c r="L38" i="1"/>
  <c r="L33" i="1"/>
  <c r="L28" i="1"/>
  <c r="L23" i="1"/>
  <c r="AB23" i="1" s="1"/>
  <c r="L18" i="1"/>
  <c r="AC33" i="1"/>
  <c r="L13" i="1"/>
  <c r="K11" i="1"/>
  <c r="F11" i="1"/>
  <c r="F5" i="1" s="1"/>
  <c r="F103" i="1" s="1"/>
  <c r="Y11" i="1"/>
  <c r="W11" i="1"/>
  <c r="U11" i="1"/>
  <c r="S11" i="1"/>
  <c r="Q11" i="1"/>
  <c r="O11" i="1"/>
  <c r="M11" i="1"/>
  <c r="I11" i="1"/>
  <c r="H11" i="1"/>
  <c r="H5" i="1" s="1"/>
  <c r="H103" i="1" s="1"/>
  <c r="D11" i="1"/>
  <c r="D5" i="1" s="1"/>
  <c r="D103" i="1" s="1"/>
  <c r="C11" i="1"/>
  <c r="B11" i="1"/>
  <c r="B5" i="1" s="1"/>
  <c r="Z83" i="1"/>
  <c r="AB82" i="1"/>
  <c r="Z82" i="1"/>
  <c r="AB81" i="1"/>
  <c r="Z81" i="1"/>
  <c r="AB80" i="1"/>
  <c r="Z80" i="1"/>
  <c r="AB79" i="1"/>
  <c r="Z79" i="1"/>
  <c r="AB77" i="1"/>
  <c r="Z77" i="1"/>
  <c r="AB76" i="1"/>
  <c r="Z76" i="1"/>
  <c r="AB75" i="1"/>
  <c r="Z75" i="1"/>
  <c r="AB74" i="1"/>
  <c r="Z74" i="1"/>
  <c r="Z73" i="1"/>
  <c r="AB72" i="1"/>
  <c r="Z72" i="1"/>
  <c r="AB71" i="1"/>
  <c r="Z71" i="1"/>
  <c r="AB70" i="1"/>
  <c r="Z70" i="1"/>
  <c r="AB69" i="1"/>
  <c r="Z69" i="1"/>
  <c r="AB67" i="1"/>
  <c r="Z67" i="1"/>
  <c r="AB66" i="1"/>
  <c r="Z66" i="1"/>
  <c r="AB65" i="1"/>
  <c r="Z65" i="1"/>
  <c r="AB64" i="1"/>
  <c r="Z64" i="1"/>
  <c r="AB62" i="1"/>
  <c r="Z62" i="1"/>
  <c r="AB61" i="1"/>
  <c r="Z61" i="1"/>
  <c r="AB60" i="1"/>
  <c r="Z60" i="1"/>
  <c r="AB59" i="1"/>
  <c r="Z59" i="1"/>
  <c r="AB58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A102" i="1"/>
  <c r="E102" i="1"/>
  <c r="AA98" i="1"/>
  <c r="AB95" i="1"/>
  <c r="AA95" i="1"/>
  <c r="Z95" i="1"/>
  <c r="AC87" i="1"/>
  <c r="Z55" i="1"/>
  <c r="Z54" i="1"/>
  <c r="Z47" i="1"/>
  <c r="Z46" i="1"/>
  <c r="AC43" i="1"/>
  <c r="Z42" i="1"/>
  <c r="Z41" i="1"/>
  <c r="AC38" i="1"/>
  <c r="AB38" i="1"/>
  <c r="Z37" i="1"/>
  <c r="Z36" i="1"/>
  <c r="Z32" i="1"/>
  <c r="Z31" i="1"/>
  <c r="AC23" i="1"/>
  <c r="AC22" i="1"/>
  <c r="AB22" i="1"/>
  <c r="AC21" i="1"/>
  <c r="AB21" i="1"/>
  <c r="AC18" i="1"/>
  <c r="AB18" i="1"/>
  <c r="AB16" i="1"/>
  <c r="Z16" i="1"/>
  <c r="AC15" i="1"/>
  <c r="AB15" i="1"/>
  <c r="Z15" i="1"/>
  <c r="W103" i="1"/>
  <c r="W106" i="1" s="1"/>
  <c r="U103" i="1"/>
  <c r="U106" i="1" s="1"/>
  <c r="S103" i="1"/>
  <c r="S106" i="1" s="1"/>
  <c r="Q103" i="1"/>
  <c r="O103" i="1"/>
  <c r="O106" i="1" s="1"/>
  <c r="M103" i="1"/>
  <c r="M106" i="1" s="1"/>
  <c r="K103" i="1"/>
  <c r="K106" i="1" s="1"/>
  <c r="I103" i="1"/>
  <c r="G103" i="1"/>
  <c r="G106" i="1" s="1"/>
  <c r="I106" i="1" l="1"/>
  <c r="Q106" i="1"/>
  <c r="H106" i="1"/>
  <c r="F106" i="1"/>
  <c r="B103" i="1"/>
  <c r="AB13" i="1"/>
  <c r="K119" i="2"/>
  <c r="K122" i="2" s="1"/>
  <c r="J124" i="2"/>
  <c r="V106" i="1"/>
  <c r="Z63" i="1"/>
  <c r="T11" i="1"/>
  <c r="T5" i="1" s="1"/>
  <c r="T103" i="1" s="1"/>
  <c r="T106" i="1" s="1"/>
  <c r="R11" i="1"/>
  <c r="R5" i="1" s="1"/>
  <c r="R103" i="1" s="1"/>
  <c r="R106" i="1" s="1"/>
  <c r="Z53" i="1"/>
  <c r="Z58" i="1"/>
  <c r="X11" i="1"/>
  <c r="X5" i="1" s="1"/>
  <c r="Z18" i="1"/>
  <c r="Z38" i="1"/>
  <c r="AA11" i="1"/>
  <c r="AC13" i="1"/>
  <c r="AB78" i="1"/>
  <c r="D106" i="1"/>
  <c r="Z23" i="1"/>
  <c r="AB83" i="1"/>
  <c r="L11" i="1"/>
  <c r="L5" i="1" s="1"/>
  <c r="L103" i="1" s="1"/>
  <c r="L106" i="1" s="1"/>
  <c r="N11" i="1"/>
  <c r="N5" i="1" s="1"/>
  <c r="N103" i="1" s="1"/>
  <c r="N106" i="1" s="1"/>
  <c r="Z78" i="1"/>
  <c r="AB28" i="1"/>
  <c r="Z48" i="1"/>
  <c r="Z68" i="1"/>
  <c r="AC16" i="1"/>
  <c r="Z28" i="1"/>
  <c r="AB48" i="1"/>
  <c r="AB33" i="1"/>
  <c r="AB53" i="1"/>
  <c r="P11" i="1"/>
  <c r="P5" i="1" s="1"/>
  <c r="P103" i="1" s="1"/>
  <c r="P106" i="1" s="1"/>
  <c r="AB68" i="1"/>
  <c r="AB73" i="1"/>
  <c r="Z33" i="1"/>
  <c r="AC28" i="1"/>
  <c r="Z13" i="1"/>
  <c r="J11" i="1"/>
  <c r="J5" i="1" s="1"/>
  <c r="J103" i="1" s="1"/>
  <c r="J106" i="1" s="1"/>
  <c r="AA104" i="1"/>
  <c r="Y103" i="1"/>
  <c r="E103" i="1"/>
  <c r="E106" i="1" s="1"/>
  <c r="E107" i="1" s="1"/>
  <c r="L119" i="2" l="1"/>
  <c r="L122" i="2" s="1"/>
  <c r="K124" i="2"/>
  <c r="Z5" i="1"/>
  <c r="Z103" i="1" s="1"/>
  <c r="X103" i="1"/>
  <c r="X106" i="1" s="1"/>
  <c r="AB5" i="1"/>
  <c r="AB11" i="1"/>
  <c r="Z11" i="1"/>
  <c r="AC11" i="1"/>
  <c r="E105" i="1"/>
  <c r="Y106" i="1"/>
  <c r="AA103" i="1"/>
  <c r="M119" i="2" l="1"/>
  <c r="M122" i="2" s="1"/>
  <c r="L124" i="2"/>
  <c r="E108" i="1"/>
  <c r="G102" i="1"/>
  <c r="G105" i="1" s="1"/>
  <c r="AA105" i="1"/>
  <c r="AA108" i="1" s="1"/>
  <c r="AA106" i="1"/>
  <c r="AA107" i="1" s="1"/>
  <c r="N119" i="2" l="1"/>
  <c r="N122" i="2" s="1"/>
  <c r="M124" i="2"/>
  <c r="G107" i="1"/>
  <c r="N124" i="2" l="1"/>
  <c r="I102" i="1"/>
  <c r="I105" i="1" s="1"/>
  <c r="G108" i="1"/>
  <c r="I107" i="1" l="1"/>
  <c r="I108" i="1" l="1"/>
  <c r="K102" i="1"/>
  <c r="K105" i="1" s="1"/>
  <c r="K107" i="1" l="1"/>
  <c r="M102" i="1" l="1"/>
  <c r="M105" i="1" s="1"/>
  <c r="K108" i="1"/>
  <c r="M107" i="1" l="1"/>
  <c r="M108" i="1" l="1"/>
  <c r="O102" i="1"/>
  <c r="O105" i="1" s="1"/>
  <c r="O107" i="1" l="1"/>
  <c r="Q102" i="1" l="1"/>
  <c r="Q105" i="1" s="1"/>
  <c r="O108" i="1"/>
  <c r="Q107" i="1" l="1"/>
  <c r="Q108" i="1" l="1"/>
  <c r="S102" i="1"/>
  <c r="S105" i="1" s="1"/>
  <c r="S107" i="1" l="1"/>
  <c r="U102" i="1" l="1"/>
  <c r="U105" i="1" s="1"/>
  <c r="S108" i="1"/>
  <c r="U107" i="1" l="1"/>
  <c r="U108" i="1" l="1"/>
  <c r="W102" i="1"/>
  <c r="W105" i="1" s="1"/>
  <c r="W107" i="1" l="1"/>
  <c r="Y102" i="1" l="1"/>
  <c r="W108" i="1"/>
  <c r="Y105" i="1" l="1"/>
  <c r="Y108" i="1" s="1"/>
  <c r="Y107" i="1"/>
  <c r="O62" i="2" l="1"/>
  <c r="AB98" i="1" l="1"/>
  <c r="Z98" i="1"/>
  <c r="B104" i="1"/>
  <c r="B106" i="1" s="1"/>
  <c r="B107" i="1" s="1"/>
  <c r="Z104" i="1" l="1"/>
  <c r="Z106" i="1" s="1"/>
  <c r="Z107" i="1" s="1"/>
  <c r="B105" i="1"/>
  <c r="D102" i="1" s="1"/>
  <c r="D105" i="1" s="1"/>
  <c r="F102" i="1" s="1"/>
  <c r="Z105" i="1" l="1"/>
  <c r="D107" i="1"/>
  <c r="F107" i="1"/>
  <c r="F105" i="1"/>
  <c r="H102" i="1" s="1"/>
  <c r="H107" i="1" l="1"/>
  <c r="H105" i="1"/>
  <c r="J102" i="1" s="1"/>
  <c r="J107" i="1" l="1"/>
  <c r="J105" i="1"/>
  <c r="L102" i="1" s="1"/>
  <c r="L107" i="1" l="1"/>
  <c r="L105" i="1"/>
  <c r="N102" i="1" s="1"/>
  <c r="N105" i="1" l="1"/>
  <c r="P102" i="1" s="1"/>
  <c r="N107" i="1"/>
  <c r="P107" i="1" l="1"/>
  <c r="P105" i="1"/>
  <c r="R102" i="1" s="1"/>
  <c r="R107" i="1" l="1"/>
  <c r="R105" i="1"/>
  <c r="T102" i="1" s="1"/>
  <c r="T107" i="1" l="1"/>
  <c r="T105" i="1"/>
  <c r="V102" i="1" s="1"/>
  <c r="V107" i="1" l="1"/>
  <c r="V105" i="1"/>
  <c r="X102" i="1" s="1"/>
  <c r="X105" i="1" l="1"/>
  <c r="X107" i="1"/>
</calcChain>
</file>

<file path=xl/sharedStrings.xml><?xml version="1.0" encoding="utf-8"?>
<sst xmlns="http://schemas.openxmlformats.org/spreadsheetml/2006/main" count="1416" uniqueCount="118">
  <si>
    <t>Presup</t>
  </si>
  <si>
    <t>Ejecutado</t>
  </si>
  <si>
    <t>EJERCICIO ANUAL</t>
  </si>
  <si>
    <t>Total Pres.</t>
  </si>
  <si>
    <t>Total Ejecutado</t>
  </si>
  <si>
    <t>Desvío</t>
  </si>
  <si>
    <t>% de Cumplimiento</t>
  </si>
  <si>
    <t>TOTAL CAPITAS PRESUPUESTADAS</t>
  </si>
  <si>
    <t>CANALES DE VENTAS</t>
  </si>
  <si>
    <t>I) Asesores Comerciales</t>
  </si>
  <si>
    <t>Dotación Asesores Comerciales</t>
  </si>
  <si>
    <t>Altas Asesores Comerciales</t>
  </si>
  <si>
    <t>Altas Empresas</t>
  </si>
  <si>
    <t>Altas Agencias</t>
  </si>
  <si>
    <t>Subtotal Afiliaciones</t>
  </si>
  <si>
    <t>→ BAJAS ESTIMADAS TOTAL PADRON           ( prom1,1% mensual s/stock)</t>
  </si>
  <si>
    <t xml:space="preserve">Total Pres. </t>
  </si>
  <si>
    <t>→ EVOLUCION CAPITARIA PROYECTADA</t>
  </si>
  <si>
    <t>Resumen Ejecutado</t>
  </si>
  <si>
    <t>Stock inicial</t>
  </si>
  <si>
    <t>Altas según presupuesto</t>
  </si>
  <si>
    <t>Bajas ( 1,1% promedio del stock)</t>
  </si>
  <si>
    <t>Stock al cierre</t>
  </si>
  <si>
    <t>Evolucion neta mensual</t>
  </si>
  <si>
    <t>Evolucion porcentual mensual</t>
  </si>
  <si>
    <t>Evolucion % anual ACUMULADO</t>
  </si>
  <si>
    <t>TOTAL REGION ROSARIO</t>
  </si>
  <si>
    <t>TOTAL REGIÓN PATAGONIA ANDINA</t>
  </si>
  <si>
    <t>Subtotal Regiones Comerciales</t>
  </si>
  <si>
    <t>PRESUPUESTO DE VENTAS "ACA SALUD"  2016 -2017 PRELIMINAR - DETALLADO</t>
  </si>
  <si>
    <t>TOTAL REGIÓN BUENOS AIRES NORTE</t>
  </si>
  <si>
    <t>TOTAL REGIÓN NOA</t>
  </si>
  <si>
    <t>TOTAL REGIÓN PAMPEANA</t>
  </si>
  <si>
    <t>TOTAL REGIÓN CUYO</t>
  </si>
  <si>
    <t>TOTAL REGIÓN NEA</t>
  </si>
  <si>
    <t>TOTAL REGIÓN CORDOBA NORTE</t>
  </si>
  <si>
    <t>TOTAL REGIÓN CORDOBA SUR</t>
  </si>
  <si>
    <t>TOTAL REGIÓN BUENOS AIRES CTA ATL.</t>
  </si>
  <si>
    <t>TOTAL REGIÓN BUENOS AIRES SUR</t>
  </si>
  <si>
    <t>TOTAL REGIÓN LITORAL</t>
  </si>
  <si>
    <t>TOTAL REGION AMBA</t>
  </si>
  <si>
    <t>TOTAL REGIÓN NUCLEO</t>
  </si>
  <si>
    <t>TOTAL REGION PATAGONIA ATLANTICA</t>
  </si>
  <si>
    <t xml:space="preserve">    II) Afiliaciones</t>
  </si>
  <si>
    <t xml:space="preserve">Ejercicio 2016 2017 </t>
  </si>
  <si>
    <t>Plan AS 204</t>
  </si>
  <si>
    <t>Plan AS 200</t>
  </si>
  <si>
    <t>Plan AS 300</t>
  </si>
  <si>
    <t>Plan AS 400</t>
  </si>
  <si>
    <t>Plan AS 500</t>
  </si>
  <si>
    <t>AMBA</t>
  </si>
  <si>
    <t>TOTAL</t>
  </si>
  <si>
    <t xml:space="preserve">Bs As Cta Atl. </t>
  </si>
  <si>
    <t>Bs As Norte</t>
  </si>
  <si>
    <t>Bs As Sur</t>
  </si>
  <si>
    <t>Cba Norte</t>
  </si>
  <si>
    <t>Planes</t>
  </si>
  <si>
    <t>Cba Sur</t>
  </si>
  <si>
    <t>Cuyo</t>
  </si>
  <si>
    <t>Litoral</t>
  </si>
  <si>
    <t>NEA</t>
  </si>
  <si>
    <t>NOA</t>
  </si>
  <si>
    <t>Nucleo</t>
  </si>
  <si>
    <t>Pampeana</t>
  </si>
  <si>
    <t>Pat. Andina</t>
  </si>
  <si>
    <t>Pat. Cta Atl</t>
  </si>
  <si>
    <t>Rosario</t>
  </si>
  <si>
    <t>Ejercicio 2016 2017</t>
  </si>
  <si>
    <t>Resumen Presupuesto por Planes</t>
  </si>
  <si>
    <t>Total Altas</t>
  </si>
  <si>
    <t>Total Bajas</t>
  </si>
  <si>
    <t>Crecimiento</t>
  </si>
  <si>
    <t>Poblacion Inicio Ejercicio</t>
  </si>
  <si>
    <t>Poblacion Fin del  Ejercicio</t>
  </si>
  <si>
    <t>● Plan AS 204</t>
  </si>
  <si>
    <t>● Plan AS 200</t>
  </si>
  <si>
    <t>● Plan AS 300</t>
  </si>
  <si>
    <t>● Plan AS 400</t>
  </si>
  <si>
    <t>● Plan AS 500</t>
  </si>
  <si>
    <t xml:space="preserve">→ BAJAS ESTIMADAS TOTAL PADRON         </t>
  </si>
  <si>
    <t>COMERCIAL</t>
  </si>
  <si>
    <t>Buenos Aires Norte</t>
  </si>
  <si>
    <t>Buenos Aires Sur</t>
  </si>
  <si>
    <t>Cordoba Norte</t>
  </si>
  <si>
    <t>Cordoba Sur</t>
  </si>
  <si>
    <t>Patagonia Andina</t>
  </si>
  <si>
    <t>Patagonia Costa Atlantica</t>
  </si>
  <si>
    <t>AFILIACIONES</t>
  </si>
  <si>
    <t>Presupuesto</t>
  </si>
  <si>
    <t>AS204</t>
  </si>
  <si>
    <t>AS200</t>
  </si>
  <si>
    <t>AS300</t>
  </si>
  <si>
    <t>AS400</t>
  </si>
  <si>
    <t>AS500</t>
  </si>
  <si>
    <t>ObjetivoAltaRegion</t>
  </si>
  <si>
    <t>ObjetivoAltaPlan</t>
  </si>
  <si>
    <t>ObjetivoBajaRegion</t>
  </si>
  <si>
    <t>Canal</t>
  </si>
  <si>
    <t>Region</t>
  </si>
  <si>
    <t>Plan</t>
  </si>
  <si>
    <t>Ejercicio 2015-2016</t>
  </si>
  <si>
    <t>ID_Region</t>
  </si>
  <si>
    <t>01</t>
  </si>
  <si>
    <t>52</t>
  </si>
  <si>
    <t>63</t>
  </si>
  <si>
    <t>05</t>
  </si>
  <si>
    <t>03</t>
  </si>
  <si>
    <t>53</t>
  </si>
  <si>
    <t>57</t>
  </si>
  <si>
    <t>60</t>
  </si>
  <si>
    <t>59</t>
  </si>
  <si>
    <t>54</t>
  </si>
  <si>
    <t>56</t>
  </si>
  <si>
    <t>07</t>
  </si>
  <si>
    <t>04</t>
  </si>
  <si>
    <t>51</t>
  </si>
  <si>
    <t>BsAs Costa Atlantica</t>
  </si>
  <si>
    <t>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</si>
</sst>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0.00_ ;[Red]\-0.00\ "/>
    <numFmt numFmtId="165" formatCode="_ * #,##0_ ;_ * \-#,##0_ ;_ * &quot;-&quot;??_ ;_ @_ "/>
    <numFmt numFmtId="166" formatCode="0_ ;[Red]\-0\ "/>
    <numFmt numFmtId="167" formatCode="#,##0.0000"/>
    <numFmt numFmtId="168" formatCode="#,##0_ ;[Red]\-#,##0\ "/>
    <numFmt numFmtId="169" formatCode="#,##0;[Red]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0"/>
      <color rgb="FFFFFF0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sz val="10"/>
      <color rgb="FFFAA634"/>
      <name val="Arial"/>
      <family val="2"/>
    </font>
    <font>
      <sz val="10"/>
      <color rgb="FFFAA634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6F5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hair">
        <color rgb="FF000000"/>
      </left>
      <right style="hair">
        <color rgb="FF000000"/>
      </right>
      <top style="double">
        <color indexed="64"/>
      </top>
      <bottom style="double">
        <color indexed="64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double">
        <color indexed="64"/>
      </bottom>
      <diagonal/>
    </border>
    <border>
      <left style="medium">
        <color indexed="64"/>
      </left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double">
        <color indexed="64"/>
      </top>
      <bottom style="double">
        <color indexed="64"/>
      </bottom>
      <diagonal/>
    </border>
    <border>
      <left style="hair">
        <color rgb="FF000000"/>
      </left>
      <right style="hair">
        <color rgb="FF000000"/>
      </right>
      <top/>
      <bottom style="double">
        <color indexed="64"/>
      </bottom>
      <diagonal/>
    </border>
    <border>
      <left/>
      <right style="hair">
        <color rgb="FF000000"/>
      </right>
      <top/>
      <bottom/>
      <diagonal/>
    </border>
    <border>
      <left style="medium">
        <color indexed="64"/>
      </left>
      <right style="hair">
        <color rgb="FF000000"/>
      </right>
      <top style="double">
        <color rgb="FF000000"/>
      </top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indexed="64"/>
      </top>
      <bottom style="double">
        <color rgb="FF000000"/>
      </bottom>
      <diagonal/>
    </border>
    <border>
      <left style="medium">
        <color indexed="64"/>
      </left>
      <right style="hair">
        <color rgb="FF000000"/>
      </right>
      <top style="double">
        <color indexed="64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double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double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rgb="FF000000"/>
      </right>
      <top/>
      <bottom style="double">
        <color indexed="64"/>
      </bottom>
      <diagonal/>
    </border>
    <border>
      <left style="hair">
        <color rgb="FF000000"/>
      </left>
      <right style="medium">
        <color indexed="64"/>
      </right>
      <top/>
      <bottom style="double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1" fontId="3" fillId="0" borderId="9" xfId="0" applyNumberFormat="1" applyFont="1" applyFill="1" applyBorder="1" applyAlignment="1">
      <alignment horizontal="left" vertical="center"/>
    </xf>
    <xf numFmtId="1" fontId="3" fillId="0" borderId="4" xfId="0" applyNumberFormat="1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>
      <alignment horizontal="left" vertical="center"/>
    </xf>
    <xf numFmtId="1" fontId="3" fillId="0" borderId="9" xfId="0" applyNumberFormat="1" applyFont="1" applyFill="1" applyBorder="1" applyAlignment="1">
      <alignment horizontal="left" vertical="center" indent="3"/>
    </xf>
    <xf numFmtId="1" fontId="3" fillId="0" borderId="27" xfId="0" applyNumberFormat="1" applyFont="1" applyFill="1" applyBorder="1" applyAlignment="1">
      <alignment horizontal="left" vertical="center" indent="3"/>
    </xf>
    <xf numFmtId="1" fontId="3" fillId="0" borderId="28" xfId="0" applyNumberFormat="1" applyFont="1" applyFill="1" applyBorder="1" applyAlignment="1">
      <alignment horizontal="left" vertical="center" indent="3"/>
    </xf>
    <xf numFmtId="9" fontId="3" fillId="0" borderId="29" xfId="2" applyFont="1" applyFill="1" applyBorder="1" applyAlignment="1">
      <alignment horizontal="left" vertical="center" indent="3"/>
    </xf>
    <xf numFmtId="1" fontId="3" fillId="0" borderId="30" xfId="0" applyNumberFormat="1" applyFont="1" applyFill="1" applyBorder="1" applyAlignment="1">
      <alignment horizontal="left" vertical="center" indent="3"/>
    </xf>
    <xf numFmtId="9" fontId="3" fillId="0" borderId="31" xfId="2" applyFont="1" applyFill="1" applyBorder="1" applyAlignment="1">
      <alignment horizontal="left" vertical="center" indent="3"/>
    </xf>
    <xf numFmtId="1" fontId="3" fillId="0" borderId="17" xfId="0" applyNumberFormat="1" applyFont="1" applyFill="1" applyBorder="1" applyAlignment="1">
      <alignment horizontal="left" vertical="center" indent="3"/>
    </xf>
    <xf numFmtId="9" fontId="3" fillId="0" borderId="32" xfId="2" applyFont="1" applyFill="1" applyBorder="1" applyAlignment="1">
      <alignment horizontal="left" vertical="center" indent="3"/>
    </xf>
    <xf numFmtId="1" fontId="4" fillId="0" borderId="17" xfId="0" applyNumberFormat="1" applyFont="1" applyFill="1" applyBorder="1" applyAlignment="1">
      <alignment horizontal="left" vertical="center" indent="3"/>
    </xf>
    <xf numFmtId="0" fontId="0" fillId="0" borderId="0" xfId="0" applyBorder="1"/>
    <xf numFmtId="1" fontId="3" fillId="0" borderId="0" xfId="0" applyNumberFormat="1" applyFont="1" applyFill="1" applyBorder="1" applyAlignment="1">
      <alignment horizontal="left" vertical="center" indent="3"/>
    </xf>
    <xf numFmtId="9" fontId="0" fillId="0" borderId="0" xfId="0" applyNumberFormat="1" applyBorder="1"/>
    <xf numFmtId="0" fontId="5" fillId="0" borderId="0" xfId="0" applyFont="1"/>
    <xf numFmtId="0" fontId="5" fillId="10" borderId="0" xfId="0" applyFont="1" applyFill="1"/>
    <xf numFmtId="1" fontId="3" fillId="10" borderId="9" xfId="0" applyNumberFormat="1" applyFont="1" applyFill="1" applyBorder="1" applyAlignment="1">
      <alignment horizontal="left" vertical="top"/>
    </xf>
    <xf numFmtId="0" fontId="5" fillId="10" borderId="35" xfId="0" applyFont="1" applyFill="1" applyBorder="1"/>
    <xf numFmtId="9" fontId="0" fillId="0" borderId="0" xfId="2" applyFont="1"/>
    <xf numFmtId="3" fontId="6" fillId="0" borderId="9" xfId="0" applyNumberFormat="1" applyFont="1" applyFill="1" applyBorder="1" applyAlignment="1">
      <alignment horizontal="right" vertical="top"/>
    </xf>
    <xf numFmtId="3" fontId="6" fillId="0" borderId="34" xfId="0" applyNumberFormat="1" applyFont="1" applyFill="1" applyBorder="1" applyAlignment="1">
      <alignment horizontal="right" vertical="top"/>
    </xf>
    <xf numFmtId="3" fontId="6" fillId="10" borderId="36" xfId="0" applyNumberFormat="1" applyFont="1" applyFill="1" applyBorder="1" applyAlignment="1">
      <alignment horizontal="right" vertical="top"/>
    </xf>
    <xf numFmtId="3" fontId="7" fillId="0" borderId="0" xfId="0" applyNumberFormat="1" applyFont="1"/>
    <xf numFmtId="3" fontId="6" fillId="10" borderId="9" xfId="0" applyNumberFormat="1" applyFont="1" applyFill="1" applyBorder="1" applyAlignment="1">
      <alignment horizontal="right" vertical="top"/>
    </xf>
    <xf numFmtId="3" fontId="7" fillId="10" borderId="0" xfId="0" applyNumberFormat="1" applyFont="1" applyFill="1"/>
    <xf numFmtId="0" fontId="0" fillId="10" borderId="0" xfId="0" applyFill="1"/>
    <xf numFmtId="1" fontId="6" fillId="0" borderId="9" xfId="0" applyNumberFormat="1" applyFont="1" applyFill="1" applyBorder="1" applyAlignment="1">
      <alignment horizontal="left" vertical="center" indent="3"/>
    </xf>
    <xf numFmtId="1" fontId="6" fillId="0" borderId="34" xfId="0" applyNumberFormat="1" applyFont="1" applyFill="1" applyBorder="1" applyAlignment="1">
      <alignment horizontal="left" vertical="center" indent="3"/>
    </xf>
    <xf numFmtId="10" fontId="0" fillId="10" borderId="0" xfId="2" applyNumberFormat="1" applyFont="1" applyFill="1"/>
    <xf numFmtId="0" fontId="9" fillId="0" borderId="0" xfId="0" applyFont="1"/>
    <xf numFmtId="0" fontId="4" fillId="0" borderId="0" xfId="0" applyFont="1" applyFill="1" applyBorder="1"/>
    <xf numFmtId="3" fontId="10" fillId="4" borderId="0" xfId="0" applyNumberFormat="1" applyFont="1" applyFill="1" applyBorder="1" applyAlignment="1">
      <alignment horizontal="right" vertical="center"/>
    </xf>
    <xf numFmtId="1" fontId="10" fillId="4" borderId="0" xfId="0" applyNumberFormat="1" applyFont="1" applyFill="1" applyBorder="1" applyAlignment="1">
      <alignment horizontal="right" vertical="center"/>
    </xf>
    <xf numFmtId="1" fontId="11" fillId="3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3" fillId="0" borderId="0" xfId="0" applyFont="1" applyFill="1" applyBorder="1"/>
    <xf numFmtId="0" fontId="8" fillId="2" borderId="0" xfId="0" applyFont="1" applyFill="1" applyBorder="1" applyAlignment="1">
      <alignment horizontal="left" vertical="center"/>
    </xf>
    <xf numFmtId="17" fontId="12" fillId="2" borderId="0" xfId="0" applyNumberFormat="1" applyFont="1" applyFill="1" applyBorder="1" applyAlignment="1">
      <alignment horizontal="center" vertical="center"/>
    </xf>
    <xf numFmtId="17" fontId="8" fillId="2" borderId="0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/>
    </xf>
    <xf numFmtId="17" fontId="8" fillId="2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17" fontId="5" fillId="0" borderId="0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3" fontId="14" fillId="4" borderId="3" xfId="0" applyNumberFormat="1" applyFont="1" applyFill="1" applyBorder="1" applyAlignment="1">
      <alignment horizontal="right" vertical="center"/>
    </xf>
    <xf numFmtId="1" fontId="14" fillId="5" borderId="4" xfId="0" applyNumberFormat="1" applyFont="1" applyFill="1" applyBorder="1" applyAlignment="1">
      <alignment horizontal="right" vertical="center"/>
    </xf>
    <xf numFmtId="165" fontId="14" fillId="4" borderId="24" xfId="1" applyNumberFormat="1" applyFont="1" applyFill="1" applyBorder="1" applyAlignment="1">
      <alignment horizontal="right" vertical="center"/>
    </xf>
    <xf numFmtId="166" fontId="10" fillId="6" borderId="6" xfId="0" applyNumberFormat="1" applyFont="1" applyFill="1" applyBorder="1" applyAlignment="1">
      <alignment horizontal="right" vertical="center"/>
    </xf>
    <xf numFmtId="9" fontId="10" fillId="6" borderId="25" xfId="2" applyFont="1" applyFill="1" applyBorder="1" applyAlignment="1">
      <alignment horizontal="right" vertical="center"/>
    </xf>
    <xf numFmtId="0" fontId="14" fillId="0" borderId="0" xfId="0" applyFont="1" applyFill="1" applyBorder="1"/>
    <xf numFmtId="3" fontId="15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 applyAlignment="1">
      <alignment horizontal="right" vertical="center"/>
    </xf>
    <xf numFmtId="9" fontId="14" fillId="0" borderId="0" xfId="2" applyFont="1" applyFill="1" applyBorder="1" applyAlignment="1">
      <alignment horizontal="right" vertical="center"/>
    </xf>
    <xf numFmtId="165" fontId="15" fillId="0" borderId="0" xfId="1" applyNumberFormat="1" applyFont="1" applyFill="1" applyBorder="1" applyAlignment="1">
      <alignment horizontal="right" vertical="center"/>
    </xf>
    <xf numFmtId="165" fontId="14" fillId="0" borderId="0" xfId="1" applyNumberFormat="1" applyFont="1" applyFill="1" applyBorder="1" applyAlignment="1">
      <alignment horizontal="right" vertical="center"/>
    </xf>
    <xf numFmtId="166" fontId="14" fillId="0" borderId="0" xfId="0" applyNumberFormat="1" applyFont="1" applyFill="1" applyBorder="1" applyAlignment="1">
      <alignment horizontal="center" vertical="center"/>
    </xf>
    <xf numFmtId="9" fontId="14" fillId="0" borderId="0" xfId="2" applyFont="1" applyFill="1" applyBorder="1" applyAlignment="1">
      <alignment horizontal="center" vertical="center"/>
    </xf>
    <xf numFmtId="0" fontId="16" fillId="7" borderId="0" xfId="0" applyFont="1" applyFill="1" applyBorder="1"/>
    <xf numFmtId="17" fontId="17" fillId="7" borderId="0" xfId="0" applyNumberFormat="1" applyFont="1" applyFill="1" applyBorder="1" applyAlignment="1">
      <alignment horizontal="center" vertical="center"/>
    </xf>
    <xf numFmtId="17" fontId="16" fillId="7" borderId="0" xfId="0" applyNumberFormat="1" applyFont="1" applyFill="1" applyBorder="1" applyAlignment="1">
      <alignment horizontal="center" vertical="center"/>
    </xf>
    <xf numFmtId="165" fontId="16" fillId="7" borderId="0" xfId="1" applyNumberFormat="1" applyFont="1" applyFill="1" applyBorder="1" applyAlignment="1">
      <alignment horizontal="center" vertical="center"/>
    </xf>
    <xf numFmtId="165" fontId="17" fillId="7" borderId="0" xfId="1" applyNumberFormat="1" applyFont="1" applyFill="1" applyBorder="1" applyAlignment="1">
      <alignment horizontal="center" vertical="center"/>
    </xf>
    <xf numFmtId="166" fontId="8" fillId="2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/>
    <xf numFmtId="3" fontId="18" fillId="3" borderId="0" xfId="0" applyNumberFormat="1" applyFont="1" applyFill="1" applyBorder="1" applyAlignment="1">
      <alignment horizontal="right" vertical="center"/>
    </xf>
    <xf numFmtId="1" fontId="18" fillId="3" borderId="0" xfId="0" applyNumberFormat="1" applyFont="1" applyFill="1" applyBorder="1" applyAlignment="1">
      <alignment horizontal="right" vertical="center"/>
    </xf>
    <xf numFmtId="165" fontId="16" fillId="0" borderId="0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/>
    </xf>
    <xf numFmtId="166" fontId="16" fillId="0" borderId="0" xfId="1" applyNumberFormat="1" applyFont="1" applyFill="1" applyBorder="1" applyAlignment="1">
      <alignment horizontal="center" vertical="center"/>
    </xf>
    <xf numFmtId="9" fontId="16" fillId="0" borderId="0" xfId="2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17" fontId="20" fillId="0" borderId="0" xfId="0" applyNumberFormat="1" applyFont="1" applyFill="1" applyBorder="1" applyAlignment="1">
      <alignment horizontal="center" vertical="center"/>
    </xf>
    <xf numFmtId="165" fontId="20" fillId="0" borderId="0" xfId="1" applyNumberFormat="1" applyFont="1" applyFill="1" applyBorder="1" applyAlignment="1">
      <alignment horizontal="center" vertical="center"/>
    </xf>
    <xf numFmtId="166" fontId="20" fillId="0" borderId="0" xfId="1" applyNumberFormat="1" applyFont="1" applyFill="1" applyBorder="1" applyAlignment="1">
      <alignment horizontal="center" vertical="center"/>
    </xf>
    <xf numFmtId="9" fontId="20" fillId="0" borderId="0" xfId="2" applyFont="1" applyFill="1" applyBorder="1" applyAlignment="1">
      <alignment horizontal="center" vertical="center"/>
    </xf>
    <xf numFmtId="167" fontId="21" fillId="4" borderId="3" xfId="0" applyNumberFormat="1" applyFont="1" applyFill="1" applyBorder="1" applyAlignment="1">
      <alignment horizontal="left" vertical="center"/>
    </xf>
    <xf numFmtId="165" fontId="14" fillId="4" borderId="8" xfId="1" applyNumberFormat="1" applyFont="1" applyFill="1" applyBorder="1" applyAlignment="1">
      <alignment horizontal="right" vertical="center"/>
    </xf>
    <xf numFmtId="9" fontId="10" fillId="6" borderId="7" xfId="2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indent="6"/>
    </xf>
    <xf numFmtId="3" fontId="5" fillId="0" borderId="0" xfId="0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 applyAlignment="1">
      <alignment horizontal="right" vertical="center"/>
    </xf>
    <xf numFmtId="165" fontId="13" fillId="0" borderId="0" xfId="1" applyNumberFormat="1" applyFont="1" applyFill="1" applyBorder="1" applyAlignment="1">
      <alignment horizontal="right" vertical="center"/>
    </xf>
    <xf numFmtId="165" fontId="5" fillId="0" borderId="0" xfId="1" applyNumberFormat="1" applyFont="1" applyFill="1" applyBorder="1" applyAlignment="1">
      <alignment horizontal="right" vertical="center"/>
    </xf>
    <xf numFmtId="166" fontId="16" fillId="6" borderId="0" xfId="1" applyNumberFormat="1" applyFont="1" applyFill="1" applyBorder="1" applyAlignment="1">
      <alignment horizontal="center" vertical="center"/>
    </xf>
    <xf numFmtId="9" fontId="16" fillId="6" borderId="0" xfId="2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right" vertical="center"/>
    </xf>
    <xf numFmtId="165" fontId="3" fillId="4" borderId="3" xfId="1" applyNumberFormat="1" applyFont="1" applyFill="1" applyBorder="1" applyAlignment="1">
      <alignment horizontal="right" vertical="center"/>
    </xf>
    <xf numFmtId="165" fontId="3" fillId="5" borderId="3" xfId="1" applyNumberFormat="1" applyFont="1" applyFill="1" applyBorder="1" applyAlignment="1">
      <alignment horizontal="right" vertical="center"/>
    </xf>
    <xf numFmtId="166" fontId="17" fillId="6" borderId="6" xfId="0" applyNumberFormat="1" applyFont="1" applyFill="1" applyBorder="1" applyAlignment="1">
      <alignment horizontal="right" vertical="center"/>
    </xf>
    <xf numFmtId="9" fontId="17" fillId="6" borderId="7" xfId="2" applyFont="1" applyFill="1" applyBorder="1" applyAlignment="1">
      <alignment horizontal="right" vertical="center"/>
    </xf>
    <xf numFmtId="1" fontId="14" fillId="0" borderId="9" xfId="0" applyNumberFormat="1" applyFont="1" applyFill="1" applyBorder="1" applyAlignment="1">
      <alignment horizontal="right" vertical="center"/>
    </xf>
    <xf numFmtId="165" fontId="14" fillId="5" borderId="10" xfId="1" applyNumberFormat="1" applyFont="1" applyFill="1" applyBorder="1" applyAlignment="1">
      <alignment horizontal="right" vertical="center"/>
    </xf>
    <xf numFmtId="1" fontId="14" fillId="0" borderId="4" xfId="0" applyNumberFormat="1" applyFont="1" applyFill="1" applyBorder="1" applyAlignment="1">
      <alignment horizontal="right" vertical="center"/>
    </xf>
    <xf numFmtId="165" fontId="14" fillId="5" borderId="11" xfId="1" applyNumberFormat="1" applyFont="1" applyFill="1" applyBorder="1" applyAlignment="1">
      <alignment horizontal="right" vertical="center"/>
    </xf>
    <xf numFmtId="1" fontId="14" fillId="0" borderId="3" xfId="0" applyNumberFormat="1" applyFont="1" applyFill="1" applyBorder="1" applyAlignment="1">
      <alignment horizontal="right" vertical="center"/>
    </xf>
    <xf numFmtId="165" fontId="14" fillId="5" borderId="3" xfId="1" applyNumberFormat="1" applyFont="1" applyFill="1" applyBorder="1" applyAlignment="1">
      <alignment horizontal="right" vertical="center"/>
    </xf>
    <xf numFmtId="1" fontId="3" fillId="9" borderId="3" xfId="0" applyNumberFormat="1" applyFont="1" applyFill="1" applyBorder="1" applyAlignment="1">
      <alignment horizontal="left" vertical="center"/>
    </xf>
    <xf numFmtId="1" fontId="3" fillId="9" borderId="3" xfId="0" applyNumberFormat="1" applyFont="1" applyFill="1" applyBorder="1" applyAlignment="1">
      <alignment horizontal="right" vertical="center"/>
    </xf>
    <xf numFmtId="165" fontId="14" fillId="5" borderId="5" xfId="1" applyNumberFormat="1" applyFont="1" applyFill="1" applyBorder="1" applyAlignment="1">
      <alignment horizontal="right" vertical="center"/>
    </xf>
    <xf numFmtId="165" fontId="14" fillId="5" borderId="12" xfId="1" applyNumberFormat="1" applyFont="1" applyFill="1" applyBorder="1" applyAlignment="1">
      <alignment horizontal="right" vertical="center"/>
    </xf>
    <xf numFmtId="0" fontId="16" fillId="0" borderId="0" xfId="0" applyFont="1" applyFill="1"/>
    <xf numFmtId="1" fontId="3" fillId="9" borderId="14" xfId="0" applyNumberFormat="1" applyFont="1" applyFill="1" applyBorder="1" applyAlignment="1">
      <alignment horizontal="left" vertical="center"/>
    </xf>
    <xf numFmtId="165" fontId="14" fillId="5" borderId="15" xfId="1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vertical="center"/>
    </xf>
    <xf numFmtId="9" fontId="3" fillId="0" borderId="0" xfId="2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6" fontId="3" fillId="0" borderId="0" xfId="1" applyNumberFormat="1" applyFont="1" applyFill="1" applyBorder="1" applyAlignment="1">
      <alignment horizontal="center" vertical="center"/>
    </xf>
    <xf numFmtId="165" fontId="14" fillId="5" borderId="0" xfId="1" applyNumberFormat="1" applyFont="1" applyFill="1" applyBorder="1" applyAlignment="1">
      <alignment horizontal="right" vertical="center"/>
    </xf>
    <xf numFmtId="9" fontId="3" fillId="0" borderId="0" xfId="2" applyFont="1" applyFill="1" applyBorder="1" applyAlignment="1">
      <alignment horizontal="center" vertical="center"/>
    </xf>
    <xf numFmtId="17" fontId="16" fillId="8" borderId="0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horizontal="right" vertical="center"/>
    </xf>
    <xf numFmtId="0" fontId="17" fillId="0" borderId="0" xfId="0" applyFont="1" applyFill="1"/>
    <xf numFmtId="168" fontId="17" fillId="0" borderId="0" xfId="0" applyNumberFormat="1" applyFont="1" applyFill="1"/>
    <xf numFmtId="166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/>
    <xf numFmtId="0" fontId="8" fillId="2" borderId="0" xfId="0" applyFont="1" applyFill="1" applyBorder="1" applyAlignment="1">
      <alignment horizontal="center" vertical="center" wrapText="1"/>
    </xf>
    <xf numFmtId="10" fontId="12" fillId="2" borderId="0" xfId="0" applyNumberFormat="1" applyFont="1" applyFill="1" applyBorder="1" applyAlignment="1">
      <alignment horizontal="center" vertical="center" wrapText="1"/>
    </xf>
    <xf numFmtId="165" fontId="16" fillId="7" borderId="16" xfId="1" applyNumberFormat="1" applyFont="1" applyFill="1" applyBorder="1" applyAlignment="1">
      <alignment horizontal="center" vertical="center" wrapText="1"/>
    </xf>
    <xf numFmtId="17" fontId="3" fillId="0" borderId="17" xfId="0" applyNumberFormat="1" applyFont="1" applyFill="1" applyBorder="1"/>
    <xf numFmtId="169" fontId="17" fillId="0" borderId="0" xfId="0" applyNumberFormat="1" applyFont="1" applyFill="1"/>
    <xf numFmtId="165" fontId="17" fillId="0" borderId="0" xfId="0" applyNumberFormat="1" applyFont="1" applyFill="1"/>
    <xf numFmtId="164" fontId="17" fillId="0" borderId="0" xfId="0" applyNumberFormat="1" applyFont="1" applyFill="1" applyBorder="1" applyAlignment="1">
      <alignment horizontal="center"/>
    </xf>
    <xf numFmtId="9" fontId="17" fillId="0" borderId="0" xfId="2" applyFont="1" applyFill="1" applyBorder="1" applyAlignment="1">
      <alignment horizontal="center"/>
    </xf>
    <xf numFmtId="0" fontId="8" fillId="2" borderId="6" xfId="0" applyFont="1" applyFill="1" applyBorder="1" applyAlignment="1">
      <alignment horizontal="left" vertical="center" wrapText="1"/>
    </xf>
    <xf numFmtId="17" fontId="12" fillId="2" borderId="26" xfId="0" applyNumberFormat="1" applyFont="1" applyFill="1" applyBorder="1" applyAlignment="1">
      <alignment horizontal="center" vertical="center"/>
    </xf>
    <xf numFmtId="17" fontId="8" fillId="2" borderId="26" xfId="0" applyNumberFormat="1" applyFont="1" applyFill="1" applyBorder="1" applyAlignment="1">
      <alignment horizontal="center" vertical="center"/>
    </xf>
    <xf numFmtId="10" fontId="12" fillId="2" borderId="26" xfId="0" applyNumberFormat="1" applyFont="1" applyFill="1" applyBorder="1" applyAlignment="1">
      <alignment horizontal="center" vertical="center" wrapText="1"/>
    </xf>
    <xf numFmtId="17" fontId="16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  <xf numFmtId="17" fontId="3" fillId="9" borderId="19" xfId="0" applyNumberFormat="1" applyFont="1" applyFill="1" applyBorder="1"/>
    <xf numFmtId="169" fontId="17" fillId="9" borderId="19" xfId="0" applyNumberFormat="1" applyFont="1" applyFill="1" applyBorder="1" applyAlignment="1">
      <alignment vertical="center"/>
    </xf>
    <xf numFmtId="169" fontId="3" fillId="9" borderId="19" xfId="0" applyNumberFormat="1" applyFont="1" applyFill="1" applyBorder="1" applyAlignment="1">
      <alignment vertical="center"/>
    </xf>
    <xf numFmtId="169" fontId="3" fillId="9" borderId="20" xfId="0" applyNumberFormat="1" applyFont="1" applyFill="1" applyBorder="1" applyAlignment="1">
      <alignment vertical="center"/>
    </xf>
    <xf numFmtId="169" fontId="3" fillId="9" borderId="21" xfId="0" applyNumberFormat="1" applyFont="1" applyFill="1" applyBorder="1" applyAlignment="1">
      <alignment vertical="center"/>
    </xf>
    <xf numFmtId="169" fontId="4" fillId="9" borderId="21" xfId="0" applyNumberFormat="1" applyFont="1" applyFill="1" applyBorder="1" applyAlignment="1">
      <alignment vertical="center"/>
    </xf>
    <xf numFmtId="17" fontId="3" fillId="0" borderId="13" xfId="0" applyNumberFormat="1" applyFont="1" applyFill="1" applyBorder="1"/>
    <xf numFmtId="169" fontId="17" fillId="0" borderId="13" xfId="0" applyNumberFormat="1" applyFont="1" applyFill="1" applyBorder="1" applyAlignment="1">
      <alignment vertical="center"/>
    </xf>
    <xf numFmtId="169" fontId="3" fillId="0" borderId="13" xfId="0" applyNumberFormat="1" applyFont="1" applyFill="1" applyBorder="1" applyAlignment="1">
      <alignment vertical="center"/>
    </xf>
    <xf numFmtId="169" fontId="3" fillId="0" borderId="22" xfId="0" applyNumberFormat="1" applyFont="1" applyFill="1" applyBorder="1" applyAlignment="1">
      <alignment vertical="center"/>
    </xf>
    <xf numFmtId="169" fontId="3" fillId="0" borderId="23" xfId="0" applyNumberFormat="1" applyFont="1" applyFill="1" applyBorder="1" applyAlignment="1">
      <alignment vertical="center"/>
    </xf>
    <xf numFmtId="10" fontId="17" fillId="0" borderId="13" xfId="2" applyNumberFormat="1" applyFont="1" applyFill="1" applyBorder="1" applyAlignment="1">
      <alignment vertical="center"/>
    </xf>
    <xf numFmtId="10" fontId="3" fillId="0" borderId="13" xfId="2" applyNumberFormat="1" applyFont="1" applyFill="1" applyBorder="1" applyAlignment="1">
      <alignment vertical="center"/>
    </xf>
    <xf numFmtId="10" fontId="3" fillId="0" borderId="22" xfId="2" applyNumberFormat="1" applyFont="1" applyFill="1" applyBorder="1" applyAlignment="1">
      <alignment vertical="center"/>
    </xf>
    <xf numFmtId="10" fontId="3" fillId="0" borderId="23" xfId="2" applyNumberFormat="1" applyFont="1" applyFill="1" applyBorder="1" applyAlignment="1">
      <alignment vertical="center"/>
    </xf>
    <xf numFmtId="169" fontId="22" fillId="9" borderId="19" xfId="0" applyNumberFormat="1" applyFont="1" applyFill="1" applyBorder="1" applyAlignment="1">
      <alignment vertical="center"/>
    </xf>
    <xf numFmtId="165" fontId="9" fillId="0" borderId="0" xfId="0" applyNumberFormat="1" applyFont="1"/>
    <xf numFmtId="3" fontId="11" fillId="3" borderId="0" xfId="0" applyNumberFormat="1" applyFont="1" applyFill="1" applyBorder="1" applyAlignment="1">
      <alignment horizontal="right" vertical="center"/>
    </xf>
    <xf numFmtId="3" fontId="9" fillId="0" borderId="0" xfId="0" applyNumberFormat="1" applyFont="1"/>
    <xf numFmtId="0" fontId="0" fillId="0" borderId="37" xfId="0" applyBorder="1"/>
    <xf numFmtId="1" fontId="0" fillId="0" borderId="37" xfId="0" applyNumberFormat="1" applyBorder="1"/>
    <xf numFmtId="3" fontId="0" fillId="0" borderId="37" xfId="0" applyNumberFormat="1" applyBorder="1"/>
    <xf numFmtId="0" fontId="12" fillId="2" borderId="37" xfId="0" applyNumberFormat="1" applyFont="1" applyFill="1" applyBorder="1" applyAlignment="1">
      <alignment horizontal="center" vertical="center"/>
    </xf>
    <xf numFmtId="0" fontId="0" fillId="11" borderId="37" xfId="0" applyFill="1" applyBorder="1"/>
    <xf numFmtId="0" fontId="0" fillId="12" borderId="37" xfId="0" applyFill="1" applyBorder="1"/>
    <xf numFmtId="0" fontId="0" fillId="13" borderId="37" xfId="0" applyFill="1" applyBorder="1"/>
    <xf numFmtId="0" fontId="0" fillId="14" borderId="37" xfId="0" applyFill="1" applyBorder="1"/>
    <xf numFmtId="49" fontId="0" fillId="0" borderId="0" xfId="0" applyNumberFormat="1"/>
    <xf numFmtId="49" fontId="12" fillId="2" borderId="37" xfId="0" applyNumberFormat="1" applyFont="1" applyFill="1" applyBorder="1" applyAlignment="1">
      <alignment horizontal="center" vertical="center"/>
    </xf>
    <xf numFmtId="49" fontId="0" fillId="14" borderId="37" xfId="0" applyNumberFormat="1" applyFill="1" applyBorder="1"/>
    <xf numFmtId="0" fontId="8" fillId="2" borderId="0" xfId="0" applyFont="1" applyFill="1" applyBorder="1" applyAlignment="1">
      <alignment horizontal="center" vertical="center"/>
    </xf>
    <xf numFmtId="0" fontId="12" fillId="2" borderId="38" xfId="0" applyNumberFormat="1" applyFont="1" applyFill="1" applyBorder="1" applyAlignment="1">
      <alignment horizontal="center" vertical="center"/>
    </xf>
    <xf numFmtId="0" fontId="12" fillId="2" borderId="39" xfId="0" applyNumberFormat="1" applyFont="1" applyFill="1" applyBorder="1" applyAlignment="1">
      <alignment horizontal="center" vertical="center"/>
    </xf>
    <xf numFmtId="0" fontId="12" fillId="2" borderId="40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33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workbookViewId="0">
      <selection activeCell="A16" sqref="A16"/>
    </sheetView>
  </sheetViews>
  <sheetFormatPr baseColWidth="10" defaultRowHeight="15" x14ac:dyDescent="0.25"/>
  <cols>
    <col min="1" max="1" width="31" bestFit="1" customWidth="1"/>
    <col min="2" max="2" width="19" bestFit="1" customWidth="1"/>
  </cols>
  <sheetData>
    <row r="1" spans="1:3" x14ac:dyDescent="0.25">
      <c r="A1" s="17" t="s">
        <v>68</v>
      </c>
      <c r="B1" s="17" t="s">
        <v>67</v>
      </c>
    </row>
    <row r="2" spans="1:3" ht="15.75" thickBot="1" x14ac:dyDescent="0.3">
      <c r="A2" s="28" t="s">
        <v>74</v>
      </c>
      <c r="B2" s="21">
        <v>14676.508868524295</v>
      </c>
      <c r="C2" s="20"/>
    </row>
    <row r="3" spans="1:3" ht="16.5" thickTop="1" thickBot="1" x14ac:dyDescent="0.3">
      <c r="A3" s="28" t="s">
        <v>75</v>
      </c>
      <c r="B3" s="21">
        <v>2706.4719088681341</v>
      </c>
      <c r="C3" s="20"/>
    </row>
    <row r="4" spans="1:3" ht="16.5" thickTop="1" thickBot="1" x14ac:dyDescent="0.3">
      <c r="A4" s="28" t="s">
        <v>76</v>
      </c>
      <c r="B4" s="21">
        <v>5332.802264497348</v>
      </c>
      <c r="C4" s="20"/>
    </row>
    <row r="5" spans="1:3" ht="16.5" thickTop="1" thickBot="1" x14ac:dyDescent="0.3">
      <c r="A5" s="28" t="s">
        <v>77</v>
      </c>
      <c r="B5" s="21">
        <v>1543.8728091857993</v>
      </c>
      <c r="C5" s="20"/>
    </row>
    <row r="6" spans="1:3" ht="15.75" thickTop="1" x14ac:dyDescent="0.25">
      <c r="A6" s="29" t="s">
        <v>78</v>
      </c>
      <c r="B6" s="22">
        <v>324.69626160047977</v>
      </c>
      <c r="C6" s="20"/>
    </row>
    <row r="7" spans="1:3" ht="15.75" thickBot="1" x14ac:dyDescent="0.3">
      <c r="A7" s="19" t="s">
        <v>69</v>
      </c>
      <c r="B7" s="23">
        <f>+SUM(B2:B6)</f>
        <v>24584.352112676057</v>
      </c>
    </row>
    <row r="8" spans="1:3" ht="11.25" customHeight="1" thickTop="1" x14ac:dyDescent="0.25">
      <c r="B8" s="24"/>
    </row>
    <row r="9" spans="1:3" ht="15.75" thickBot="1" x14ac:dyDescent="0.3">
      <c r="A9" s="18" t="s">
        <v>70</v>
      </c>
      <c r="B9" s="25">
        <v>15972</v>
      </c>
    </row>
    <row r="10" spans="1:3" ht="15.75" thickTop="1" x14ac:dyDescent="0.25">
      <c r="B10" s="24"/>
    </row>
    <row r="11" spans="1:3" ht="15.75" thickBot="1" x14ac:dyDescent="0.3">
      <c r="A11" s="18" t="s">
        <v>71</v>
      </c>
      <c r="B11" s="25">
        <f>+B7-B9</f>
        <v>8612.352112676057</v>
      </c>
    </row>
    <row r="12" spans="1:3" ht="15.75" thickTop="1" x14ac:dyDescent="0.25">
      <c r="B12" s="24"/>
    </row>
    <row r="13" spans="1:3" x14ac:dyDescent="0.25">
      <c r="A13" s="17" t="s">
        <v>72</v>
      </c>
      <c r="B13" s="26">
        <f>+'Presupuesto Planes '!O119</f>
        <v>124654</v>
      </c>
      <c r="C13" s="27"/>
    </row>
    <row r="14" spans="1:3" x14ac:dyDescent="0.25">
      <c r="A14" s="16" t="s">
        <v>71</v>
      </c>
      <c r="B14" s="24">
        <f>+B11</f>
        <v>8612.352112676057</v>
      </c>
    </row>
    <row r="15" spans="1:3" x14ac:dyDescent="0.25">
      <c r="A15" s="17" t="s">
        <v>73</v>
      </c>
      <c r="B15" s="26">
        <f>+B13+B14</f>
        <v>133266.35211267605</v>
      </c>
      <c r="C15" s="30">
        <f>+(B15-B13)/B13</f>
        <v>6.9090058182457406E-2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showGridLines="0" workbookViewId="0">
      <selection sqref="A1:AC1"/>
    </sheetView>
  </sheetViews>
  <sheetFormatPr baseColWidth="10" defaultRowHeight="12.75" outlineLevelRow="1" outlineLevelCol="2" x14ac:dyDescent="0.2"/>
  <cols>
    <col min="1" max="1" width="48.42578125" style="31" bestFit="1" customWidth="1"/>
    <col min="2" max="2" width="11.42578125" style="31" customWidth="1"/>
    <col min="3" max="3" width="11.42578125" style="31" hidden="1" customWidth="1" outlineLevel="1"/>
    <col min="4" max="4" width="11.42578125" style="31" collapsed="1"/>
    <col min="5" max="5" width="11.42578125" style="31" hidden="1" customWidth="1" outlineLevel="1"/>
    <col min="6" max="6" width="11.42578125" style="31" collapsed="1"/>
    <col min="7" max="7" width="11.42578125" style="31" hidden="1" customWidth="1" outlineLevel="1"/>
    <col min="8" max="8" width="11.42578125" style="31" collapsed="1"/>
    <col min="9" max="9" width="11.42578125" style="31" hidden="1" customWidth="1" outlineLevel="2"/>
    <col min="10" max="10" width="11.42578125" style="31" collapsed="1"/>
    <col min="11" max="11" width="11.42578125" style="31" hidden="1" customWidth="1" outlineLevel="1"/>
    <col min="12" max="12" width="11.42578125" style="31" collapsed="1"/>
    <col min="13" max="13" width="11.42578125" style="31" hidden="1" customWidth="1" outlineLevel="1"/>
    <col min="14" max="14" width="11.42578125" style="31" collapsed="1"/>
    <col min="15" max="15" width="11.42578125" style="31" hidden="1" customWidth="1" outlineLevel="1"/>
    <col min="16" max="16" width="11.42578125" style="31" collapsed="1"/>
    <col min="17" max="17" width="11.42578125" style="31" hidden="1" customWidth="1" outlineLevel="1"/>
    <col min="18" max="18" width="11.42578125" style="31" collapsed="1"/>
    <col min="19" max="19" width="11.42578125" style="31" hidden="1" customWidth="1" outlineLevel="1"/>
    <col min="20" max="20" width="11.42578125" style="31" collapsed="1"/>
    <col min="21" max="21" width="11.42578125" style="31" hidden="1" customWidth="1" outlineLevel="1"/>
    <col min="22" max="22" width="11.42578125" style="31" customWidth="1" collapsed="1"/>
    <col min="23" max="23" width="11.42578125" style="31" hidden="1" customWidth="1" outlineLevel="1" collapsed="1"/>
    <col min="24" max="24" width="11.42578125" style="31" collapsed="1"/>
    <col min="25" max="25" width="11.42578125" style="31" hidden="1" customWidth="1" outlineLevel="1"/>
    <col min="26" max="26" width="12.85546875" style="31" bestFit="1" customWidth="1" collapsed="1"/>
    <col min="27" max="27" width="13.28515625" style="31" hidden="1" customWidth="1"/>
    <col min="28" max="28" width="0" style="31" hidden="1" customWidth="1"/>
    <col min="29" max="29" width="22.28515625" style="31" hidden="1" customWidth="1"/>
    <col min="30" max="16384" width="11.42578125" style="31"/>
  </cols>
  <sheetData>
    <row r="1" spans="1:29" x14ac:dyDescent="0.2">
      <c r="A1" s="166" t="s">
        <v>29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</row>
    <row r="2" spans="1:29" x14ac:dyDescent="0.2">
      <c r="A2" s="32"/>
      <c r="B2" s="33" t="s">
        <v>0</v>
      </c>
      <c r="C2" s="34" t="s">
        <v>1</v>
      </c>
      <c r="D2" s="33" t="s">
        <v>0</v>
      </c>
      <c r="E2" s="34" t="s">
        <v>1</v>
      </c>
      <c r="F2" s="33" t="s">
        <v>0</v>
      </c>
      <c r="G2" s="34" t="s">
        <v>1</v>
      </c>
      <c r="H2" s="33" t="s">
        <v>0</v>
      </c>
      <c r="I2" s="34" t="s">
        <v>1</v>
      </c>
      <c r="J2" s="33" t="s">
        <v>0</v>
      </c>
      <c r="K2" s="34" t="s">
        <v>1</v>
      </c>
      <c r="L2" s="33" t="s">
        <v>0</v>
      </c>
      <c r="M2" s="34" t="s">
        <v>1</v>
      </c>
      <c r="N2" s="33" t="s">
        <v>0</v>
      </c>
      <c r="O2" s="34" t="s">
        <v>1</v>
      </c>
      <c r="P2" s="33" t="s">
        <v>0</v>
      </c>
      <c r="Q2" s="34" t="s">
        <v>1</v>
      </c>
      <c r="R2" s="33" t="s">
        <v>0</v>
      </c>
      <c r="S2" s="34" t="s">
        <v>1</v>
      </c>
      <c r="T2" s="33" t="s">
        <v>0</v>
      </c>
      <c r="U2" s="34" t="s">
        <v>1</v>
      </c>
      <c r="V2" s="33" t="s">
        <v>0</v>
      </c>
      <c r="W2" s="34" t="s">
        <v>1</v>
      </c>
      <c r="X2" s="33" t="s">
        <v>0</v>
      </c>
      <c r="Y2" s="35" t="s">
        <v>1</v>
      </c>
      <c r="Z2" s="36"/>
      <c r="AA2" s="37"/>
      <c r="AB2" s="38"/>
      <c r="AC2" s="39"/>
    </row>
    <row r="3" spans="1:29" ht="17.25" customHeight="1" x14ac:dyDescent="0.2">
      <c r="A3" s="40" t="s">
        <v>2</v>
      </c>
      <c r="B3" s="41">
        <v>42186</v>
      </c>
      <c r="C3" s="41">
        <v>42186</v>
      </c>
      <c r="D3" s="41">
        <v>42217</v>
      </c>
      <c r="E3" s="41">
        <v>42217</v>
      </c>
      <c r="F3" s="41">
        <v>42248</v>
      </c>
      <c r="G3" s="41">
        <v>42248</v>
      </c>
      <c r="H3" s="41">
        <v>42278</v>
      </c>
      <c r="I3" s="41">
        <v>42278</v>
      </c>
      <c r="J3" s="41">
        <v>42309</v>
      </c>
      <c r="K3" s="41">
        <v>42309</v>
      </c>
      <c r="L3" s="41">
        <v>42339</v>
      </c>
      <c r="M3" s="41">
        <v>42339</v>
      </c>
      <c r="N3" s="41">
        <v>42370</v>
      </c>
      <c r="O3" s="41">
        <v>42370</v>
      </c>
      <c r="P3" s="41">
        <v>42401</v>
      </c>
      <c r="Q3" s="41">
        <v>42401</v>
      </c>
      <c r="R3" s="41">
        <v>42430</v>
      </c>
      <c r="S3" s="41">
        <v>42430</v>
      </c>
      <c r="T3" s="41">
        <v>42461</v>
      </c>
      <c r="U3" s="41">
        <v>42461</v>
      </c>
      <c r="V3" s="41">
        <v>42491</v>
      </c>
      <c r="W3" s="41">
        <v>42491</v>
      </c>
      <c r="X3" s="41">
        <v>42522</v>
      </c>
      <c r="Y3" s="41">
        <v>42522</v>
      </c>
      <c r="Z3" s="42" t="s">
        <v>3</v>
      </c>
      <c r="AA3" s="43" t="s">
        <v>4</v>
      </c>
      <c r="AB3" s="44" t="s">
        <v>5</v>
      </c>
      <c r="AC3" s="45" t="s">
        <v>6</v>
      </c>
    </row>
    <row r="4" spans="1:29" ht="13.5" thickBo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38"/>
      <c r="AC4" s="39"/>
    </row>
    <row r="5" spans="1:29" ht="14.25" thickTop="1" thickBot="1" x14ac:dyDescent="0.25">
      <c r="A5" s="48" t="s">
        <v>7</v>
      </c>
      <c r="B5" s="49">
        <f>+SUM(B11,B95)</f>
        <v>1880.3999999999999</v>
      </c>
      <c r="C5" s="50"/>
      <c r="D5" s="49">
        <f>+SUM(D11,D95)</f>
        <v>1964.5333333333333</v>
      </c>
      <c r="E5" s="50"/>
      <c r="F5" s="49">
        <f>+SUM(F11,F95)</f>
        <v>2048.6666666666665</v>
      </c>
      <c r="G5" s="50"/>
      <c r="H5" s="49">
        <f>+SUM(H11,H95)</f>
        <v>2132.8000000000002</v>
      </c>
      <c r="I5" s="50"/>
      <c r="J5" s="49">
        <f>+SUM(J11,J95)</f>
        <v>2132.8000000000002</v>
      </c>
      <c r="K5" s="50"/>
      <c r="L5" s="49">
        <f>+SUM(L11,L95)</f>
        <v>1880.3999999999999</v>
      </c>
      <c r="M5" s="50"/>
      <c r="N5" s="49">
        <f>+SUM(N11,N95)</f>
        <v>1880.3999999999999</v>
      </c>
      <c r="O5" s="50"/>
      <c r="P5" s="49">
        <f>+SUM(P11,P95)</f>
        <v>1964.5333333333333</v>
      </c>
      <c r="Q5" s="50"/>
      <c r="R5" s="49">
        <f>+SUM(R11,R95)</f>
        <v>2132.8000000000002</v>
      </c>
      <c r="S5" s="50"/>
      <c r="T5" s="49">
        <f>+SUM(T11,T95)</f>
        <v>2132.8000000000002</v>
      </c>
      <c r="U5" s="50"/>
      <c r="V5" s="49">
        <f>+SUM(V11,V95)</f>
        <v>2216.9333333333334</v>
      </c>
      <c r="W5" s="50"/>
      <c r="X5" s="49">
        <f>+SUM(X11,X95)</f>
        <v>2216.9333333333334</v>
      </c>
      <c r="Y5" s="50"/>
      <c r="Z5" s="49">
        <f>+SUM(X5,V5,T5,R5,P5,N5,L5,J5,H5,F5,D5,B5)</f>
        <v>24584</v>
      </c>
      <c r="AA5" s="51"/>
      <c r="AB5" s="52">
        <f>+C5+E5+G5+I5+K5+M5+O5+Q5+S5+U5+W5+Y5-B5-D5-F5-H5-J5-L5-N5-P5-R5-T5-V5-X5</f>
        <v>-24584</v>
      </c>
      <c r="AC5" s="53"/>
    </row>
    <row r="6" spans="1:29" ht="13.5" thickTop="1" x14ac:dyDescent="0.2">
      <c r="A6" s="54"/>
      <c r="B6" s="55"/>
      <c r="C6" s="56"/>
      <c r="D6" s="55"/>
      <c r="E6" s="56"/>
      <c r="F6" s="55"/>
      <c r="G6" s="56"/>
      <c r="H6" s="55"/>
      <c r="I6" s="56"/>
      <c r="J6" s="55"/>
      <c r="K6" s="57"/>
      <c r="L6" s="58"/>
      <c r="M6" s="59"/>
      <c r="N6" s="58"/>
      <c r="O6" s="59"/>
      <c r="P6" s="58"/>
      <c r="Q6" s="59"/>
      <c r="R6" s="58"/>
      <c r="S6" s="59"/>
      <c r="T6" s="58"/>
      <c r="U6" s="59"/>
      <c r="V6" s="58"/>
      <c r="W6" s="56"/>
      <c r="X6" s="58"/>
      <c r="Y6" s="59"/>
      <c r="Z6" s="59"/>
      <c r="AA6" s="59"/>
      <c r="AB6" s="60"/>
      <c r="AC6" s="61"/>
    </row>
    <row r="7" spans="1:29" ht="20.25" customHeight="1" thickBot="1" x14ac:dyDescent="0.25">
      <c r="A7" s="62" t="s">
        <v>8</v>
      </c>
      <c r="B7" s="63"/>
      <c r="C7" s="64"/>
      <c r="D7" s="63"/>
      <c r="E7" s="64"/>
      <c r="F7" s="63"/>
      <c r="G7" s="64"/>
      <c r="H7" s="63"/>
      <c r="I7" s="64"/>
      <c r="J7" s="64"/>
      <c r="K7" s="65"/>
      <c r="L7" s="66"/>
      <c r="M7" s="65"/>
      <c r="N7" s="66"/>
      <c r="O7" s="65"/>
      <c r="P7" s="66"/>
      <c r="Q7" s="65"/>
      <c r="R7" s="66"/>
      <c r="S7" s="65"/>
      <c r="T7" s="66"/>
      <c r="U7" s="65"/>
      <c r="V7" s="66"/>
      <c r="W7" s="64"/>
      <c r="X7" s="66"/>
      <c r="Y7" s="65"/>
      <c r="Z7" s="65"/>
      <c r="AA7" s="65"/>
      <c r="AB7" s="67" t="s">
        <v>5</v>
      </c>
      <c r="AC7" s="45" t="s">
        <v>6</v>
      </c>
    </row>
    <row r="8" spans="1:29" x14ac:dyDescent="0.2">
      <c r="A8" s="68"/>
      <c r="B8" s="69" t="s">
        <v>0</v>
      </c>
      <c r="C8" s="70" t="s">
        <v>1</v>
      </c>
      <c r="D8" s="69" t="s">
        <v>0</v>
      </c>
      <c r="E8" s="70" t="s">
        <v>1</v>
      </c>
      <c r="F8" s="69" t="s">
        <v>0</v>
      </c>
      <c r="G8" s="70" t="s">
        <v>1</v>
      </c>
      <c r="H8" s="69" t="s">
        <v>0</v>
      </c>
      <c r="I8" s="70" t="s">
        <v>1</v>
      </c>
      <c r="J8" s="69" t="s">
        <v>0</v>
      </c>
      <c r="K8" s="70" t="s">
        <v>1</v>
      </c>
      <c r="L8" s="69" t="s">
        <v>0</v>
      </c>
      <c r="M8" s="70" t="s">
        <v>1</v>
      </c>
      <c r="N8" s="69" t="s">
        <v>0</v>
      </c>
      <c r="O8" s="70" t="s">
        <v>1</v>
      </c>
      <c r="P8" s="69" t="s">
        <v>0</v>
      </c>
      <c r="Q8" s="70" t="s">
        <v>1</v>
      </c>
      <c r="R8" s="69" t="s">
        <v>0</v>
      </c>
      <c r="S8" s="70" t="s">
        <v>1</v>
      </c>
      <c r="T8" s="69" t="s">
        <v>0</v>
      </c>
      <c r="U8" s="70" t="s">
        <v>1</v>
      </c>
      <c r="V8" s="69" t="s">
        <v>0</v>
      </c>
      <c r="W8" s="70" t="s">
        <v>1</v>
      </c>
      <c r="X8" s="69" t="s">
        <v>0</v>
      </c>
      <c r="Y8" s="35" t="s">
        <v>1</v>
      </c>
      <c r="Z8" s="71"/>
      <c r="AA8" s="72"/>
      <c r="AB8" s="73"/>
      <c r="AC8" s="74"/>
    </row>
    <row r="9" spans="1:29" x14ac:dyDescent="0.2">
      <c r="A9" s="40" t="s">
        <v>9</v>
      </c>
      <c r="B9" s="41">
        <v>42186</v>
      </c>
      <c r="C9" s="41">
        <v>42186</v>
      </c>
      <c r="D9" s="41">
        <v>42217</v>
      </c>
      <c r="E9" s="41">
        <v>42217</v>
      </c>
      <c r="F9" s="41">
        <v>42248</v>
      </c>
      <c r="G9" s="41">
        <v>42248</v>
      </c>
      <c r="H9" s="41">
        <v>42278</v>
      </c>
      <c r="I9" s="41">
        <v>42278</v>
      </c>
      <c r="J9" s="41">
        <v>42309</v>
      </c>
      <c r="K9" s="41">
        <v>42309</v>
      </c>
      <c r="L9" s="41">
        <v>42339</v>
      </c>
      <c r="M9" s="41">
        <v>42339</v>
      </c>
      <c r="N9" s="41">
        <v>42370</v>
      </c>
      <c r="O9" s="41">
        <v>42370</v>
      </c>
      <c r="P9" s="41">
        <v>42401</v>
      </c>
      <c r="Q9" s="41">
        <v>42401</v>
      </c>
      <c r="R9" s="41">
        <v>42430</v>
      </c>
      <c r="S9" s="41">
        <v>42430</v>
      </c>
      <c r="T9" s="41">
        <v>42461</v>
      </c>
      <c r="U9" s="41">
        <v>42461</v>
      </c>
      <c r="V9" s="41">
        <v>42491</v>
      </c>
      <c r="W9" s="41">
        <v>42491</v>
      </c>
      <c r="X9" s="41">
        <v>42522</v>
      </c>
      <c r="Y9" s="42">
        <v>42156</v>
      </c>
      <c r="Z9" s="42" t="s">
        <v>3</v>
      </c>
      <c r="AA9" s="67" t="s">
        <v>1</v>
      </c>
      <c r="AB9" s="67" t="s">
        <v>5</v>
      </c>
      <c r="AC9" s="45" t="s">
        <v>6</v>
      </c>
    </row>
    <row r="10" spans="1:29" ht="13.5" thickBot="1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6"/>
      <c r="X10" s="77"/>
      <c r="Y10" s="77"/>
      <c r="Z10" s="77"/>
      <c r="AA10" s="77"/>
      <c r="AB10" s="78"/>
      <c r="AC10" s="79"/>
    </row>
    <row r="11" spans="1:29" ht="14.25" thickTop="1" thickBot="1" x14ac:dyDescent="0.25">
      <c r="A11" s="80" t="s">
        <v>28</v>
      </c>
      <c r="B11" s="49">
        <f>+SUM(B15,B18,B23,B28,B33,B38,B43,B48,B53,B13,B58,B63,B68,B73,B78,B83)</f>
        <v>1514.3999999999999</v>
      </c>
      <c r="C11" s="49">
        <f t="shared" ref="C11:Z11" si="0">+SUM(C15,C18,C23,C28,C33,C38,C43,C48,C53,C13,C58,C63,C68,C73,C78,C83)</f>
        <v>0</v>
      </c>
      <c r="D11" s="49">
        <f t="shared" si="0"/>
        <v>1598.5333333333333</v>
      </c>
      <c r="E11" s="49"/>
      <c r="F11" s="49">
        <f t="shared" si="0"/>
        <v>1682.6666666666665</v>
      </c>
      <c r="G11" s="49"/>
      <c r="H11" s="49">
        <f t="shared" si="0"/>
        <v>1766.8</v>
      </c>
      <c r="I11" s="49">
        <f t="shared" si="0"/>
        <v>0</v>
      </c>
      <c r="J11" s="49">
        <f t="shared" si="0"/>
        <v>1766.8</v>
      </c>
      <c r="K11" s="49">
        <f t="shared" si="0"/>
        <v>0</v>
      </c>
      <c r="L11" s="49">
        <f t="shared" si="0"/>
        <v>1514.3999999999999</v>
      </c>
      <c r="M11" s="49">
        <f t="shared" si="0"/>
        <v>0</v>
      </c>
      <c r="N11" s="49">
        <f t="shared" si="0"/>
        <v>1514.3999999999999</v>
      </c>
      <c r="O11" s="49">
        <f t="shared" si="0"/>
        <v>0</v>
      </c>
      <c r="P11" s="49">
        <f t="shared" si="0"/>
        <v>1598.5333333333333</v>
      </c>
      <c r="Q11" s="49">
        <f t="shared" si="0"/>
        <v>0</v>
      </c>
      <c r="R11" s="49">
        <f t="shared" si="0"/>
        <v>1766.8</v>
      </c>
      <c r="S11" s="49">
        <f t="shared" si="0"/>
        <v>0</v>
      </c>
      <c r="T11" s="49">
        <f t="shared" si="0"/>
        <v>1766.8</v>
      </c>
      <c r="U11" s="49">
        <f t="shared" si="0"/>
        <v>0</v>
      </c>
      <c r="V11" s="49">
        <f t="shared" si="0"/>
        <v>1850.9333333333334</v>
      </c>
      <c r="W11" s="49">
        <f t="shared" si="0"/>
        <v>0</v>
      </c>
      <c r="X11" s="49">
        <f t="shared" si="0"/>
        <v>1850.9333333333334</v>
      </c>
      <c r="Y11" s="49">
        <f t="shared" si="0"/>
        <v>0</v>
      </c>
      <c r="Z11" s="49">
        <f t="shared" si="0"/>
        <v>20192</v>
      </c>
      <c r="AA11" s="81">
        <f>+SUM(Y11,W11,U11,S11,Q11,O11,M11,K11,I11,G11,E11,C11)</f>
        <v>0</v>
      </c>
      <c r="AB11" s="52">
        <f>+C11+E11+G11+I11+K11+M11+O11+Q11+S11+U11+W11+Y11-B11-D11-F11-H11-J11-L11-N11-P11-R11-T11-V11-X11</f>
        <v>-20192</v>
      </c>
      <c r="AC11" s="82">
        <f>+(C11+E11+G11+I11+K11+M11+O11+Q11+S11+U11+W11+Y11)/(B11+D11+F11+H11+J11+L11+N11+P11+R11+T23+V11+X11)</f>
        <v>0</v>
      </c>
    </row>
    <row r="12" spans="1:29" ht="14.25" thickTop="1" thickBot="1" x14ac:dyDescent="0.25">
      <c r="A12" s="83"/>
      <c r="B12" s="84"/>
      <c r="C12" s="85"/>
      <c r="D12" s="84"/>
      <c r="E12" s="85"/>
      <c r="F12" s="84"/>
      <c r="G12" s="85"/>
      <c r="H12" s="84"/>
      <c r="I12" s="85"/>
      <c r="J12" s="84"/>
      <c r="K12" s="86"/>
      <c r="L12" s="87"/>
      <c r="M12" s="86"/>
      <c r="N12" s="87"/>
      <c r="O12" s="86"/>
      <c r="P12" s="87"/>
      <c r="Q12" s="86"/>
      <c r="R12" s="87"/>
      <c r="S12" s="86"/>
      <c r="T12" s="87"/>
      <c r="U12" s="86"/>
      <c r="V12" s="87"/>
      <c r="W12" s="85"/>
      <c r="X12" s="87"/>
      <c r="Y12" s="86"/>
      <c r="Z12" s="86"/>
      <c r="AA12" s="86"/>
      <c r="AB12" s="88"/>
      <c r="AC12" s="89"/>
    </row>
    <row r="13" spans="1:29" ht="14.25" thickTop="1" thickBot="1" x14ac:dyDescent="0.25">
      <c r="A13" s="3" t="s">
        <v>40</v>
      </c>
      <c r="B13" s="90">
        <f>180*0.9</f>
        <v>162</v>
      </c>
      <c r="C13" s="90"/>
      <c r="D13" s="90">
        <f>180*0.95</f>
        <v>171</v>
      </c>
      <c r="E13" s="90"/>
      <c r="F13" s="90">
        <v>180</v>
      </c>
      <c r="G13" s="90"/>
      <c r="H13" s="90">
        <f>180*1.05</f>
        <v>189</v>
      </c>
      <c r="I13" s="90"/>
      <c r="J13" s="90">
        <f>180*1.05</f>
        <v>189</v>
      </c>
      <c r="K13" s="90"/>
      <c r="L13" s="90">
        <f>180*0.9</f>
        <v>162</v>
      </c>
      <c r="M13" s="90"/>
      <c r="N13" s="90">
        <f>180*0.9</f>
        <v>162</v>
      </c>
      <c r="O13" s="90"/>
      <c r="P13" s="90">
        <f>180*0.95</f>
        <v>171</v>
      </c>
      <c r="Q13" s="90"/>
      <c r="R13" s="90">
        <f>180*1.05</f>
        <v>189</v>
      </c>
      <c r="S13" s="90"/>
      <c r="T13" s="90">
        <f>180*1.05</f>
        <v>189</v>
      </c>
      <c r="U13" s="90"/>
      <c r="V13" s="90">
        <f>180*1.1</f>
        <v>198.00000000000003</v>
      </c>
      <c r="W13" s="90"/>
      <c r="X13" s="90">
        <f>180*1.1</f>
        <v>198.00000000000003</v>
      </c>
      <c r="Y13" s="90"/>
      <c r="Z13" s="91">
        <f>SUM(X13,V13,T13,R13,P13,N13,L13,J13,H13,F13,D13,B13)</f>
        <v>2160</v>
      </c>
      <c r="AA13" s="92"/>
      <c r="AB13" s="93">
        <f>+C13+E13+G13+I13+K13+M13+O13+Q13+S13+U13+W13+Y13-B13-D13-F13-H13-J13-L13-N13-P13-R13-T13-V13-X13</f>
        <v>-2160</v>
      </c>
      <c r="AC13" s="94">
        <f>+(C13+E13+G13+I13+K13+M13+O13+Q13+S13+U13+W13+Y13)/(B13+D13+F13+H13+J13+L13+N13+P13+R13+T31+V13+X13)</f>
        <v>0</v>
      </c>
    </row>
    <row r="14" spans="1:29" ht="14.25" outlineLevel="1" thickTop="1" thickBot="1" x14ac:dyDescent="0.25">
      <c r="A14" s="1" t="s">
        <v>10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1"/>
      <c r="AA14" s="96"/>
      <c r="AB14" s="52"/>
      <c r="AC14" s="82"/>
    </row>
    <row r="15" spans="1:29" ht="14.25" outlineLevel="1" thickTop="1" thickBot="1" x14ac:dyDescent="0.25">
      <c r="A15" s="2" t="s">
        <v>11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1">
        <f>SUM(X15,V15,T15,R15,P15,N15,L15,J15,H15,F15,D15,B15)</f>
        <v>0</v>
      </c>
      <c r="AA15" s="98"/>
      <c r="AB15" s="52">
        <f t="shared" ref="AB15:AB53" si="1">+C15+E15+G15+I15+K15+M15+O15+Q15+S15+U15+W15+Y15-B15-D15-F15-H15-J15-L15-N15-P15-R15-T15-V15-X15</f>
        <v>0</v>
      </c>
      <c r="AC15" s="82" t="e">
        <f>+(C15+E15+G15+I15+K15+M15+O15+Q15+S15+U15+W15+Y15)/(B15+D15+F15+H15+J15+L15+N15+P15+R15+T27+V15+X15)</f>
        <v>#DIV/0!</v>
      </c>
    </row>
    <row r="16" spans="1:29" ht="14.25" outlineLevel="1" thickTop="1" thickBot="1" x14ac:dyDescent="0.25">
      <c r="A16" s="3" t="s">
        <v>12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1">
        <f t="shared" ref="Z16:Z48" si="2">SUM(X16,V16,T16,R16,P16,N16,L16,J16,H16,F16,D16,B16)</f>
        <v>0</v>
      </c>
      <c r="AA16" s="100"/>
      <c r="AB16" s="52">
        <f t="shared" si="1"/>
        <v>0</v>
      </c>
      <c r="AC16" s="82">
        <f>+(C16+E16+G16+I16+K16+M16+O16+Q16+S16+U16+W16+Y16)/(B16+D16+F16+H16+J16+L16+N16+P16+R16+T28+V16+X16)</f>
        <v>0</v>
      </c>
    </row>
    <row r="17" spans="1:29" ht="14.25" outlineLevel="1" thickTop="1" thickBot="1" x14ac:dyDescent="0.25">
      <c r="A17" s="3" t="s">
        <v>13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1"/>
      <c r="AA17" s="100"/>
      <c r="AB17" s="52"/>
      <c r="AC17" s="82"/>
    </row>
    <row r="18" spans="1:29" ht="14.25" thickTop="1" thickBot="1" x14ac:dyDescent="0.25">
      <c r="A18" s="101" t="s">
        <v>37</v>
      </c>
      <c r="B18" s="102">
        <f>96*0.9</f>
        <v>86.4</v>
      </c>
      <c r="C18" s="102"/>
      <c r="D18" s="102">
        <f>96*0.95</f>
        <v>91.199999999999989</v>
      </c>
      <c r="E18" s="102"/>
      <c r="F18" s="102">
        <v>96</v>
      </c>
      <c r="G18" s="102"/>
      <c r="H18" s="102">
        <f>96*1.05</f>
        <v>100.80000000000001</v>
      </c>
      <c r="I18" s="102"/>
      <c r="J18" s="102">
        <f>96*1.05</f>
        <v>100.80000000000001</v>
      </c>
      <c r="K18" s="102"/>
      <c r="L18" s="102">
        <f>96*0.9</f>
        <v>86.4</v>
      </c>
      <c r="M18" s="102"/>
      <c r="N18" s="102">
        <f>96*0.9</f>
        <v>86.4</v>
      </c>
      <c r="O18" s="102"/>
      <c r="P18" s="102">
        <f>96*0.95</f>
        <v>91.199999999999989</v>
      </c>
      <c r="Q18" s="102"/>
      <c r="R18" s="102">
        <f>96*1.05</f>
        <v>100.80000000000001</v>
      </c>
      <c r="S18" s="102"/>
      <c r="T18" s="102">
        <f>96*1.05</f>
        <v>100.80000000000001</v>
      </c>
      <c r="U18" s="102"/>
      <c r="V18" s="102">
        <f>96*1.1</f>
        <v>105.60000000000001</v>
      </c>
      <c r="W18" s="102"/>
      <c r="X18" s="102">
        <f>96*1.1</f>
        <v>105.60000000000001</v>
      </c>
      <c r="Y18" s="90"/>
      <c r="Z18" s="91">
        <f>SUM(X18,V18,T18,R18,P18,N18,L18,J18,H18,F18,D18,B18)</f>
        <v>1152</v>
      </c>
      <c r="AA18" s="103"/>
      <c r="AB18" s="52">
        <f t="shared" si="1"/>
        <v>-1151.9999999999998</v>
      </c>
      <c r="AC18" s="82">
        <f>+(C18+E18+G18+I18+K18+M18+O18+Q18+S18+U18+W18+Y18)/(B18+D18+F18+H18+J18+L18+N18+P18+R18+T32+V18+X18)</f>
        <v>0</v>
      </c>
    </row>
    <row r="19" spans="1:29" ht="14.25" outlineLevel="1" thickTop="1" thickBot="1" x14ac:dyDescent="0.25">
      <c r="A19" s="3" t="s">
        <v>10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1"/>
      <c r="AA19" s="104"/>
      <c r="AB19" s="52"/>
      <c r="AC19" s="82"/>
    </row>
    <row r="20" spans="1:29" ht="14.25" outlineLevel="1" thickTop="1" thickBot="1" x14ac:dyDescent="0.25">
      <c r="A20" s="3" t="s">
        <v>11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1"/>
      <c r="AA20" s="104"/>
      <c r="AB20" s="52"/>
      <c r="AC20" s="82"/>
    </row>
    <row r="21" spans="1:29" ht="14.25" outlineLevel="1" thickTop="1" thickBot="1" x14ac:dyDescent="0.25">
      <c r="A21" s="3" t="s">
        <v>12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1"/>
      <c r="AA21" s="100"/>
      <c r="AB21" s="52">
        <f t="shared" si="1"/>
        <v>0</v>
      </c>
      <c r="AC21" s="82">
        <f>+(C21+E21+G21+I21+K21+M21+O21+Q21+S21+U21+W21+Y21)/(B21+D21+F21+H21+J21+L21+N21+P21+R21+T33+V21+X21)</f>
        <v>0</v>
      </c>
    </row>
    <row r="22" spans="1:29" ht="14.25" outlineLevel="1" thickTop="1" thickBot="1" x14ac:dyDescent="0.25">
      <c r="A22" s="3" t="s">
        <v>13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1"/>
      <c r="AA22" s="100"/>
      <c r="AB22" s="52">
        <f t="shared" si="1"/>
        <v>0</v>
      </c>
      <c r="AC22" s="82" t="e">
        <f>+(C22+E22+G22+I22+K22+M22+O22+Q22+S22+U22+W22+Y22)/(B22+D22+F22+H22+J22+L22+N22+P22+R22+T36+V22+X22)</f>
        <v>#DIV/0!</v>
      </c>
    </row>
    <row r="23" spans="1:29" ht="14.25" thickTop="1" thickBot="1" x14ac:dyDescent="0.25">
      <c r="A23" s="3" t="s">
        <v>30</v>
      </c>
      <c r="B23" s="90">
        <f>120*0.9</f>
        <v>108</v>
      </c>
      <c r="C23" s="90"/>
      <c r="D23" s="90">
        <f>120*0.95</f>
        <v>114</v>
      </c>
      <c r="E23" s="90"/>
      <c r="F23" s="90">
        <v>120</v>
      </c>
      <c r="G23" s="90"/>
      <c r="H23" s="90">
        <f>120*1.05</f>
        <v>126</v>
      </c>
      <c r="I23" s="90"/>
      <c r="J23" s="90">
        <f>120*1.05</f>
        <v>126</v>
      </c>
      <c r="K23" s="90"/>
      <c r="L23" s="90">
        <f>120*0.9</f>
        <v>108</v>
      </c>
      <c r="M23" s="90"/>
      <c r="N23" s="90">
        <f>120*0.9</f>
        <v>108</v>
      </c>
      <c r="O23" s="90"/>
      <c r="P23" s="90">
        <f>120*0.95</f>
        <v>114</v>
      </c>
      <c r="Q23" s="90"/>
      <c r="R23" s="90">
        <f>120*1.05</f>
        <v>126</v>
      </c>
      <c r="S23" s="90"/>
      <c r="T23" s="90">
        <f>120*1.05</f>
        <v>126</v>
      </c>
      <c r="U23" s="90"/>
      <c r="V23" s="90">
        <f>120*1.1</f>
        <v>132</v>
      </c>
      <c r="W23" s="90"/>
      <c r="X23" s="90">
        <f>120*1.1</f>
        <v>132</v>
      </c>
      <c r="Y23" s="90"/>
      <c r="Z23" s="91">
        <f t="shared" si="2"/>
        <v>1440</v>
      </c>
      <c r="AA23" s="103"/>
      <c r="AB23" s="52">
        <f t="shared" si="1"/>
        <v>-1440</v>
      </c>
      <c r="AC23" s="82">
        <f>+(C23+E23+G23+I23+K23+M23+O23+Q23+S23+U23+W23+Y23)/(B23+D23+F23+H23+J23+L23+N23+P23+R23+T37+V23+X23)</f>
        <v>0</v>
      </c>
    </row>
    <row r="24" spans="1:29" ht="14.25" hidden="1" outlineLevel="1" thickTop="1" thickBot="1" x14ac:dyDescent="0.25">
      <c r="A24" s="3" t="s">
        <v>10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1"/>
      <c r="AA24" s="104"/>
      <c r="AB24" s="52"/>
      <c r="AC24" s="82"/>
    </row>
    <row r="25" spans="1:29" ht="14.25" hidden="1" outlineLevel="1" thickTop="1" thickBot="1" x14ac:dyDescent="0.25">
      <c r="A25" s="3" t="s">
        <v>11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1"/>
      <c r="AA25" s="104"/>
      <c r="AB25" s="52"/>
      <c r="AC25" s="82"/>
    </row>
    <row r="26" spans="1:29" ht="14.25" hidden="1" outlineLevel="1" thickTop="1" thickBot="1" x14ac:dyDescent="0.25">
      <c r="A26" s="3" t="s">
        <v>12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1"/>
      <c r="AA26" s="100"/>
      <c r="AB26" s="52"/>
      <c r="AC26" s="82"/>
    </row>
    <row r="27" spans="1:29" ht="14.25" hidden="1" outlineLevel="1" thickTop="1" thickBot="1" x14ac:dyDescent="0.25">
      <c r="A27" s="3" t="s">
        <v>13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1"/>
      <c r="AA27" s="100"/>
      <c r="AB27" s="52"/>
      <c r="AC27" s="82"/>
    </row>
    <row r="28" spans="1:29" ht="14.25" collapsed="1" thickTop="1" thickBot="1" x14ac:dyDescent="0.25">
      <c r="A28" s="101" t="s">
        <v>38</v>
      </c>
      <c r="B28" s="102">
        <f>94.75*0.9</f>
        <v>85.275000000000006</v>
      </c>
      <c r="C28" s="102"/>
      <c r="D28" s="102">
        <f>94.75*0.95</f>
        <v>90.012500000000003</v>
      </c>
      <c r="E28" s="102"/>
      <c r="F28" s="102">
        <v>94.75</v>
      </c>
      <c r="G28" s="102"/>
      <c r="H28" s="102">
        <f>94.75*1.05</f>
        <v>99.487499999999997</v>
      </c>
      <c r="I28" s="102"/>
      <c r="J28" s="102">
        <f>94.75*1.05</f>
        <v>99.487499999999997</v>
      </c>
      <c r="K28" s="102"/>
      <c r="L28" s="102">
        <f>94.75*0.9</f>
        <v>85.275000000000006</v>
      </c>
      <c r="M28" s="102"/>
      <c r="N28" s="102">
        <f>94.75*0.9</f>
        <v>85.275000000000006</v>
      </c>
      <c r="O28" s="102"/>
      <c r="P28" s="102">
        <f>94.75*0.95</f>
        <v>90.012500000000003</v>
      </c>
      <c r="Q28" s="102"/>
      <c r="R28" s="102">
        <f>94.75*1.05</f>
        <v>99.487499999999997</v>
      </c>
      <c r="S28" s="102"/>
      <c r="T28" s="102">
        <f>94.75*1.05</f>
        <v>99.487499999999997</v>
      </c>
      <c r="U28" s="102"/>
      <c r="V28" s="102">
        <f>94.75*1.1</f>
        <v>104.22500000000001</v>
      </c>
      <c r="W28" s="102"/>
      <c r="X28" s="102">
        <f>94.75*1.1</f>
        <v>104.22500000000001</v>
      </c>
      <c r="Y28" s="90"/>
      <c r="Z28" s="91">
        <f t="shared" si="2"/>
        <v>1137</v>
      </c>
      <c r="AA28" s="105"/>
      <c r="AB28" s="52">
        <f t="shared" si="1"/>
        <v>-1136.9999999999998</v>
      </c>
      <c r="AC28" s="82">
        <f>+(C28+E28+G28+I28+K28+M28+O28+Q28+S28+U28+W28+Y28)/(B28+D28+F28+H28+J28+L28+N28+P28+R28+T42+V28+X28)</f>
        <v>0</v>
      </c>
    </row>
    <row r="29" spans="1:29" ht="14.25" hidden="1" outlineLevel="1" thickTop="1" thickBot="1" x14ac:dyDescent="0.25">
      <c r="A29" s="3" t="s">
        <v>10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1"/>
      <c r="AA29" s="104"/>
      <c r="AB29" s="52"/>
      <c r="AC29" s="82"/>
    </row>
    <row r="30" spans="1:29" ht="14.25" hidden="1" outlineLevel="1" thickTop="1" thickBot="1" x14ac:dyDescent="0.25">
      <c r="A30" s="3" t="s">
        <v>11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1"/>
      <c r="AA30" s="100"/>
      <c r="AB30" s="52"/>
      <c r="AC30" s="82"/>
    </row>
    <row r="31" spans="1:29" ht="14.25" hidden="1" outlineLevel="1" thickTop="1" thickBot="1" x14ac:dyDescent="0.25">
      <c r="A31" s="3" t="s">
        <v>12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1">
        <f t="shared" si="2"/>
        <v>0</v>
      </c>
      <c r="AA31" s="104"/>
      <c r="AB31" s="52"/>
      <c r="AC31" s="82"/>
    </row>
    <row r="32" spans="1:29" ht="14.25" hidden="1" outlineLevel="1" thickTop="1" thickBot="1" x14ac:dyDescent="0.25">
      <c r="A32" s="3" t="s">
        <v>13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1">
        <f t="shared" si="2"/>
        <v>0</v>
      </c>
      <c r="AA32" s="100"/>
      <c r="AB32" s="52"/>
      <c r="AC32" s="82"/>
    </row>
    <row r="33" spans="1:29" ht="14.25" collapsed="1" thickTop="1" thickBot="1" x14ac:dyDescent="0.25">
      <c r="A33" s="3" t="s">
        <v>35</v>
      </c>
      <c r="B33" s="90">
        <f>120*0.9</f>
        <v>108</v>
      </c>
      <c r="C33" s="90"/>
      <c r="D33" s="90">
        <f>120*0.95</f>
        <v>114</v>
      </c>
      <c r="E33" s="90"/>
      <c r="F33" s="90">
        <v>120</v>
      </c>
      <c r="G33" s="90"/>
      <c r="H33" s="90">
        <f>120*1.05</f>
        <v>126</v>
      </c>
      <c r="I33" s="90"/>
      <c r="J33" s="90">
        <f>120*1.05</f>
        <v>126</v>
      </c>
      <c r="K33" s="90"/>
      <c r="L33" s="90">
        <f>120*0.9</f>
        <v>108</v>
      </c>
      <c r="M33" s="90"/>
      <c r="N33" s="90">
        <f>120*0.9</f>
        <v>108</v>
      </c>
      <c r="O33" s="90"/>
      <c r="P33" s="90">
        <f>120*0.95</f>
        <v>114</v>
      </c>
      <c r="Q33" s="90"/>
      <c r="R33" s="90">
        <f>120*1.05</f>
        <v>126</v>
      </c>
      <c r="S33" s="90"/>
      <c r="T33" s="90">
        <f>120*1.05</f>
        <v>126</v>
      </c>
      <c r="U33" s="90"/>
      <c r="V33" s="90">
        <f>120*1.1</f>
        <v>132</v>
      </c>
      <c r="W33" s="90"/>
      <c r="X33" s="90">
        <f>120*1.1</f>
        <v>132</v>
      </c>
      <c r="Y33" s="90"/>
      <c r="Z33" s="91">
        <f t="shared" si="2"/>
        <v>1440</v>
      </c>
      <c r="AA33" s="103"/>
      <c r="AB33" s="52">
        <f t="shared" si="1"/>
        <v>-1440</v>
      </c>
      <c r="AC33" s="82">
        <f>+(C33+E33+G33+I33+K33+M33+O33+Q33+S33+U33+W33+Y33)/(B33+D33+F33+H33+J33+L33+N33+P33+R33+T47+V33+X33)</f>
        <v>0</v>
      </c>
    </row>
    <row r="34" spans="1:29" ht="14.25" hidden="1" outlineLevel="1" thickTop="1" thickBot="1" x14ac:dyDescent="0.25">
      <c r="A34" s="3" t="s">
        <v>10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1"/>
      <c r="AA34" s="104"/>
      <c r="AB34" s="52"/>
      <c r="AC34" s="82"/>
    </row>
    <row r="35" spans="1:29" ht="14.25" hidden="1" outlineLevel="1" thickTop="1" thickBot="1" x14ac:dyDescent="0.25">
      <c r="A35" s="3" t="s">
        <v>11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1"/>
      <c r="AA35" s="104"/>
      <c r="AB35" s="52"/>
      <c r="AC35" s="82"/>
    </row>
    <row r="36" spans="1:29" ht="14.25" hidden="1" outlineLevel="1" thickTop="1" thickBot="1" x14ac:dyDescent="0.25">
      <c r="A36" s="3" t="s">
        <v>12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1">
        <f t="shared" si="2"/>
        <v>0</v>
      </c>
      <c r="AA36" s="100"/>
      <c r="AB36" s="52"/>
      <c r="AC36" s="82"/>
    </row>
    <row r="37" spans="1:29" ht="14.25" hidden="1" outlineLevel="1" thickTop="1" thickBot="1" x14ac:dyDescent="0.25">
      <c r="A37" s="3" t="s">
        <v>13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1">
        <f t="shared" si="2"/>
        <v>0</v>
      </c>
      <c r="AA37" s="100"/>
      <c r="AB37" s="52"/>
      <c r="AC37" s="82"/>
    </row>
    <row r="38" spans="1:29" ht="14.25" collapsed="1" thickTop="1" thickBot="1" x14ac:dyDescent="0.25">
      <c r="A38" s="101" t="s">
        <v>36</v>
      </c>
      <c r="B38" s="102">
        <f>91.4166666666667*0.9</f>
        <v>82.275000000000034</v>
      </c>
      <c r="C38" s="102"/>
      <c r="D38" s="102">
        <f>91.4166666666667*0.95</f>
        <v>86.84583333333336</v>
      </c>
      <c r="E38" s="102"/>
      <c r="F38" s="102">
        <v>91.416666666666671</v>
      </c>
      <c r="G38" s="102"/>
      <c r="H38" s="102">
        <f>91.4166666666667*1.05</f>
        <v>95.98750000000004</v>
      </c>
      <c r="I38" s="102"/>
      <c r="J38" s="102">
        <f>91.4166666666667*1.05</f>
        <v>95.98750000000004</v>
      </c>
      <c r="K38" s="102"/>
      <c r="L38" s="102">
        <f>91.4166666666667*0.9</f>
        <v>82.275000000000034</v>
      </c>
      <c r="M38" s="102"/>
      <c r="N38" s="102">
        <f>91.4166666666667*0.9</f>
        <v>82.275000000000034</v>
      </c>
      <c r="O38" s="102"/>
      <c r="P38" s="102">
        <f>91.4166666666667*0.95</f>
        <v>86.84583333333336</v>
      </c>
      <c r="Q38" s="102"/>
      <c r="R38" s="102">
        <f>91.4166666666667*1.05</f>
        <v>95.98750000000004</v>
      </c>
      <c r="S38" s="102"/>
      <c r="T38" s="102">
        <f>91.4166666666667*1.05</f>
        <v>95.98750000000004</v>
      </c>
      <c r="U38" s="102"/>
      <c r="V38" s="102">
        <f>91.4166666666667*1.1</f>
        <v>100.55833333333338</v>
      </c>
      <c r="W38" s="102"/>
      <c r="X38" s="102">
        <f>91.4166666666667*1.1</f>
        <v>100.55833333333338</v>
      </c>
      <c r="Y38" s="90"/>
      <c r="Z38" s="91">
        <f t="shared" si="2"/>
        <v>1097.0000000000005</v>
      </c>
      <c r="AA38" s="103"/>
      <c r="AB38" s="52">
        <f t="shared" si="1"/>
        <v>-1097.0000000000005</v>
      </c>
      <c r="AC38" s="82">
        <f>+(C38+E38+G38+I38+K38+M38+O38+Q38+S38+U38+W38+Y38)/(B38+D38+F38+H38+J38+L38+N38+P38+R38+T52+V38+X38)</f>
        <v>0</v>
      </c>
    </row>
    <row r="39" spans="1:29" ht="14.25" hidden="1" outlineLevel="1" thickTop="1" thickBot="1" x14ac:dyDescent="0.25">
      <c r="A39" s="3" t="s">
        <v>10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1"/>
      <c r="AA39" s="104"/>
      <c r="AB39" s="52"/>
      <c r="AC39" s="82"/>
    </row>
    <row r="40" spans="1:29" ht="14.25" hidden="1" outlineLevel="1" thickTop="1" thickBot="1" x14ac:dyDescent="0.25">
      <c r="A40" s="3" t="s">
        <v>11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1"/>
      <c r="AA40" s="104"/>
      <c r="AB40" s="52"/>
      <c r="AC40" s="82"/>
    </row>
    <row r="41" spans="1:29" ht="14.25" hidden="1" outlineLevel="1" thickTop="1" thickBot="1" x14ac:dyDescent="0.25">
      <c r="A41" s="3" t="s">
        <v>12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1">
        <f t="shared" si="2"/>
        <v>0</v>
      </c>
      <c r="AA41" s="100"/>
      <c r="AB41" s="52"/>
      <c r="AC41" s="82"/>
    </row>
    <row r="42" spans="1:29" ht="14.25" hidden="1" outlineLevel="1" thickTop="1" thickBot="1" x14ac:dyDescent="0.25">
      <c r="A42" s="3" t="s">
        <v>13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1">
        <f t="shared" si="2"/>
        <v>0</v>
      </c>
      <c r="AA42" s="100"/>
      <c r="AB42" s="52"/>
      <c r="AC42" s="82"/>
    </row>
    <row r="43" spans="1:29" ht="14.25" collapsed="1" thickTop="1" thickBot="1" x14ac:dyDescent="0.25">
      <c r="A43" s="3" t="s">
        <v>33</v>
      </c>
      <c r="B43" s="90">
        <f>48*0.9</f>
        <v>43.2</v>
      </c>
      <c r="C43" s="90"/>
      <c r="D43" s="90">
        <f>48*0.95</f>
        <v>45.599999999999994</v>
      </c>
      <c r="E43" s="90">
        <v>48</v>
      </c>
      <c r="F43" s="90">
        <v>48</v>
      </c>
      <c r="G43" s="90">
        <v>48</v>
      </c>
      <c r="H43" s="90">
        <f>48*1.05</f>
        <v>50.400000000000006</v>
      </c>
      <c r="I43" s="90"/>
      <c r="J43" s="90">
        <f>48*1.05</f>
        <v>50.400000000000006</v>
      </c>
      <c r="K43" s="90"/>
      <c r="L43" s="90">
        <f>48*0.9</f>
        <v>43.2</v>
      </c>
      <c r="M43" s="90"/>
      <c r="N43" s="90">
        <f>48*0.9</f>
        <v>43.2</v>
      </c>
      <c r="O43" s="90"/>
      <c r="P43" s="90">
        <f>48*0.95</f>
        <v>45.599999999999994</v>
      </c>
      <c r="Q43" s="90"/>
      <c r="R43" s="90">
        <f>48*1.05</f>
        <v>50.400000000000006</v>
      </c>
      <c r="S43" s="90"/>
      <c r="T43" s="90">
        <f>48*1.05</f>
        <v>50.400000000000006</v>
      </c>
      <c r="U43" s="90"/>
      <c r="V43" s="90">
        <f>48*1.1</f>
        <v>52.800000000000004</v>
      </c>
      <c r="W43" s="90"/>
      <c r="X43" s="90">
        <f>48*1.1</f>
        <v>52.800000000000004</v>
      </c>
      <c r="Y43" s="90"/>
      <c r="Z43" s="91">
        <f t="shared" si="2"/>
        <v>576</v>
      </c>
      <c r="AA43" s="103"/>
      <c r="AB43" s="52">
        <f t="shared" si="1"/>
        <v>-480</v>
      </c>
      <c r="AC43" s="82">
        <f>+(C43+E43+G43+I43+K43+M43+O43+Q43+S43+U43+W43+Y43)/(B43+D43+F43+H43+J43+L43+N43+P43+R43+T55+V43+X43)</f>
        <v>0.18264840182648401</v>
      </c>
    </row>
    <row r="44" spans="1:29" ht="14.25" hidden="1" outlineLevel="1" thickTop="1" thickBot="1" x14ac:dyDescent="0.25">
      <c r="A44" s="3" t="s">
        <v>10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1"/>
      <c r="AA44" s="104"/>
      <c r="AB44" s="52"/>
      <c r="AC44" s="82"/>
    </row>
    <row r="45" spans="1:29" ht="14.25" hidden="1" outlineLevel="1" thickTop="1" thickBot="1" x14ac:dyDescent="0.25">
      <c r="A45" s="3" t="s">
        <v>11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1"/>
      <c r="AA45" s="104"/>
      <c r="AB45" s="52"/>
      <c r="AC45" s="82"/>
    </row>
    <row r="46" spans="1:29" ht="14.25" hidden="1" outlineLevel="1" thickTop="1" thickBot="1" x14ac:dyDescent="0.25">
      <c r="A46" s="3" t="s">
        <v>12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1">
        <f t="shared" si="2"/>
        <v>0</v>
      </c>
      <c r="AA46" s="100"/>
      <c r="AB46" s="52"/>
      <c r="AC46" s="82"/>
    </row>
    <row r="47" spans="1:29" ht="14.25" hidden="1" outlineLevel="1" thickTop="1" thickBot="1" x14ac:dyDescent="0.25">
      <c r="A47" s="3" t="s">
        <v>13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>
        <f t="shared" si="2"/>
        <v>0</v>
      </c>
      <c r="AA47" s="100"/>
      <c r="AB47" s="52"/>
      <c r="AC47" s="82"/>
    </row>
    <row r="48" spans="1:29" ht="14.25" collapsed="1" thickTop="1" thickBot="1" x14ac:dyDescent="0.25">
      <c r="A48" s="106" t="s">
        <v>39</v>
      </c>
      <c r="B48" s="102">
        <f>125.5*0.9</f>
        <v>112.95</v>
      </c>
      <c r="C48" s="102"/>
      <c r="D48" s="102">
        <f>125.5*0.95</f>
        <v>119.22499999999999</v>
      </c>
      <c r="E48" s="102"/>
      <c r="F48" s="102">
        <v>125.5</v>
      </c>
      <c r="G48" s="102"/>
      <c r="H48" s="102">
        <f>125.5*1.05</f>
        <v>131.77500000000001</v>
      </c>
      <c r="I48" s="102"/>
      <c r="J48" s="102">
        <f>125.5*1.05</f>
        <v>131.77500000000001</v>
      </c>
      <c r="K48" s="102"/>
      <c r="L48" s="102">
        <f>125.5*0.9</f>
        <v>112.95</v>
      </c>
      <c r="M48" s="102"/>
      <c r="N48" s="102">
        <f>125.5*0.9</f>
        <v>112.95</v>
      </c>
      <c r="O48" s="102"/>
      <c r="P48" s="102">
        <f>125.5*0.95</f>
        <v>119.22499999999999</v>
      </c>
      <c r="Q48" s="102"/>
      <c r="R48" s="102">
        <f>125.5*1.05</f>
        <v>131.77500000000001</v>
      </c>
      <c r="S48" s="102"/>
      <c r="T48" s="102">
        <f>125.5*1.05</f>
        <v>131.77500000000001</v>
      </c>
      <c r="U48" s="102"/>
      <c r="V48" s="102">
        <f>125.5*1.1</f>
        <v>138.05000000000001</v>
      </c>
      <c r="W48" s="102"/>
      <c r="X48" s="102">
        <f>125.5*1.1</f>
        <v>138.05000000000001</v>
      </c>
      <c r="Y48" s="90"/>
      <c r="Z48" s="91">
        <f t="shared" si="2"/>
        <v>1506</v>
      </c>
      <c r="AA48" s="103"/>
      <c r="AB48" s="52">
        <f t="shared" si="1"/>
        <v>-1506.0000000000002</v>
      </c>
      <c r="AC48" s="82"/>
    </row>
    <row r="49" spans="1:29" ht="14.25" hidden="1" outlineLevel="1" thickTop="1" thickBot="1" x14ac:dyDescent="0.25">
      <c r="A49" s="3" t="s">
        <v>10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1"/>
      <c r="AA49" s="104"/>
      <c r="AB49" s="52"/>
      <c r="AC49" s="82"/>
    </row>
    <row r="50" spans="1:29" ht="14.25" hidden="1" outlineLevel="1" thickTop="1" thickBot="1" x14ac:dyDescent="0.25">
      <c r="A50" s="3" t="s">
        <v>11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1"/>
      <c r="AA50" s="104"/>
      <c r="AB50" s="52"/>
      <c r="AC50" s="82"/>
    </row>
    <row r="51" spans="1:29" ht="14.25" hidden="1" outlineLevel="1" thickTop="1" thickBot="1" x14ac:dyDescent="0.25">
      <c r="A51" s="3" t="s">
        <v>12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1"/>
      <c r="AA51" s="100"/>
      <c r="AB51" s="52"/>
      <c r="AC51" s="82"/>
    </row>
    <row r="52" spans="1:29" ht="14.25" hidden="1" outlineLevel="1" thickTop="1" thickBot="1" x14ac:dyDescent="0.25">
      <c r="A52" s="3" t="s">
        <v>13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1"/>
      <c r="AA52" s="100"/>
      <c r="AB52" s="52"/>
      <c r="AC52" s="82"/>
    </row>
    <row r="53" spans="1:29" ht="14.25" collapsed="1" thickTop="1" thickBot="1" x14ac:dyDescent="0.25">
      <c r="A53" s="3" t="s">
        <v>34</v>
      </c>
      <c r="B53" s="90">
        <f>120*0.9</f>
        <v>108</v>
      </c>
      <c r="C53" s="90"/>
      <c r="D53" s="90">
        <f>120*0.95</f>
        <v>114</v>
      </c>
      <c r="E53" s="90"/>
      <c r="F53" s="90">
        <v>120</v>
      </c>
      <c r="G53" s="90"/>
      <c r="H53" s="90">
        <f>120*1.05</f>
        <v>126</v>
      </c>
      <c r="I53" s="90"/>
      <c r="J53" s="90">
        <f>120*1.05</f>
        <v>126</v>
      </c>
      <c r="K53" s="90"/>
      <c r="L53" s="90">
        <f>120*0.9</f>
        <v>108</v>
      </c>
      <c r="M53" s="90"/>
      <c r="N53" s="90">
        <f>120*0.9</f>
        <v>108</v>
      </c>
      <c r="O53" s="90"/>
      <c r="P53" s="90">
        <f>120*0.95</f>
        <v>114</v>
      </c>
      <c r="Q53" s="90"/>
      <c r="R53" s="90">
        <f>120*1.05</f>
        <v>126</v>
      </c>
      <c r="S53" s="90"/>
      <c r="T53" s="90">
        <f>120*1.05</f>
        <v>126</v>
      </c>
      <c r="U53" s="90"/>
      <c r="V53" s="90">
        <f>120*1.1</f>
        <v>132</v>
      </c>
      <c r="W53" s="90"/>
      <c r="X53" s="90">
        <f>120*1.1</f>
        <v>132</v>
      </c>
      <c r="Y53" s="90"/>
      <c r="Z53" s="91">
        <f t="shared" ref="Z53" si="3">SUM(X53,V53,T53,R53,P53,N53,L53,J53,H53,F53,D53,B53)</f>
        <v>1440</v>
      </c>
      <c r="AA53" s="107"/>
      <c r="AB53" s="52">
        <f t="shared" si="1"/>
        <v>-1440</v>
      </c>
      <c r="AC53" s="82"/>
    </row>
    <row r="54" spans="1:29" ht="14.25" hidden="1" outlineLevel="1" thickTop="1" thickBot="1" x14ac:dyDescent="0.25">
      <c r="A54" s="3" t="s">
        <v>10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1">
        <f>+SUM(B54:X54)</f>
        <v>0</v>
      </c>
      <c r="AA54" s="104"/>
      <c r="AB54" s="52"/>
      <c r="AC54" s="82"/>
    </row>
    <row r="55" spans="1:29" ht="14.25" hidden="1" outlineLevel="1" thickTop="1" thickBot="1" x14ac:dyDescent="0.25">
      <c r="A55" s="3" t="s">
        <v>11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1">
        <f>+SUM(B55:X55)</f>
        <v>0</v>
      </c>
      <c r="AA55" s="104"/>
      <c r="AB55" s="52"/>
      <c r="AC55" s="82"/>
    </row>
    <row r="56" spans="1:29" ht="14.25" hidden="1" outlineLevel="1" thickTop="1" thickBot="1" x14ac:dyDescent="0.25">
      <c r="A56" s="3" t="s">
        <v>12</v>
      </c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1"/>
      <c r="AA56" s="100"/>
      <c r="AB56" s="52"/>
      <c r="AC56" s="82"/>
    </row>
    <row r="57" spans="1:29" ht="14.25" hidden="1" outlineLevel="1" thickTop="1" thickBot="1" x14ac:dyDescent="0.25">
      <c r="A57" s="3" t="s">
        <v>13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1"/>
      <c r="AA57" s="100"/>
      <c r="AB57" s="52"/>
      <c r="AC57" s="82"/>
    </row>
    <row r="58" spans="1:29" ht="14.25" collapsed="1" thickTop="1" thickBot="1" x14ac:dyDescent="0.25">
      <c r="A58" s="101" t="s">
        <v>31</v>
      </c>
      <c r="B58" s="102">
        <f>96*0.9</f>
        <v>86.4</v>
      </c>
      <c r="C58" s="102"/>
      <c r="D58" s="102">
        <f>96*0.95</f>
        <v>91.199999999999989</v>
      </c>
      <c r="E58" s="102"/>
      <c r="F58" s="102">
        <v>96</v>
      </c>
      <c r="G58" s="102"/>
      <c r="H58" s="102">
        <f>96*1.05</f>
        <v>100.80000000000001</v>
      </c>
      <c r="I58" s="102"/>
      <c r="J58" s="102">
        <f>96*1.05</f>
        <v>100.80000000000001</v>
      </c>
      <c r="K58" s="102"/>
      <c r="L58" s="102">
        <f>96*0.9</f>
        <v>86.4</v>
      </c>
      <c r="M58" s="102"/>
      <c r="N58" s="102">
        <f>96*0.9</f>
        <v>86.4</v>
      </c>
      <c r="O58" s="102"/>
      <c r="P58" s="102">
        <f>96*0.95</f>
        <v>91.199999999999989</v>
      </c>
      <c r="Q58" s="102"/>
      <c r="R58" s="102">
        <f>96*1.05</f>
        <v>100.80000000000001</v>
      </c>
      <c r="S58" s="102"/>
      <c r="T58" s="102">
        <f>96*1.05</f>
        <v>100.80000000000001</v>
      </c>
      <c r="U58" s="102"/>
      <c r="V58" s="102">
        <f>96*1.1</f>
        <v>105.60000000000001</v>
      </c>
      <c r="W58" s="102"/>
      <c r="X58" s="102">
        <f>96*1.1</f>
        <v>105.60000000000001</v>
      </c>
      <c r="Y58" s="90"/>
      <c r="Z58" s="91">
        <f t="shared" ref="Z58:Z83" si="4">SUM(X58,V58,T58,R58,P58,N58,L58,J58,H58,F58,D58,B58)</f>
        <v>1152</v>
      </c>
      <c r="AA58" s="107"/>
      <c r="AB58" s="52">
        <f t="shared" ref="AB58:AB83" si="5">+C58+E58+G58+I58+K58+M58+O58+Q58+S58+U58+W58+Y58-B58-D58-F58-H58-J58-L58-N58-P58-R58-T58-V58-X58</f>
        <v>-1151.9999999999998</v>
      </c>
      <c r="AC58" s="82"/>
    </row>
    <row r="59" spans="1:29" ht="14.25" hidden="1" outlineLevel="1" thickTop="1" thickBot="1" x14ac:dyDescent="0.25">
      <c r="A59" s="3" t="s">
        <v>10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1">
        <f t="shared" si="4"/>
        <v>0</v>
      </c>
      <c r="AA59" s="107"/>
      <c r="AB59" s="52">
        <f t="shared" si="5"/>
        <v>0</v>
      </c>
      <c r="AC59" s="82"/>
    </row>
    <row r="60" spans="1:29" ht="14.25" hidden="1" outlineLevel="1" thickTop="1" thickBot="1" x14ac:dyDescent="0.25">
      <c r="A60" s="3" t="s">
        <v>11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>
        <f t="shared" si="4"/>
        <v>0</v>
      </c>
      <c r="AA60" s="107"/>
      <c r="AB60" s="52">
        <f t="shared" si="5"/>
        <v>0</v>
      </c>
      <c r="AC60" s="82"/>
    </row>
    <row r="61" spans="1:29" ht="14.25" hidden="1" outlineLevel="1" thickTop="1" thickBot="1" x14ac:dyDescent="0.25">
      <c r="A61" s="3" t="s">
        <v>12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1">
        <f t="shared" si="4"/>
        <v>0</v>
      </c>
      <c r="AA61" s="107"/>
      <c r="AB61" s="52">
        <f t="shared" si="5"/>
        <v>0</v>
      </c>
      <c r="AC61" s="82"/>
    </row>
    <row r="62" spans="1:29" ht="14.25" hidden="1" outlineLevel="1" thickTop="1" thickBot="1" x14ac:dyDescent="0.25">
      <c r="A62" s="3" t="s">
        <v>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1">
        <f t="shared" si="4"/>
        <v>0</v>
      </c>
      <c r="AA62" s="107"/>
      <c r="AB62" s="52">
        <f t="shared" si="5"/>
        <v>0</v>
      </c>
      <c r="AC62" s="82"/>
    </row>
    <row r="63" spans="1:29" ht="14.25" collapsed="1" thickTop="1" thickBot="1" x14ac:dyDescent="0.25">
      <c r="A63" s="3" t="s">
        <v>41</v>
      </c>
      <c r="B63" s="90">
        <f>60*0.9</f>
        <v>54</v>
      </c>
      <c r="C63" s="90"/>
      <c r="D63" s="90">
        <f>60*0.95</f>
        <v>57</v>
      </c>
      <c r="E63" s="90"/>
      <c r="F63" s="90">
        <v>60</v>
      </c>
      <c r="G63" s="90"/>
      <c r="H63" s="90">
        <f>60*1.05</f>
        <v>63</v>
      </c>
      <c r="I63" s="90"/>
      <c r="J63" s="90">
        <f>60*1.05</f>
        <v>63</v>
      </c>
      <c r="K63" s="90"/>
      <c r="L63" s="90">
        <f>60*0.9</f>
        <v>54</v>
      </c>
      <c r="M63" s="90"/>
      <c r="N63" s="90">
        <f>60*0.9</f>
        <v>54</v>
      </c>
      <c r="O63" s="90"/>
      <c r="P63" s="90">
        <f>60*0.95</f>
        <v>57</v>
      </c>
      <c r="Q63" s="90"/>
      <c r="R63" s="90">
        <f>60*1.05</f>
        <v>63</v>
      </c>
      <c r="S63" s="90"/>
      <c r="T63" s="90">
        <f>60*1.05</f>
        <v>63</v>
      </c>
      <c r="U63" s="90"/>
      <c r="V63" s="90">
        <f>60*1.1</f>
        <v>66</v>
      </c>
      <c r="W63" s="90"/>
      <c r="X63" s="90">
        <f>60*1.1</f>
        <v>66</v>
      </c>
      <c r="Y63" s="90"/>
      <c r="Z63" s="91">
        <f t="shared" si="4"/>
        <v>720</v>
      </c>
      <c r="AA63" s="107"/>
      <c r="AB63" s="52">
        <f t="shared" si="5"/>
        <v>-720</v>
      </c>
      <c r="AC63" s="82"/>
    </row>
    <row r="64" spans="1:29" ht="14.25" hidden="1" outlineLevel="1" thickTop="1" thickBot="1" x14ac:dyDescent="0.25">
      <c r="A64" s="3" t="s">
        <v>10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1">
        <f t="shared" si="4"/>
        <v>0</v>
      </c>
      <c r="AA64" s="107"/>
      <c r="AB64" s="52">
        <f t="shared" si="5"/>
        <v>0</v>
      </c>
      <c r="AC64" s="82"/>
    </row>
    <row r="65" spans="1:29" ht="14.25" hidden="1" outlineLevel="1" thickTop="1" thickBot="1" x14ac:dyDescent="0.25">
      <c r="A65" s="3" t="s">
        <v>11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1">
        <f t="shared" si="4"/>
        <v>0</v>
      </c>
      <c r="AA65" s="107"/>
      <c r="AB65" s="52">
        <f t="shared" si="5"/>
        <v>0</v>
      </c>
      <c r="AC65" s="82"/>
    </row>
    <row r="66" spans="1:29" ht="14.25" hidden="1" outlineLevel="1" thickTop="1" thickBot="1" x14ac:dyDescent="0.25">
      <c r="A66" s="3" t="s">
        <v>12</v>
      </c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1">
        <f t="shared" si="4"/>
        <v>0</v>
      </c>
      <c r="AA66" s="107"/>
      <c r="AB66" s="52">
        <f t="shared" si="5"/>
        <v>0</v>
      </c>
      <c r="AC66" s="82"/>
    </row>
    <row r="67" spans="1:29" ht="14.25" hidden="1" outlineLevel="1" thickTop="1" thickBot="1" x14ac:dyDescent="0.25">
      <c r="A67" s="3" t="s">
        <v>13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1">
        <f t="shared" si="4"/>
        <v>0</v>
      </c>
      <c r="AA67" s="107"/>
      <c r="AB67" s="52">
        <f t="shared" si="5"/>
        <v>0</v>
      </c>
      <c r="AC67" s="82"/>
    </row>
    <row r="68" spans="1:29" ht="14.25" collapsed="1" thickTop="1" thickBot="1" x14ac:dyDescent="0.25">
      <c r="A68" s="101" t="s">
        <v>32</v>
      </c>
      <c r="B68" s="102">
        <f>60*0.9</f>
        <v>54</v>
      </c>
      <c r="C68" s="102"/>
      <c r="D68" s="102">
        <f>60*0.95</f>
        <v>57</v>
      </c>
      <c r="E68" s="102"/>
      <c r="F68" s="102">
        <v>60</v>
      </c>
      <c r="G68" s="102"/>
      <c r="H68" s="102">
        <f>60*1.05</f>
        <v>63</v>
      </c>
      <c r="I68" s="102"/>
      <c r="J68" s="102">
        <f>60*1.05</f>
        <v>63</v>
      </c>
      <c r="K68" s="102"/>
      <c r="L68" s="102">
        <f>60*0.9</f>
        <v>54</v>
      </c>
      <c r="M68" s="102"/>
      <c r="N68" s="102">
        <f>60*0.9</f>
        <v>54</v>
      </c>
      <c r="O68" s="102"/>
      <c r="P68" s="102">
        <f>60*0.95</f>
        <v>57</v>
      </c>
      <c r="Q68" s="102"/>
      <c r="R68" s="102">
        <f>60*1.05</f>
        <v>63</v>
      </c>
      <c r="S68" s="102"/>
      <c r="T68" s="102">
        <f>60*1.05</f>
        <v>63</v>
      </c>
      <c r="U68" s="102"/>
      <c r="V68" s="102">
        <f>60*1.1</f>
        <v>66</v>
      </c>
      <c r="W68" s="102"/>
      <c r="X68" s="102">
        <f>60*1.1</f>
        <v>66</v>
      </c>
      <c r="Y68" s="90"/>
      <c r="Z68" s="91">
        <f t="shared" si="4"/>
        <v>720</v>
      </c>
      <c r="AA68" s="107"/>
      <c r="AB68" s="52">
        <f t="shared" si="5"/>
        <v>-720</v>
      </c>
      <c r="AC68" s="82"/>
    </row>
    <row r="69" spans="1:29" ht="14.25" hidden="1" outlineLevel="1" thickTop="1" thickBot="1" x14ac:dyDescent="0.25">
      <c r="A69" s="3" t="s">
        <v>10</v>
      </c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1">
        <f t="shared" si="4"/>
        <v>0</v>
      </c>
      <c r="AA69" s="107"/>
      <c r="AB69" s="52">
        <f t="shared" si="5"/>
        <v>0</v>
      </c>
      <c r="AC69" s="82"/>
    </row>
    <row r="70" spans="1:29" ht="14.25" hidden="1" outlineLevel="1" thickTop="1" thickBot="1" x14ac:dyDescent="0.25">
      <c r="A70" s="3" t="s">
        <v>11</v>
      </c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1">
        <f t="shared" si="4"/>
        <v>0</v>
      </c>
      <c r="AA70" s="107"/>
      <c r="AB70" s="52">
        <f t="shared" si="5"/>
        <v>0</v>
      </c>
      <c r="AC70" s="82"/>
    </row>
    <row r="71" spans="1:29" ht="14.25" hidden="1" outlineLevel="1" thickTop="1" thickBot="1" x14ac:dyDescent="0.25">
      <c r="A71" s="3" t="s">
        <v>12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1">
        <f t="shared" si="4"/>
        <v>0</v>
      </c>
      <c r="AA71" s="107"/>
      <c r="AB71" s="52">
        <f t="shared" si="5"/>
        <v>0</v>
      </c>
      <c r="AC71" s="82"/>
    </row>
    <row r="72" spans="1:29" ht="14.25" hidden="1" outlineLevel="1" thickTop="1" thickBot="1" x14ac:dyDescent="0.25">
      <c r="A72" s="3" t="s">
        <v>13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1">
        <f t="shared" si="4"/>
        <v>0</v>
      </c>
      <c r="AA72" s="107"/>
      <c r="AB72" s="52">
        <f t="shared" si="5"/>
        <v>0</v>
      </c>
      <c r="AC72" s="82"/>
    </row>
    <row r="73" spans="1:29" ht="14.25" collapsed="1" thickTop="1" thickBot="1" x14ac:dyDescent="0.25">
      <c r="A73" s="3" t="s">
        <v>27</v>
      </c>
      <c r="B73" s="90">
        <f>144*0.9</f>
        <v>129.6</v>
      </c>
      <c r="C73" s="90"/>
      <c r="D73" s="90">
        <f>144*0.95</f>
        <v>136.79999999999998</v>
      </c>
      <c r="E73" s="90"/>
      <c r="F73" s="90">
        <v>144</v>
      </c>
      <c r="G73" s="90"/>
      <c r="H73" s="90">
        <f>144*1.05</f>
        <v>151.20000000000002</v>
      </c>
      <c r="I73" s="90"/>
      <c r="J73" s="90">
        <f>144*1.05</f>
        <v>151.20000000000002</v>
      </c>
      <c r="K73" s="90"/>
      <c r="L73" s="90">
        <f>144*0.9</f>
        <v>129.6</v>
      </c>
      <c r="M73" s="90"/>
      <c r="N73" s="90">
        <f>144*0.9</f>
        <v>129.6</v>
      </c>
      <c r="O73" s="90"/>
      <c r="P73" s="90">
        <f>144*0.95</f>
        <v>136.79999999999998</v>
      </c>
      <c r="Q73" s="90"/>
      <c r="R73" s="90">
        <f>144*1.05</f>
        <v>151.20000000000002</v>
      </c>
      <c r="S73" s="90"/>
      <c r="T73" s="90">
        <f>144*1.05</f>
        <v>151.20000000000002</v>
      </c>
      <c r="U73" s="90"/>
      <c r="V73" s="90">
        <f>144*1.1</f>
        <v>158.4</v>
      </c>
      <c r="W73" s="90"/>
      <c r="X73" s="90">
        <f>144*1.1</f>
        <v>158.4</v>
      </c>
      <c r="Y73" s="90"/>
      <c r="Z73" s="91">
        <f t="shared" si="4"/>
        <v>1728</v>
      </c>
      <c r="AA73" s="107"/>
      <c r="AB73" s="52">
        <f t="shared" si="5"/>
        <v>-1728.0000000000005</v>
      </c>
      <c r="AC73" s="82"/>
    </row>
    <row r="74" spans="1:29" ht="14.25" hidden="1" outlineLevel="1" thickTop="1" thickBot="1" x14ac:dyDescent="0.25">
      <c r="A74" s="3" t="s">
        <v>10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1">
        <f t="shared" si="4"/>
        <v>0</v>
      </c>
      <c r="AA74" s="107"/>
      <c r="AB74" s="52">
        <f t="shared" si="5"/>
        <v>0</v>
      </c>
      <c r="AC74" s="82"/>
    </row>
    <row r="75" spans="1:29" ht="14.25" hidden="1" outlineLevel="1" thickTop="1" thickBot="1" x14ac:dyDescent="0.25">
      <c r="A75" s="3" t="s">
        <v>11</v>
      </c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1">
        <f t="shared" si="4"/>
        <v>0</v>
      </c>
      <c r="AA75" s="107"/>
      <c r="AB75" s="52">
        <f t="shared" si="5"/>
        <v>0</v>
      </c>
      <c r="AC75" s="82"/>
    </row>
    <row r="76" spans="1:29" ht="14.25" hidden="1" outlineLevel="1" thickTop="1" thickBot="1" x14ac:dyDescent="0.25">
      <c r="A76" s="3" t="s">
        <v>12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1">
        <f t="shared" si="4"/>
        <v>0</v>
      </c>
      <c r="AA76" s="107"/>
      <c r="AB76" s="52">
        <f t="shared" si="5"/>
        <v>0</v>
      </c>
      <c r="AC76" s="82"/>
    </row>
    <row r="77" spans="1:29" ht="14.25" hidden="1" outlineLevel="1" thickTop="1" thickBot="1" x14ac:dyDescent="0.25">
      <c r="A77" s="3" t="s">
        <v>13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1">
        <f t="shared" si="4"/>
        <v>0</v>
      </c>
      <c r="AA77" s="107"/>
      <c r="AB77" s="52">
        <f t="shared" si="5"/>
        <v>0</v>
      </c>
      <c r="AC77" s="82"/>
    </row>
    <row r="78" spans="1:29" ht="14.25" collapsed="1" thickTop="1" thickBot="1" x14ac:dyDescent="0.25">
      <c r="A78" s="101" t="s">
        <v>42</v>
      </c>
      <c r="B78" s="102">
        <f>72*0.9</f>
        <v>64.8</v>
      </c>
      <c r="C78" s="102"/>
      <c r="D78" s="102">
        <f>72*0.95</f>
        <v>68.399999999999991</v>
      </c>
      <c r="E78" s="102"/>
      <c r="F78" s="102">
        <v>72</v>
      </c>
      <c r="G78" s="102"/>
      <c r="H78" s="102">
        <f>72*1.05</f>
        <v>75.600000000000009</v>
      </c>
      <c r="I78" s="102"/>
      <c r="J78" s="102">
        <f>72*1.05</f>
        <v>75.600000000000009</v>
      </c>
      <c r="K78" s="102"/>
      <c r="L78" s="102">
        <f>72*0.9</f>
        <v>64.8</v>
      </c>
      <c r="M78" s="102"/>
      <c r="N78" s="102">
        <f>72*0.9</f>
        <v>64.8</v>
      </c>
      <c r="O78" s="102"/>
      <c r="P78" s="102">
        <f>72*0.95</f>
        <v>68.399999999999991</v>
      </c>
      <c r="Q78" s="102"/>
      <c r="R78" s="102">
        <f>72*1.05</f>
        <v>75.600000000000009</v>
      </c>
      <c r="S78" s="102"/>
      <c r="T78" s="102">
        <f>72*1.05</f>
        <v>75.600000000000009</v>
      </c>
      <c r="U78" s="102"/>
      <c r="V78" s="102">
        <f>72*1.1</f>
        <v>79.2</v>
      </c>
      <c r="W78" s="102"/>
      <c r="X78" s="102">
        <f>72*1.1</f>
        <v>79.2</v>
      </c>
      <c r="Y78" s="90"/>
      <c r="Z78" s="91">
        <f t="shared" si="4"/>
        <v>864</v>
      </c>
      <c r="AA78" s="107"/>
      <c r="AB78" s="52">
        <f t="shared" si="5"/>
        <v>-864.00000000000023</v>
      </c>
      <c r="AC78" s="82"/>
    </row>
    <row r="79" spans="1:29" ht="14.25" hidden="1" outlineLevel="1" thickTop="1" thickBot="1" x14ac:dyDescent="0.25">
      <c r="A79" s="3" t="s">
        <v>10</v>
      </c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1">
        <f t="shared" si="4"/>
        <v>0</v>
      </c>
      <c r="AA79" s="107"/>
      <c r="AB79" s="52">
        <f t="shared" si="5"/>
        <v>0</v>
      </c>
      <c r="AC79" s="82"/>
    </row>
    <row r="80" spans="1:29" ht="14.25" hidden="1" outlineLevel="1" thickTop="1" thickBot="1" x14ac:dyDescent="0.25">
      <c r="A80" s="3" t="s">
        <v>11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1">
        <f t="shared" si="4"/>
        <v>0</v>
      </c>
      <c r="AA80" s="107"/>
      <c r="AB80" s="52">
        <f t="shared" si="5"/>
        <v>0</v>
      </c>
      <c r="AC80" s="82"/>
    </row>
    <row r="81" spans="1:29" ht="14.25" hidden="1" outlineLevel="1" thickTop="1" thickBot="1" x14ac:dyDescent="0.25">
      <c r="A81" s="3" t="s">
        <v>12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1">
        <f t="shared" si="4"/>
        <v>0</v>
      </c>
      <c r="AA81" s="107"/>
      <c r="AB81" s="52">
        <f t="shared" si="5"/>
        <v>0</v>
      </c>
      <c r="AC81" s="82"/>
    </row>
    <row r="82" spans="1:29" ht="14.25" hidden="1" outlineLevel="1" thickTop="1" thickBot="1" x14ac:dyDescent="0.25">
      <c r="A82" s="3" t="s">
        <v>13</v>
      </c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1">
        <f t="shared" si="4"/>
        <v>0</v>
      </c>
      <c r="AA82" s="107"/>
      <c r="AB82" s="52">
        <f t="shared" si="5"/>
        <v>0</v>
      </c>
      <c r="AC82" s="82"/>
    </row>
    <row r="83" spans="1:29" ht="14.25" collapsed="1" thickTop="1" thickBot="1" x14ac:dyDescent="0.25">
      <c r="A83" s="3" t="s">
        <v>26</v>
      </c>
      <c r="B83" s="90">
        <f>255*0.9</f>
        <v>229.5</v>
      </c>
      <c r="C83" s="90"/>
      <c r="D83" s="90">
        <f>255*0.95</f>
        <v>242.25</v>
      </c>
      <c r="E83" s="90"/>
      <c r="F83" s="90">
        <v>255</v>
      </c>
      <c r="G83" s="90"/>
      <c r="H83" s="90">
        <f>255*1.05</f>
        <v>267.75</v>
      </c>
      <c r="I83" s="90"/>
      <c r="J83" s="90">
        <f>255*1.05</f>
        <v>267.75</v>
      </c>
      <c r="K83" s="90"/>
      <c r="L83" s="90">
        <f>255*0.9</f>
        <v>229.5</v>
      </c>
      <c r="M83" s="90"/>
      <c r="N83" s="90">
        <f>255*0.9</f>
        <v>229.5</v>
      </c>
      <c r="O83" s="90"/>
      <c r="P83" s="90">
        <f>255*0.95</f>
        <v>242.25</v>
      </c>
      <c r="Q83" s="90"/>
      <c r="R83" s="90">
        <f>255*1.05</f>
        <v>267.75</v>
      </c>
      <c r="S83" s="90"/>
      <c r="T83" s="90">
        <f>255*1.05</f>
        <v>267.75</v>
      </c>
      <c r="U83" s="90"/>
      <c r="V83" s="90">
        <f>255*1.1</f>
        <v>280.5</v>
      </c>
      <c r="W83" s="90"/>
      <c r="X83" s="90">
        <f>255*1.1</f>
        <v>280.5</v>
      </c>
      <c r="Y83" s="90"/>
      <c r="Z83" s="91">
        <f t="shared" si="4"/>
        <v>3060</v>
      </c>
      <c r="AA83" s="107"/>
      <c r="AB83" s="52">
        <f t="shared" si="5"/>
        <v>-3060</v>
      </c>
      <c r="AC83" s="82"/>
    </row>
    <row r="84" spans="1:29" ht="14.25" hidden="1" outlineLevel="1" thickTop="1" thickBot="1" x14ac:dyDescent="0.25">
      <c r="A84" s="3" t="s">
        <v>10</v>
      </c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108"/>
      <c r="Z84" s="91"/>
      <c r="AA84" s="107"/>
      <c r="AB84" s="52"/>
      <c r="AC84" s="82"/>
    </row>
    <row r="85" spans="1:29" ht="14.25" hidden="1" outlineLevel="1" thickTop="1" thickBot="1" x14ac:dyDescent="0.25">
      <c r="A85" s="3" t="s">
        <v>11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108"/>
      <c r="Z85" s="91"/>
      <c r="AA85" s="107"/>
      <c r="AB85" s="52"/>
      <c r="AC85" s="82"/>
    </row>
    <row r="86" spans="1:29" ht="14.25" hidden="1" outlineLevel="1" thickTop="1" thickBot="1" x14ac:dyDescent="0.25">
      <c r="A86" s="3" t="s">
        <v>12</v>
      </c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108"/>
      <c r="Z86" s="91"/>
      <c r="AA86" s="107"/>
      <c r="AB86" s="52"/>
      <c r="AC86" s="82"/>
    </row>
    <row r="87" spans="1:29" ht="14.25" hidden="1" outlineLevel="1" thickTop="1" thickBot="1" x14ac:dyDescent="0.25">
      <c r="A87" s="3" t="s">
        <v>13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108"/>
      <c r="Z87" s="91"/>
      <c r="AA87" s="107"/>
      <c r="AB87" s="52"/>
      <c r="AC87" s="82">
        <f>+SUM(Y28,W28,U28,S28,Q28,O28,M28,K28,I28,G28,E28,C28)</f>
        <v>0</v>
      </c>
    </row>
    <row r="88" spans="1:29" ht="13.5" hidden="1" outlineLevel="1" thickTop="1" x14ac:dyDescent="0.2">
      <c r="A88" s="109"/>
      <c r="B88" s="110"/>
      <c r="C88" s="111"/>
      <c r="D88" s="110"/>
      <c r="E88" s="111"/>
      <c r="F88" s="110"/>
      <c r="G88" s="111"/>
      <c r="H88" s="110"/>
      <c r="I88" s="110"/>
      <c r="J88" s="110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0"/>
      <c r="X88" s="112"/>
      <c r="Y88" s="112"/>
      <c r="Z88" s="112"/>
      <c r="AA88" s="112"/>
      <c r="AB88" s="113"/>
      <c r="AC88" s="114"/>
    </row>
    <row r="89" spans="1:29" hidden="1" outlineLevel="1" x14ac:dyDescent="0.2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0"/>
      <c r="X89" s="112"/>
      <c r="Y89" s="112"/>
      <c r="Z89" s="112"/>
      <c r="AA89" s="112"/>
      <c r="AB89" s="113"/>
      <c r="AC89" s="114"/>
    </row>
    <row r="90" spans="1:29" hidden="1" outlineLevel="1" x14ac:dyDescent="0.2">
      <c r="A90" s="109"/>
      <c r="B90" s="110"/>
      <c r="C90" s="111"/>
      <c r="D90" s="110"/>
      <c r="E90" s="111"/>
      <c r="F90" s="110"/>
      <c r="G90" s="111"/>
      <c r="H90" s="110"/>
      <c r="I90" s="110"/>
      <c r="J90" s="110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0"/>
      <c r="X90" s="112"/>
      <c r="Y90" s="112"/>
      <c r="Z90" s="112"/>
      <c r="AA90" s="112"/>
      <c r="AB90" s="113"/>
      <c r="AC90" s="114"/>
    </row>
    <row r="91" spans="1:29" ht="13.5" outlineLevel="1" thickTop="1" x14ac:dyDescent="0.2">
      <c r="A91" s="109"/>
      <c r="B91" s="110"/>
      <c r="C91" s="111"/>
      <c r="D91" s="110"/>
      <c r="E91" s="111"/>
      <c r="F91" s="110"/>
      <c r="G91" s="111"/>
      <c r="H91" s="110"/>
      <c r="I91" s="110"/>
      <c r="J91" s="110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0"/>
      <c r="X91" s="112"/>
      <c r="Y91" s="112"/>
      <c r="Z91" s="112"/>
      <c r="AA91" s="112"/>
      <c r="AB91" s="113"/>
      <c r="AC91" s="114"/>
    </row>
    <row r="92" spans="1:29" x14ac:dyDescent="0.2">
      <c r="A92" s="39"/>
      <c r="B92" s="33" t="s">
        <v>0</v>
      </c>
      <c r="C92" s="34" t="s">
        <v>1</v>
      </c>
      <c r="D92" s="33" t="s">
        <v>0</v>
      </c>
      <c r="E92" s="34" t="s">
        <v>1</v>
      </c>
      <c r="F92" s="33" t="s">
        <v>0</v>
      </c>
      <c r="G92" s="34" t="s">
        <v>1</v>
      </c>
      <c r="H92" s="33" t="s">
        <v>0</v>
      </c>
      <c r="I92" s="34" t="s">
        <v>1</v>
      </c>
      <c r="J92" s="33" t="s">
        <v>0</v>
      </c>
      <c r="K92" s="34" t="s">
        <v>1</v>
      </c>
      <c r="L92" s="33" t="s">
        <v>0</v>
      </c>
      <c r="M92" s="34" t="s">
        <v>1</v>
      </c>
      <c r="N92" s="33" t="s">
        <v>0</v>
      </c>
      <c r="O92" s="34" t="s">
        <v>1</v>
      </c>
      <c r="P92" s="33" t="s">
        <v>0</v>
      </c>
      <c r="Q92" s="34" t="s">
        <v>1</v>
      </c>
      <c r="R92" s="33" t="s">
        <v>0</v>
      </c>
      <c r="S92" s="34" t="s">
        <v>1</v>
      </c>
      <c r="T92" s="33" t="s">
        <v>0</v>
      </c>
      <c r="U92" s="34" t="s">
        <v>1</v>
      </c>
      <c r="V92" s="33" t="s">
        <v>0</v>
      </c>
      <c r="W92" s="34" t="s">
        <v>1</v>
      </c>
      <c r="X92" s="33" t="s">
        <v>0</v>
      </c>
      <c r="Y92" s="35" t="s">
        <v>1</v>
      </c>
      <c r="Z92" s="112"/>
      <c r="AA92" s="112"/>
      <c r="AB92" s="113"/>
      <c r="AC92" s="115"/>
    </row>
    <row r="93" spans="1:29" x14ac:dyDescent="0.2">
      <c r="A93" s="40" t="s">
        <v>43</v>
      </c>
      <c r="B93" s="41">
        <v>42186</v>
      </c>
      <c r="C93" s="41">
        <v>42186</v>
      </c>
      <c r="D93" s="41">
        <v>42217</v>
      </c>
      <c r="E93" s="41">
        <v>42217</v>
      </c>
      <c r="F93" s="41">
        <v>42248</v>
      </c>
      <c r="G93" s="41">
        <v>42248</v>
      </c>
      <c r="H93" s="41">
        <v>42278</v>
      </c>
      <c r="I93" s="41">
        <v>42278</v>
      </c>
      <c r="J93" s="41">
        <v>42309</v>
      </c>
      <c r="K93" s="41">
        <v>42309</v>
      </c>
      <c r="L93" s="41">
        <v>42339</v>
      </c>
      <c r="M93" s="41">
        <v>42339</v>
      </c>
      <c r="N93" s="41">
        <v>42370</v>
      </c>
      <c r="O93" s="41">
        <v>42370</v>
      </c>
      <c r="P93" s="41">
        <v>42401</v>
      </c>
      <c r="Q93" s="41">
        <v>42401</v>
      </c>
      <c r="R93" s="41">
        <v>42430</v>
      </c>
      <c r="S93" s="41">
        <v>42430</v>
      </c>
      <c r="T93" s="41">
        <v>42461</v>
      </c>
      <c r="U93" s="41">
        <v>42461</v>
      </c>
      <c r="V93" s="41">
        <v>42491</v>
      </c>
      <c r="W93" s="41">
        <v>42491</v>
      </c>
      <c r="X93" s="41">
        <v>42522</v>
      </c>
      <c r="Y93" s="42">
        <v>42156</v>
      </c>
      <c r="Z93" s="42" t="s">
        <v>3</v>
      </c>
      <c r="AA93" s="116" t="s">
        <v>1</v>
      </c>
      <c r="AB93" s="67" t="s">
        <v>5</v>
      </c>
      <c r="AC93" s="45" t="s">
        <v>6</v>
      </c>
    </row>
    <row r="94" spans="1:29" ht="6" customHeight="1" thickBot="1" x14ac:dyDescent="0.25">
      <c r="A94" s="75"/>
      <c r="B94" s="76"/>
      <c r="C94" s="76"/>
      <c r="D94" s="76"/>
      <c r="E94" s="76"/>
      <c r="F94" s="76"/>
      <c r="G94" s="76"/>
      <c r="H94" s="76"/>
      <c r="I94" s="76"/>
      <c r="J94" s="76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6"/>
      <c r="X94" s="77"/>
      <c r="Y94" s="77"/>
      <c r="Z94" s="77"/>
      <c r="AA94" s="77"/>
      <c r="AB94" s="78"/>
      <c r="AC94" s="79"/>
    </row>
    <row r="95" spans="1:29" ht="14.25" thickTop="1" thickBot="1" x14ac:dyDescent="0.25">
      <c r="A95" s="80" t="s">
        <v>14</v>
      </c>
      <c r="B95" s="117">
        <v>366</v>
      </c>
      <c r="C95" s="117"/>
      <c r="D95" s="117">
        <v>366</v>
      </c>
      <c r="E95" s="117"/>
      <c r="F95" s="117">
        <v>366</v>
      </c>
      <c r="G95" s="117"/>
      <c r="H95" s="117">
        <v>366</v>
      </c>
      <c r="I95" s="117"/>
      <c r="J95" s="117">
        <v>366</v>
      </c>
      <c r="K95" s="117"/>
      <c r="L95" s="117">
        <v>366</v>
      </c>
      <c r="M95" s="117"/>
      <c r="N95" s="117">
        <v>366</v>
      </c>
      <c r="O95" s="117"/>
      <c r="P95" s="117">
        <v>366</v>
      </c>
      <c r="Q95" s="117"/>
      <c r="R95" s="117">
        <v>366</v>
      </c>
      <c r="S95" s="117"/>
      <c r="T95" s="117">
        <v>366</v>
      </c>
      <c r="U95" s="117"/>
      <c r="V95" s="117">
        <v>366</v>
      </c>
      <c r="W95" s="117"/>
      <c r="X95" s="117">
        <v>366</v>
      </c>
      <c r="Y95" s="117"/>
      <c r="Z95" s="117">
        <f>SUM(X95,V95,T95,R95,P95,N95,L95,J95,H95,F95,D95,B95)</f>
        <v>4392</v>
      </c>
      <c r="AA95" s="81">
        <f>+SUM(Y95,W95,U95,S95,Q95,O95,M95,K95,I95,G95,E95,C95)</f>
        <v>0</v>
      </c>
      <c r="AB95" s="52">
        <f>+C95+E95+G95+I95+K95+M95+O95+Q95+S95+U95+W95+Y95-B95-D95-F95-H95-J95-L95-N95-P95-R95-T95-V95-X95</f>
        <v>-4392</v>
      </c>
      <c r="AC95" s="82"/>
    </row>
    <row r="96" spans="1:29" ht="13.5" thickTop="1" x14ac:dyDescent="0.2">
      <c r="A96" s="118"/>
      <c r="B96" s="118"/>
      <c r="C96" s="118"/>
      <c r="D96" s="118"/>
      <c r="E96" s="118"/>
      <c r="F96" s="118"/>
      <c r="G96" s="119"/>
      <c r="H96" s="118"/>
      <c r="I96" s="118"/>
      <c r="J96" s="118"/>
      <c r="K96" s="118"/>
      <c r="L96" s="118"/>
      <c r="M96" s="118"/>
      <c r="N96" s="118"/>
      <c r="O96" s="119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20"/>
      <c r="AC96" s="121"/>
    </row>
    <row r="97" spans="1:31" ht="26.25" thickBot="1" x14ac:dyDescent="0.25">
      <c r="A97" s="122" t="s">
        <v>79</v>
      </c>
      <c r="B97" s="41">
        <v>42186</v>
      </c>
      <c r="C97" s="41"/>
      <c r="D97" s="41">
        <v>42217</v>
      </c>
      <c r="E97" s="41">
        <v>42217</v>
      </c>
      <c r="F97" s="41">
        <v>42248</v>
      </c>
      <c r="G97" s="41">
        <v>42248</v>
      </c>
      <c r="H97" s="41">
        <v>42278</v>
      </c>
      <c r="I97" s="41">
        <v>42278</v>
      </c>
      <c r="J97" s="41">
        <v>42309</v>
      </c>
      <c r="K97" s="41">
        <v>42309</v>
      </c>
      <c r="L97" s="41">
        <v>42339</v>
      </c>
      <c r="M97" s="41">
        <v>42339</v>
      </c>
      <c r="N97" s="41">
        <v>42370</v>
      </c>
      <c r="O97" s="41">
        <v>42370</v>
      </c>
      <c r="P97" s="41">
        <v>42401</v>
      </c>
      <c r="Q97" s="41">
        <v>42401</v>
      </c>
      <c r="R97" s="41">
        <v>42430</v>
      </c>
      <c r="S97" s="41">
        <v>42430</v>
      </c>
      <c r="T97" s="41">
        <v>42461</v>
      </c>
      <c r="U97" s="41">
        <v>42461</v>
      </c>
      <c r="V97" s="41">
        <v>42491</v>
      </c>
      <c r="W97" s="41">
        <v>42491</v>
      </c>
      <c r="X97" s="41">
        <v>42522</v>
      </c>
      <c r="Y97" s="42">
        <v>42156</v>
      </c>
      <c r="Z97" s="123" t="s">
        <v>16</v>
      </c>
      <c r="AA97" s="124" t="s">
        <v>4</v>
      </c>
      <c r="AB97" s="67" t="s">
        <v>5</v>
      </c>
      <c r="AC97" s="45" t="s">
        <v>6</v>
      </c>
    </row>
    <row r="98" spans="1:31" ht="14.25" thickTop="1" thickBot="1" x14ac:dyDescent="0.25">
      <c r="A98" s="125" t="s">
        <v>44</v>
      </c>
      <c r="B98" s="117">
        <f>1252.034+10</f>
        <v>1262.0340000000001</v>
      </c>
      <c r="C98" s="117"/>
      <c r="D98" s="117">
        <f>1258.36933333333+15</f>
        <v>1273.3693333333299</v>
      </c>
      <c r="E98" s="117"/>
      <c r="F98" s="117">
        <f>1265.546+15</f>
        <v>1280.546</v>
      </c>
      <c r="G98" s="117"/>
      <c r="H98" s="117">
        <f>1273.564+20</f>
        <v>1293.5640000000001</v>
      </c>
      <c r="I98" s="117"/>
      <c r="J98" s="117">
        <f>1281.582+40+10</f>
        <v>1331.5820000000001</v>
      </c>
      <c r="K98" s="117"/>
      <c r="L98" s="117">
        <f>1287.076+40+10</f>
        <v>1337.076</v>
      </c>
      <c r="M98" s="117"/>
      <c r="N98" s="117">
        <f>1292.57+40+10</f>
        <v>1342.57</v>
      </c>
      <c r="O98" s="117"/>
      <c r="P98" s="117">
        <f>1298.90533333333+40+10</f>
        <v>1348.90533333333</v>
      </c>
      <c r="Q98" s="117"/>
      <c r="R98" s="117">
        <f>1306.92333333333+40+25</f>
        <v>1371.92333333333</v>
      </c>
      <c r="S98" s="117"/>
      <c r="T98" s="117">
        <f>1314.94133333333+40+25</f>
        <v>1379.94133333333</v>
      </c>
      <c r="U98" s="117">
        <v>0</v>
      </c>
      <c r="V98" s="117">
        <f>1323.80066666667+25</f>
        <v>1348.8006666666699</v>
      </c>
      <c r="W98" s="117">
        <v>0</v>
      </c>
      <c r="X98" s="117">
        <f>1332.66+44+25</f>
        <v>1401.66</v>
      </c>
      <c r="Y98" s="117"/>
      <c r="Z98" s="117">
        <f>+SUM(X98,V98,T98,R98,P98,N98,L98,J98,H98,F98,D98,B98)</f>
        <v>15971.971999999991</v>
      </c>
      <c r="AA98" s="81">
        <f>+SUM(Y98,W98,U98,S98,Q98,O98,M98,K98,I98,G98,E98,C98)</f>
        <v>0</v>
      </c>
      <c r="AB98" s="52">
        <f>+C98+E98+G98+I98+K98+M98+O98+Q98+S98+U98+W98+Y98-B98-D98-F98-H98-J98-L98-N98-P98-R98-T98-V98-X98</f>
        <v>-15971.971999999992</v>
      </c>
      <c r="AC98" s="82"/>
      <c r="AE98" s="154"/>
    </row>
    <row r="99" spans="1:31" x14ac:dyDescent="0.2">
      <c r="A99" s="118"/>
      <c r="B99" s="118"/>
      <c r="C99" s="118"/>
      <c r="D99" s="118"/>
      <c r="E99" s="118"/>
      <c r="F99" s="118"/>
      <c r="G99" s="126"/>
      <c r="H99" s="118"/>
      <c r="I99" s="118"/>
      <c r="J99" s="118"/>
      <c r="K99" s="127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28"/>
      <c r="AC99" s="129"/>
    </row>
    <row r="100" spans="1:31" ht="13.5" thickBot="1" x14ac:dyDescent="0.25">
      <c r="A100" s="118"/>
      <c r="B100" s="33" t="s">
        <v>0</v>
      </c>
      <c r="C100" s="34"/>
      <c r="D100" s="33" t="s">
        <v>0</v>
      </c>
      <c r="E100" s="34" t="s">
        <v>1</v>
      </c>
      <c r="F100" s="33" t="s">
        <v>0</v>
      </c>
      <c r="G100" s="34" t="s">
        <v>1</v>
      </c>
      <c r="H100" s="33" t="s">
        <v>0</v>
      </c>
      <c r="I100" s="34" t="s">
        <v>1</v>
      </c>
      <c r="J100" s="33" t="s">
        <v>0</v>
      </c>
      <c r="K100" s="34" t="s">
        <v>1</v>
      </c>
      <c r="L100" s="33" t="s">
        <v>0</v>
      </c>
      <c r="M100" s="34" t="s">
        <v>1</v>
      </c>
      <c r="N100" s="33" t="s">
        <v>0</v>
      </c>
      <c r="O100" s="34" t="s">
        <v>1</v>
      </c>
      <c r="P100" s="33" t="s">
        <v>0</v>
      </c>
      <c r="Q100" s="34" t="s">
        <v>1</v>
      </c>
      <c r="R100" s="33" t="s">
        <v>0</v>
      </c>
      <c r="S100" s="34" t="s">
        <v>1</v>
      </c>
      <c r="T100" s="33" t="s">
        <v>0</v>
      </c>
      <c r="U100" s="34" t="s">
        <v>1</v>
      </c>
      <c r="V100" s="33" t="s">
        <v>0</v>
      </c>
      <c r="W100" s="34" t="s">
        <v>1</v>
      </c>
      <c r="X100" s="33" t="s">
        <v>0</v>
      </c>
      <c r="Y100" s="35" t="s">
        <v>1</v>
      </c>
      <c r="Z100" s="118"/>
      <c r="AA100" s="118"/>
      <c r="AB100" s="128"/>
      <c r="AC100" s="129"/>
    </row>
    <row r="101" spans="1:31" ht="46.5" customHeight="1" thickBot="1" x14ac:dyDescent="0.25">
      <c r="A101" s="130" t="s">
        <v>17</v>
      </c>
      <c r="B101" s="131">
        <v>42186</v>
      </c>
      <c r="C101" s="131"/>
      <c r="D101" s="131">
        <v>42217</v>
      </c>
      <c r="E101" s="131">
        <v>42217</v>
      </c>
      <c r="F101" s="131">
        <v>42248</v>
      </c>
      <c r="G101" s="131">
        <v>42248</v>
      </c>
      <c r="H101" s="131">
        <v>42278</v>
      </c>
      <c r="I101" s="131">
        <v>42278</v>
      </c>
      <c r="J101" s="131">
        <v>42309</v>
      </c>
      <c r="K101" s="131">
        <v>42309</v>
      </c>
      <c r="L101" s="131">
        <v>42339</v>
      </c>
      <c r="M101" s="131">
        <v>42339</v>
      </c>
      <c r="N101" s="131">
        <v>42370</v>
      </c>
      <c r="O101" s="131">
        <v>42370</v>
      </c>
      <c r="P101" s="131">
        <v>42401</v>
      </c>
      <c r="Q101" s="131">
        <v>42401</v>
      </c>
      <c r="R101" s="131">
        <v>42430</v>
      </c>
      <c r="S101" s="131">
        <v>42430</v>
      </c>
      <c r="T101" s="131">
        <v>42461</v>
      </c>
      <c r="U101" s="131">
        <v>42461</v>
      </c>
      <c r="V101" s="131">
        <v>42491</v>
      </c>
      <c r="W101" s="131">
        <v>42491</v>
      </c>
      <c r="X101" s="131">
        <v>42522</v>
      </c>
      <c r="Y101" s="132">
        <v>42156</v>
      </c>
      <c r="Z101" s="133" t="s">
        <v>16</v>
      </c>
      <c r="AA101" s="134" t="s">
        <v>18</v>
      </c>
      <c r="AB101" s="128"/>
      <c r="AC101" s="135"/>
    </row>
    <row r="102" spans="1:31" x14ac:dyDescent="0.2">
      <c r="A102" s="136" t="s">
        <v>19</v>
      </c>
      <c r="B102" s="137">
        <v>124654</v>
      </c>
      <c r="C102" s="138"/>
      <c r="D102" s="138">
        <f>B105</f>
        <v>125272.36599999999</v>
      </c>
      <c r="E102" s="138">
        <f>+C105</f>
        <v>0</v>
      </c>
      <c r="F102" s="138">
        <f>D105</f>
        <v>125963.53</v>
      </c>
      <c r="G102" s="138">
        <f>+E105</f>
        <v>0</v>
      </c>
      <c r="H102" s="138">
        <f>F105</f>
        <v>126731.65066666667</v>
      </c>
      <c r="I102" s="138">
        <f>+G105</f>
        <v>0</v>
      </c>
      <c r="J102" s="138">
        <f>H105</f>
        <v>127570.88666666667</v>
      </c>
      <c r="K102" s="138">
        <f>+I105</f>
        <v>0</v>
      </c>
      <c r="L102" s="138">
        <f>J105</f>
        <v>128372.10466666668</v>
      </c>
      <c r="M102" s="138">
        <f>+K105</f>
        <v>0</v>
      </c>
      <c r="N102" s="138">
        <f>L105</f>
        <v>128915.42866666667</v>
      </c>
      <c r="O102" s="138">
        <f>+M105</f>
        <v>0</v>
      </c>
      <c r="P102" s="138">
        <f>N105</f>
        <v>129453.25866666666</v>
      </c>
      <c r="Q102" s="138">
        <f>+O105</f>
        <v>0</v>
      </c>
      <c r="R102" s="138">
        <f>P105</f>
        <v>130068.88666666666</v>
      </c>
      <c r="S102" s="138">
        <f>+Q105</f>
        <v>0</v>
      </c>
      <c r="T102" s="138">
        <f>R105</f>
        <v>130829.76333333332</v>
      </c>
      <c r="U102" s="138">
        <f>+S105</f>
        <v>0</v>
      </c>
      <c r="V102" s="138">
        <f>T105</f>
        <v>131582.622</v>
      </c>
      <c r="W102" s="138">
        <f>+U105</f>
        <v>0</v>
      </c>
      <c r="X102" s="138">
        <f>V105</f>
        <v>132450.75466666665</v>
      </c>
      <c r="Y102" s="139">
        <f>+W105</f>
        <v>0</v>
      </c>
      <c r="Z102" s="140">
        <f>+B102</f>
        <v>124654</v>
      </c>
      <c r="AA102" s="141">
        <f>+C105</f>
        <v>0</v>
      </c>
      <c r="AB102" s="128"/>
      <c r="AC102" s="135"/>
    </row>
    <row r="103" spans="1:31" x14ac:dyDescent="0.2">
      <c r="A103" s="142" t="s">
        <v>20</v>
      </c>
      <c r="B103" s="143">
        <f>+B5</f>
        <v>1880.3999999999999</v>
      </c>
      <c r="C103" s="144"/>
      <c r="D103" s="144">
        <f>+D5</f>
        <v>1964.5333333333333</v>
      </c>
      <c r="E103" s="144">
        <f t="shared" ref="E103:Z103" si="6">+E5</f>
        <v>0</v>
      </c>
      <c r="F103" s="144">
        <f t="shared" si="6"/>
        <v>2048.6666666666665</v>
      </c>
      <c r="G103" s="144">
        <f t="shared" si="6"/>
        <v>0</v>
      </c>
      <c r="H103" s="144">
        <f t="shared" si="6"/>
        <v>2132.8000000000002</v>
      </c>
      <c r="I103" s="144">
        <f t="shared" si="6"/>
        <v>0</v>
      </c>
      <c r="J103" s="144">
        <f t="shared" si="6"/>
        <v>2132.8000000000002</v>
      </c>
      <c r="K103" s="144">
        <f t="shared" si="6"/>
        <v>0</v>
      </c>
      <c r="L103" s="144">
        <f t="shared" si="6"/>
        <v>1880.3999999999999</v>
      </c>
      <c r="M103" s="144">
        <f t="shared" si="6"/>
        <v>0</v>
      </c>
      <c r="N103" s="144">
        <f t="shared" si="6"/>
        <v>1880.3999999999999</v>
      </c>
      <c r="O103" s="144">
        <f t="shared" si="6"/>
        <v>0</v>
      </c>
      <c r="P103" s="144">
        <f t="shared" si="6"/>
        <v>1964.5333333333333</v>
      </c>
      <c r="Q103" s="144">
        <f t="shared" si="6"/>
        <v>0</v>
      </c>
      <c r="R103" s="144">
        <f t="shared" si="6"/>
        <v>2132.8000000000002</v>
      </c>
      <c r="S103" s="144">
        <f t="shared" si="6"/>
        <v>0</v>
      </c>
      <c r="T103" s="144">
        <f t="shared" si="6"/>
        <v>2132.8000000000002</v>
      </c>
      <c r="U103" s="144">
        <f t="shared" si="6"/>
        <v>0</v>
      </c>
      <c r="V103" s="144">
        <f t="shared" si="6"/>
        <v>2216.9333333333334</v>
      </c>
      <c r="W103" s="144">
        <f t="shared" si="6"/>
        <v>0</v>
      </c>
      <c r="X103" s="144">
        <f t="shared" si="6"/>
        <v>2216.9333333333334</v>
      </c>
      <c r="Y103" s="145">
        <f t="shared" si="6"/>
        <v>0</v>
      </c>
      <c r="Z103" s="146">
        <f t="shared" si="6"/>
        <v>24584</v>
      </c>
      <c r="AA103" s="146">
        <f>+SUM(Y103,W103,U103,S103,Q103,O103,M103,K103,I103,G103,E103,C103)</f>
        <v>0</v>
      </c>
      <c r="AB103" s="128"/>
      <c r="AC103" s="135"/>
    </row>
    <row r="104" spans="1:31" x14ac:dyDescent="0.2">
      <c r="A104" s="136" t="s">
        <v>21</v>
      </c>
      <c r="B104" s="137">
        <f t="shared" ref="B104:V104" si="7">+B98</f>
        <v>1262.0340000000001</v>
      </c>
      <c r="C104" s="138"/>
      <c r="D104" s="138">
        <f t="shared" si="7"/>
        <v>1273.3693333333299</v>
      </c>
      <c r="E104" s="138">
        <f t="shared" si="7"/>
        <v>0</v>
      </c>
      <c r="F104" s="138">
        <f t="shared" si="7"/>
        <v>1280.546</v>
      </c>
      <c r="G104" s="138">
        <f t="shared" si="7"/>
        <v>0</v>
      </c>
      <c r="H104" s="138">
        <f t="shared" si="7"/>
        <v>1293.5640000000001</v>
      </c>
      <c r="I104" s="138">
        <f t="shared" si="7"/>
        <v>0</v>
      </c>
      <c r="J104" s="138">
        <f t="shared" si="7"/>
        <v>1331.5820000000001</v>
      </c>
      <c r="K104" s="138">
        <f t="shared" si="7"/>
        <v>0</v>
      </c>
      <c r="L104" s="138">
        <f t="shared" si="7"/>
        <v>1337.076</v>
      </c>
      <c r="M104" s="138">
        <f t="shared" si="7"/>
        <v>0</v>
      </c>
      <c r="N104" s="138">
        <f t="shared" si="7"/>
        <v>1342.57</v>
      </c>
      <c r="O104" s="138">
        <f t="shared" si="7"/>
        <v>0</v>
      </c>
      <c r="P104" s="138">
        <f t="shared" si="7"/>
        <v>1348.90533333333</v>
      </c>
      <c r="Q104" s="138">
        <f t="shared" si="7"/>
        <v>0</v>
      </c>
      <c r="R104" s="138">
        <f t="shared" si="7"/>
        <v>1371.92333333333</v>
      </c>
      <c r="S104" s="138">
        <f t="shared" si="7"/>
        <v>0</v>
      </c>
      <c r="T104" s="138">
        <f t="shared" si="7"/>
        <v>1379.94133333333</v>
      </c>
      <c r="U104" s="138">
        <f t="shared" si="7"/>
        <v>0</v>
      </c>
      <c r="V104" s="138">
        <f t="shared" si="7"/>
        <v>1348.8006666666699</v>
      </c>
      <c r="W104" s="138">
        <f>+W98</f>
        <v>0</v>
      </c>
      <c r="X104" s="138">
        <f>+X98</f>
        <v>1401.66</v>
      </c>
      <c r="Y104" s="139">
        <f>+Y98</f>
        <v>0</v>
      </c>
      <c r="Z104" s="140">
        <f>+Z98</f>
        <v>15971.971999999991</v>
      </c>
      <c r="AA104" s="141">
        <f>+SUM(Y104,W104,U104,S104,Q104,O104,M104,K104,I104,G104,E104,C104)</f>
        <v>0</v>
      </c>
      <c r="AB104" s="128"/>
      <c r="AC104" s="135"/>
    </row>
    <row r="105" spans="1:31" x14ac:dyDescent="0.2">
      <c r="A105" s="142" t="s">
        <v>22</v>
      </c>
      <c r="B105" s="143">
        <f>+B102+B103-B104</f>
        <v>125272.36599999999</v>
      </c>
      <c r="C105" s="144"/>
      <c r="D105" s="143">
        <f>+D102+D103-D104</f>
        <v>125963.53</v>
      </c>
      <c r="E105" s="144">
        <f>+E102+E103-E104</f>
        <v>0</v>
      </c>
      <c r="F105" s="143">
        <f t="shared" ref="F105:X105" si="8">+F102+F103-F104</f>
        <v>126731.65066666667</v>
      </c>
      <c r="G105" s="143">
        <f t="shared" si="8"/>
        <v>0</v>
      </c>
      <c r="H105" s="143">
        <f t="shared" si="8"/>
        <v>127570.88666666667</v>
      </c>
      <c r="I105" s="143">
        <f t="shared" si="8"/>
        <v>0</v>
      </c>
      <c r="J105" s="143">
        <f t="shared" si="8"/>
        <v>128372.10466666668</v>
      </c>
      <c r="K105" s="143">
        <f t="shared" si="8"/>
        <v>0</v>
      </c>
      <c r="L105" s="143">
        <f t="shared" si="8"/>
        <v>128915.42866666667</v>
      </c>
      <c r="M105" s="143">
        <f t="shared" si="8"/>
        <v>0</v>
      </c>
      <c r="N105" s="143">
        <f t="shared" si="8"/>
        <v>129453.25866666666</v>
      </c>
      <c r="O105" s="143">
        <f t="shared" si="8"/>
        <v>0</v>
      </c>
      <c r="P105" s="143">
        <f t="shared" si="8"/>
        <v>130068.88666666666</v>
      </c>
      <c r="Q105" s="143">
        <f t="shared" si="8"/>
        <v>0</v>
      </c>
      <c r="R105" s="143">
        <f t="shared" si="8"/>
        <v>130829.76333333332</v>
      </c>
      <c r="S105" s="143">
        <f t="shared" si="8"/>
        <v>0</v>
      </c>
      <c r="T105" s="143">
        <f t="shared" si="8"/>
        <v>131582.622</v>
      </c>
      <c r="U105" s="143">
        <f t="shared" si="8"/>
        <v>0</v>
      </c>
      <c r="V105" s="143">
        <f t="shared" si="8"/>
        <v>132450.75466666665</v>
      </c>
      <c r="W105" s="143">
        <f t="shared" si="8"/>
        <v>0</v>
      </c>
      <c r="X105" s="143">
        <f t="shared" si="8"/>
        <v>133266.02799999996</v>
      </c>
      <c r="Y105" s="145">
        <f>+Y102+Y103-Y104</f>
        <v>0</v>
      </c>
      <c r="Z105" s="146">
        <f>+Z102+Z103-Z104</f>
        <v>133266.02800000002</v>
      </c>
      <c r="AA105" s="146">
        <f>+AA102+AA103-AA104</f>
        <v>0</v>
      </c>
      <c r="AB105" s="128"/>
      <c r="AC105" s="135"/>
    </row>
    <row r="106" spans="1:31" x14ac:dyDescent="0.2">
      <c r="A106" s="136" t="s">
        <v>23</v>
      </c>
      <c r="B106" s="137">
        <f t="shared" ref="B106:Y106" si="9">+B103-B104</f>
        <v>618.36599999999976</v>
      </c>
      <c r="C106" s="138"/>
      <c r="D106" s="138">
        <f t="shared" si="9"/>
        <v>691.1640000000034</v>
      </c>
      <c r="E106" s="138">
        <f>+E103-E104</f>
        <v>0</v>
      </c>
      <c r="F106" s="138">
        <f t="shared" si="9"/>
        <v>768.12066666666647</v>
      </c>
      <c r="G106" s="138">
        <f t="shared" si="9"/>
        <v>0</v>
      </c>
      <c r="H106" s="138">
        <f t="shared" si="9"/>
        <v>839.2360000000001</v>
      </c>
      <c r="I106" s="138">
        <f t="shared" si="9"/>
        <v>0</v>
      </c>
      <c r="J106" s="138">
        <f t="shared" si="9"/>
        <v>801.21800000000007</v>
      </c>
      <c r="K106" s="138">
        <f t="shared" si="9"/>
        <v>0</v>
      </c>
      <c r="L106" s="138">
        <f t="shared" si="9"/>
        <v>543.32399999999984</v>
      </c>
      <c r="M106" s="138">
        <f t="shared" si="9"/>
        <v>0</v>
      </c>
      <c r="N106" s="138">
        <f t="shared" si="9"/>
        <v>537.82999999999993</v>
      </c>
      <c r="O106" s="138">
        <f t="shared" si="9"/>
        <v>0</v>
      </c>
      <c r="P106" s="138">
        <f t="shared" si="9"/>
        <v>615.62800000000334</v>
      </c>
      <c r="Q106" s="138">
        <f t="shared" si="9"/>
        <v>0</v>
      </c>
      <c r="R106" s="138">
        <f t="shared" si="9"/>
        <v>760.87666666667019</v>
      </c>
      <c r="S106" s="138">
        <f t="shared" si="9"/>
        <v>0</v>
      </c>
      <c r="T106" s="138">
        <f t="shared" si="9"/>
        <v>752.85866666667016</v>
      </c>
      <c r="U106" s="138">
        <f t="shared" si="9"/>
        <v>0</v>
      </c>
      <c r="V106" s="138">
        <f t="shared" si="9"/>
        <v>868.13266666666345</v>
      </c>
      <c r="W106" s="138">
        <f>+W103-W104</f>
        <v>0</v>
      </c>
      <c r="X106" s="138">
        <f>+X103-X104</f>
        <v>815.27333333333331</v>
      </c>
      <c r="Y106" s="139">
        <f t="shared" si="9"/>
        <v>0</v>
      </c>
      <c r="Z106" s="140">
        <f>+Z103-Z104</f>
        <v>8612.0280000000093</v>
      </c>
      <c r="AA106" s="141">
        <f>+AA103-AA104</f>
        <v>0</v>
      </c>
      <c r="AB106" s="128"/>
      <c r="AC106" s="135"/>
    </row>
    <row r="107" spans="1:31" x14ac:dyDescent="0.2">
      <c r="A107" s="142" t="s">
        <v>24</v>
      </c>
      <c r="B107" s="147">
        <f t="shared" ref="B107:X107" si="10">B106/B102</f>
        <v>4.9606591044009801E-3</v>
      </c>
      <c r="C107" s="148"/>
      <c r="D107" s="148">
        <f t="shared" si="10"/>
        <v>5.5172902218515087E-3</v>
      </c>
      <c r="E107" s="148" t="e">
        <f t="shared" si="10"/>
        <v>#DIV/0!</v>
      </c>
      <c r="F107" s="148">
        <f t="shared" si="10"/>
        <v>6.0979607880683124E-3</v>
      </c>
      <c r="G107" s="148" t="e">
        <f>G106/G102</f>
        <v>#DIV/0!</v>
      </c>
      <c r="H107" s="148">
        <f t="shared" si="10"/>
        <v>6.6221499963523981E-3</v>
      </c>
      <c r="I107" s="148" t="e">
        <f t="shared" si="10"/>
        <v>#DIV/0!</v>
      </c>
      <c r="J107" s="148">
        <f t="shared" si="10"/>
        <v>6.2805709118689728E-3</v>
      </c>
      <c r="K107" s="148" t="e">
        <f t="shared" si="10"/>
        <v>#DIV/0!</v>
      </c>
      <c r="L107" s="148">
        <f t="shared" si="10"/>
        <v>4.2324148335092324E-3</v>
      </c>
      <c r="M107" s="148" t="e">
        <f t="shared" si="10"/>
        <v>#DIV/0!</v>
      </c>
      <c r="N107" s="148">
        <f t="shared" si="10"/>
        <v>4.1719599086208151E-3</v>
      </c>
      <c r="O107" s="148" t="e">
        <f t="shared" si="10"/>
        <v>#DIV/0!</v>
      </c>
      <c r="P107" s="148">
        <f t="shared" si="10"/>
        <v>4.7556006418131474E-3</v>
      </c>
      <c r="Q107" s="148" t="e">
        <f t="shared" si="10"/>
        <v>#DIV/0!</v>
      </c>
      <c r="R107" s="148">
        <f t="shared" si="10"/>
        <v>5.8497976431258524E-3</v>
      </c>
      <c r="S107" s="148" t="e">
        <f t="shared" si="10"/>
        <v>#DIV/0!</v>
      </c>
      <c r="T107" s="148">
        <f t="shared" si="10"/>
        <v>5.7544907785891707E-3</v>
      </c>
      <c r="U107" s="148" t="e">
        <f t="shared" si="10"/>
        <v>#DIV/0!</v>
      </c>
      <c r="V107" s="148">
        <f t="shared" si="10"/>
        <v>6.5976240135012919E-3</v>
      </c>
      <c r="W107" s="148" t="e">
        <f>W106/W102</f>
        <v>#DIV/0!</v>
      </c>
      <c r="X107" s="148">
        <f t="shared" si="10"/>
        <v>6.1552939836779196E-3</v>
      </c>
      <c r="Y107" s="149" t="e">
        <f>Y106/Y102</f>
        <v>#DIV/0!</v>
      </c>
      <c r="Z107" s="150">
        <f>Z106/Z102</f>
        <v>6.9087458083976525E-2</v>
      </c>
      <c r="AA107" s="146" t="e">
        <f>AA106/AA102</f>
        <v>#DIV/0!</v>
      </c>
      <c r="AB107" s="128"/>
      <c r="AC107" s="135"/>
    </row>
    <row r="108" spans="1:31" x14ac:dyDescent="0.2">
      <c r="A108" s="136" t="s">
        <v>25</v>
      </c>
      <c r="B108" s="151"/>
      <c r="C108" s="138"/>
      <c r="D108" s="138"/>
      <c r="E108" s="138" t="e">
        <f>+E105/C102-1</f>
        <v>#DIV/0!</v>
      </c>
      <c r="F108" s="138"/>
      <c r="G108" s="138">
        <f>+G105/B102-1</f>
        <v>-1</v>
      </c>
      <c r="H108" s="138"/>
      <c r="I108" s="138">
        <f>+I105/B102-1</f>
        <v>-1</v>
      </c>
      <c r="J108" s="138"/>
      <c r="K108" s="138">
        <f>+K105/B102-1</f>
        <v>-1</v>
      </c>
      <c r="L108" s="138"/>
      <c r="M108" s="138">
        <f>+M105/B102-1</f>
        <v>-1</v>
      </c>
      <c r="N108" s="138"/>
      <c r="O108" s="138">
        <f>+O105/B102-1</f>
        <v>-1</v>
      </c>
      <c r="P108" s="138"/>
      <c r="Q108" s="138">
        <f>+Q105/B102-1</f>
        <v>-1</v>
      </c>
      <c r="R108" s="138"/>
      <c r="S108" s="138" t="e">
        <f>+S105/C102-1</f>
        <v>#DIV/0!</v>
      </c>
      <c r="T108" s="138"/>
      <c r="U108" s="138">
        <f>+U105/B102-1</f>
        <v>-1</v>
      </c>
      <c r="V108" s="138"/>
      <c r="W108" s="138">
        <f>+W105/B102-1</f>
        <v>-1</v>
      </c>
      <c r="X108" s="138"/>
      <c r="Y108" s="139">
        <f>+Y105/B102-1</f>
        <v>-1</v>
      </c>
      <c r="Z108" s="140"/>
      <c r="AA108" s="141" t="e">
        <f>AA105/C102-1</f>
        <v>#DIV/0!</v>
      </c>
      <c r="AB108" s="128"/>
      <c r="AC108" s="135"/>
    </row>
  </sheetData>
  <mergeCells count="1">
    <mergeCell ref="A1:AC1"/>
  </mergeCells>
  <pageMargins left="0.7" right="0.7" top="0.75" bottom="0.75" header="0.3" footer="0.3"/>
  <pageSetup paperSize="9" orientation="portrait" r:id="rId1"/>
  <ignoredErrors>
    <ignoredError sqref="F102:X104 F106:X10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showGridLines="0" topLeftCell="B1" workbookViewId="0">
      <selection activeCell="B1" sqref="B1:O1"/>
    </sheetView>
  </sheetViews>
  <sheetFormatPr baseColWidth="10" defaultRowHeight="12.75" x14ac:dyDescent="0.2"/>
  <cols>
    <col min="1" max="1" width="21.85546875" style="31" hidden="1" customWidth="1"/>
    <col min="2" max="2" width="44.85546875" style="31" bestFit="1" customWidth="1"/>
    <col min="3" max="16384" width="11.42578125" style="31"/>
  </cols>
  <sheetData>
    <row r="1" spans="1:16" x14ac:dyDescent="0.2">
      <c r="B1" s="166" t="s">
        <v>29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1:16" x14ac:dyDescent="0.2">
      <c r="B2" s="32"/>
      <c r="C2" s="69" t="s">
        <v>0</v>
      </c>
      <c r="D2" s="69" t="s">
        <v>0</v>
      </c>
      <c r="E2" s="69" t="s">
        <v>0</v>
      </c>
      <c r="F2" s="69" t="s">
        <v>0</v>
      </c>
      <c r="G2" s="69" t="s">
        <v>0</v>
      </c>
      <c r="H2" s="69" t="s">
        <v>0</v>
      </c>
      <c r="I2" s="69" t="s">
        <v>0</v>
      </c>
      <c r="J2" s="69" t="s">
        <v>0</v>
      </c>
      <c r="K2" s="69" t="s">
        <v>0</v>
      </c>
      <c r="L2" s="69" t="s">
        <v>0</v>
      </c>
      <c r="M2" s="69" t="s">
        <v>0</v>
      </c>
      <c r="N2" s="69" t="s">
        <v>0</v>
      </c>
      <c r="O2" s="36"/>
    </row>
    <row r="3" spans="1:16" x14ac:dyDescent="0.2">
      <c r="B3" s="40" t="s">
        <v>2</v>
      </c>
      <c r="C3" s="41">
        <v>42186</v>
      </c>
      <c r="D3" s="41">
        <v>42217</v>
      </c>
      <c r="E3" s="41">
        <v>42248</v>
      </c>
      <c r="F3" s="41">
        <v>42278</v>
      </c>
      <c r="G3" s="41">
        <v>42309</v>
      </c>
      <c r="H3" s="41">
        <v>42339</v>
      </c>
      <c r="I3" s="41">
        <v>42370</v>
      </c>
      <c r="J3" s="41">
        <v>42401</v>
      </c>
      <c r="K3" s="41">
        <v>42430</v>
      </c>
      <c r="L3" s="41">
        <v>42461</v>
      </c>
      <c r="M3" s="41">
        <v>42491</v>
      </c>
      <c r="N3" s="41">
        <v>42522</v>
      </c>
      <c r="O3" s="42" t="s">
        <v>3</v>
      </c>
    </row>
    <row r="4" spans="1:16" ht="13.5" thickBo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1:16" ht="14.25" thickTop="1" thickBot="1" x14ac:dyDescent="0.25">
      <c r="B5" s="48" t="s">
        <v>7</v>
      </c>
      <c r="C5" s="49">
        <f t="shared" ref="C5:N5" si="0">+SUM(C11,C107)</f>
        <v>2048.6666666666665</v>
      </c>
      <c r="D5" s="49">
        <f t="shared" si="0"/>
        <v>2048.6666666666665</v>
      </c>
      <c r="E5" s="49">
        <f t="shared" si="0"/>
        <v>2048.6666666666665</v>
      </c>
      <c r="F5" s="49">
        <f t="shared" si="0"/>
        <v>2048.6666666666665</v>
      </c>
      <c r="G5" s="49">
        <f t="shared" si="0"/>
        <v>1964.5333333333335</v>
      </c>
      <c r="H5" s="49">
        <f t="shared" si="0"/>
        <v>1880.3999999999999</v>
      </c>
      <c r="I5" s="49">
        <f t="shared" si="0"/>
        <v>1880.3999999999999</v>
      </c>
      <c r="J5" s="49">
        <f t="shared" si="0"/>
        <v>1964.5333333333335</v>
      </c>
      <c r="K5" s="49">
        <f t="shared" si="0"/>
        <v>2132.8000000000002</v>
      </c>
      <c r="L5" s="49">
        <f t="shared" si="0"/>
        <v>2132.8000000000002</v>
      </c>
      <c r="M5" s="49">
        <f t="shared" si="0"/>
        <v>2216.9333333333334</v>
      </c>
      <c r="N5" s="49">
        <f t="shared" si="0"/>
        <v>2216.9333333333334</v>
      </c>
      <c r="O5" s="49">
        <f>+SUM(N5,M5,L5,K5,J5,I5,H5,G5,F5,E5,D5,C5)</f>
        <v>24584.000000000004</v>
      </c>
    </row>
    <row r="6" spans="1:16" ht="13.5" thickTop="1" x14ac:dyDescent="0.2">
      <c r="B6" s="54"/>
      <c r="C6" s="55"/>
      <c r="D6" s="55"/>
      <c r="E6" s="55"/>
      <c r="F6" s="55"/>
      <c r="G6" s="55"/>
      <c r="H6" s="58"/>
      <c r="I6" s="58"/>
      <c r="J6" s="58"/>
      <c r="K6" s="58"/>
      <c r="L6" s="58"/>
      <c r="M6" s="58"/>
      <c r="N6" s="58"/>
      <c r="O6" s="59"/>
    </row>
    <row r="7" spans="1:16" x14ac:dyDescent="0.2">
      <c r="B7" s="62" t="s">
        <v>8</v>
      </c>
      <c r="C7" s="63"/>
      <c r="D7" s="63"/>
      <c r="E7" s="63"/>
      <c r="F7" s="63"/>
      <c r="G7" s="64"/>
      <c r="H7" s="66"/>
      <c r="I7" s="66"/>
      <c r="J7" s="66"/>
      <c r="K7" s="66"/>
      <c r="L7" s="66"/>
      <c r="M7" s="66"/>
      <c r="N7" s="66"/>
      <c r="O7" s="65"/>
    </row>
    <row r="8" spans="1:16" x14ac:dyDescent="0.2">
      <c r="B8" s="68"/>
      <c r="C8" s="69" t="s">
        <v>0</v>
      </c>
      <c r="D8" s="69" t="s">
        <v>0</v>
      </c>
      <c r="E8" s="69" t="s">
        <v>0</v>
      </c>
      <c r="F8" s="69" t="s">
        <v>0</v>
      </c>
      <c r="G8" s="69" t="s">
        <v>0</v>
      </c>
      <c r="H8" s="69" t="s">
        <v>0</v>
      </c>
      <c r="I8" s="69" t="s">
        <v>0</v>
      </c>
      <c r="J8" s="69" t="s">
        <v>0</v>
      </c>
      <c r="K8" s="69" t="s">
        <v>0</v>
      </c>
      <c r="L8" s="69" t="s">
        <v>0</v>
      </c>
      <c r="M8" s="69" t="s">
        <v>0</v>
      </c>
      <c r="N8" s="69" t="s">
        <v>0</v>
      </c>
      <c r="O8" s="71"/>
    </row>
    <row r="9" spans="1:16" x14ac:dyDescent="0.2">
      <c r="B9" s="40" t="s">
        <v>9</v>
      </c>
      <c r="C9" s="41">
        <v>42186</v>
      </c>
      <c r="D9" s="41">
        <v>42217</v>
      </c>
      <c r="E9" s="41">
        <v>42248</v>
      </c>
      <c r="F9" s="41">
        <v>42278</v>
      </c>
      <c r="G9" s="41">
        <v>42309</v>
      </c>
      <c r="H9" s="41">
        <v>42339</v>
      </c>
      <c r="I9" s="41">
        <v>42370</v>
      </c>
      <c r="J9" s="41">
        <v>42401</v>
      </c>
      <c r="K9" s="41">
        <v>42430</v>
      </c>
      <c r="L9" s="41">
        <v>42461</v>
      </c>
      <c r="M9" s="41">
        <v>42491</v>
      </c>
      <c r="N9" s="41">
        <v>42522</v>
      </c>
      <c r="O9" s="42" t="s">
        <v>3</v>
      </c>
    </row>
    <row r="10" spans="1:16" ht="13.5" thickBot="1" x14ac:dyDescent="0.25">
      <c r="B10" s="75"/>
      <c r="C10" s="76"/>
      <c r="D10" s="76"/>
      <c r="E10" s="76"/>
      <c r="F10" s="76"/>
      <c r="G10" s="76"/>
      <c r="H10" s="77"/>
      <c r="I10" s="77"/>
      <c r="J10" s="77"/>
      <c r="K10" s="77"/>
      <c r="L10" s="77"/>
      <c r="M10" s="77"/>
      <c r="N10" s="77"/>
      <c r="O10" s="77"/>
    </row>
    <row r="11" spans="1:16" ht="14.25" thickTop="1" thickBot="1" x14ac:dyDescent="0.25">
      <c r="B11" s="80" t="s">
        <v>28</v>
      </c>
      <c r="C11" s="49">
        <f>+SUM(C13,C19,C25,C31,C37,C43,C49,C55,C61,C67,C73,C79,C85,C91,C97)</f>
        <v>1682.6666666666665</v>
      </c>
      <c r="D11" s="49">
        <f t="shared" ref="D11:O11" si="1">+SUM(D13,D19,D25,D31,D37,D43,D49,D55,D61,D67,D73,D79,D85,D91,D97)</f>
        <v>1682.6666666666665</v>
      </c>
      <c r="E11" s="49">
        <f t="shared" si="1"/>
        <v>1682.6666666666665</v>
      </c>
      <c r="F11" s="49">
        <f t="shared" si="1"/>
        <v>1682.6666666666665</v>
      </c>
      <c r="G11" s="49">
        <f t="shared" si="1"/>
        <v>1598.5333333333335</v>
      </c>
      <c r="H11" s="49">
        <f t="shared" si="1"/>
        <v>1514.3999999999999</v>
      </c>
      <c r="I11" s="49">
        <f t="shared" si="1"/>
        <v>1514.3999999999999</v>
      </c>
      <c r="J11" s="49">
        <f t="shared" si="1"/>
        <v>1598.5333333333335</v>
      </c>
      <c r="K11" s="49">
        <f t="shared" si="1"/>
        <v>1766.8</v>
      </c>
      <c r="L11" s="49">
        <f t="shared" si="1"/>
        <v>1766.8</v>
      </c>
      <c r="M11" s="49">
        <f t="shared" si="1"/>
        <v>1850.9333333333334</v>
      </c>
      <c r="N11" s="49">
        <f t="shared" si="1"/>
        <v>1850.9333333333334</v>
      </c>
      <c r="O11" s="49">
        <f t="shared" si="1"/>
        <v>20192</v>
      </c>
    </row>
    <row r="12" spans="1:16" ht="14.25" thickTop="1" thickBot="1" x14ac:dyDescent="0.25">
      <c r="B12" s="83"/>
      <c r="C12" s="84"/>
      <c r="D12" s="84"/>
      <c r="E12" s="84"/>
      <c r="F12" s="84"/>
      <c r="G12" s="84"/>
      <c r="H12" s="87"/>
      <c r="I12" s="87"/>
      <c r="J12" s="87"/>
      <c r="K12" s="87"/>
      <c r="L12" s="87"/>
      <c r="M12" s="87"/>
      <c r="N12" s="87"/>
      <c r="O12" s="86"/>
    </row>
    <row r="13" spans="1:16" ht="14.25" thickTop="1" thickBot="1" x14ac:dyDescent="0.25">
      <c r="B13" s="80" t="s">
        <v>40</v>
      </c>
      <c r="C13" s="49">
        <v>180</v>
      </c>
      <c r="D13" s="49">
        <v>180</v>
      </c>
      <c r="E13" s="49">
        <v>180</v>
      </c>
      <c r="F13" s="49">
        <v>180</v>
      </c>
      <c r="G13" s="49">
        <f>180*0.95</f>
        <v>171</v>
      </c>
      <c r="H13" s="49">
        <f>180*0.9</f>
        <v>162</v>
      </c>
      <c r="I13" s="49">
        <f>180*0.9</f>
        <v>162</v>
      </c>
      <c r="J13" s="49">
        <f>180*0.95</f>
        <v>171</v>
      </c>
      <c r="K13" s="49">
        <f>180*1.05</f>
        <v>189</v>
      </c>
      <c r="L13" s="49">
        <f>180*1.05</f>
        <v>189</v>
      </c>
      <c r="M13" s="49">
        <f>180*1.1</f>
        <v>198.00000000000003</v>
      </c>
      <c r="N13" s="49">
        <f>180*1.1</f>
        <v>198.00000000000003</v>
      </c>
      <c r="O13" s="49">
        <f>SUM(N13,M13,L13,K13,J13,I13,H13,G13,F13,E13,D13,C13)</f>
        <v>2160</v>
      </c>
    </row>
    <row r="14" spans="1:16" ht="14.25" thickTop="1" thickBot="1" x14ac:dyDescent="0.25">
      <c r="A14" s="31">
        <v>0.59937402190923317</v>
      </c>
      <c r="B14" s="4" t="s">
        <v>45</v>
      </c>
      <c r="C14" s="90">
        <v>107.88732394366197</v>
      </c>
      <c r="D14" s="90">
        <v>107.88732394366197</v>
      </c>
      <c r="E14" s="90">
        <v>107.88732394366197</v>
      </c>
      <c r="F14" s="90">
        <v>107.88732394366197</v>
      </c>
      <c r="G14" s="90">
        <f>+$G$13*A14</f>
        <v>102.49295774647887</v>
      </c>
      <c r="H14" s="90">
        <f>+$H$13*A14</f>
        <v>97.098591549295776</v>
      </c>
      <c r="I14" s="90">
        <v>97.098591549295776</v>
      </c>
      <c r="J14" s="90">
        <v>102.49295774647887</v>
      </c>
      <c r="K14" s="90">
        <f>+$K$13*A14</f>
        <v>113.28169014084507</v>
      </c>
      <c r="L14" s="90">
        <v>113.28169014084507</v>
      </c>
      <c r="M14" s="90">
        <f>+$M$13*A14</f>
        <v>118.67605633802819</v>
      </c>
      <c r="N14" s="90">
        <v>118.67605633802819</v>
      </c>
      <c r="O14" s="91">
        <f>+SUM(C14:N14)</f>
        <v>1294.6478873239439</v>
      </c>
      <c r="P14" s="152"/>
    </row>
    <row r="15" spans="1:16" ht="14.25" thickTop="1" thickBot="1" x14ac:dyDescent="0.25">
      <c r="A15" s="31">
        <v>0.31768388106416273</v>
      </c>
      <c r="B15" s="4" t="s">
        <v>46</v>
      </c>
      <c r="C15" s="90">
        <v>57.183098591549289</v>
      </c>
      <c r="D15" s="90">
        <v>57.183098591549289</v>
      </c>
      <c r="E15" s="90">
        <v>57.183098591549289</v>
      </c>
      <c r="F15" s="90">
        <v>57.183098591549289</v>
      </c>
      <c r="G15" s="90">
        <f t="shared" ref="G15:G18" si="2">+$G$13*A15</f>
        <v>54.323943661971825</v>
      </c>
      <c r="H15" s="90">
        <f t="shared" ref="H15:H18" si="3">+$H$13*A15</f>
        <v>51.464788732394361</v>
      </c>
      <c r="I15" s="90">
        <v>51.464788732394361</v>
      </c>
      <c r="J15" s="90">
        <v>54.323943661971825</v>
      </c>
      <c r="K15" s="90">
        <f t="shared" ref="K15:K18" si="4">+$K$13*A15</f>
        <v>60.042253521126753</v>
      </c>
      <c r="L15" s="90">
        <v>60.042253521126753</v>
      </c>
      <c r="M15" s="90">
        <f t="shared" ref="M15:M18" si="5">+$M$13*A15</f>
        <v>62.901408450704231</v>
      </c>
      <c r="N15" s="90">
        <v>62.901408450704231</v>
      </c>
      <c r="O15" s="91">
        <f t="shared" ref="O15:O18" si="6">+SUM(C15:N15)</f>
        <v>686.19718309859161</v>
      </c>
      <c r="P15" s="152"/>
    </row>
    <row r="16" spans="1:16" ht="14.25" thickTop="1" thickBot="1" x14ac:dyDescent="0.25">
      <c r="A16" s="31">
        <v>4.5383411580594682E-2</v>
      </c>
      <c r="B16" s="4" t="s">
        <v>47</v>
      </c>
      <c r="C16" s="90">
        <v>8.169014084507042</v>
      </c>
      <c r="D16" s="90">
        <v>8.169014084507042</v>
      </c>
      <c r="E16" s="90">
        <v>8.169014084507042</v>
      </c>
      <c r="F16" s="90">
        <v>8.169014084507042</v>
      </c>
      <c r="G16" s="90">
        <f t="shared" si="2"/>
        <v>7.7605633802816909</v>
      </c>
      <c r="H16" s="90">
        <f t="shared" si="3"/>
        <v>7.3521126760563389</v>
      </c>
      <c r="I16" s="90">
        <v>7.3521126760563389</v>
      </c>
      <c r="J16" s="90">
        <v>7.7605633802816909</v>
      </c>
      <c r="K16" s="90">
        <f t="shared" si="4"/>
        <v>8.577464788732394</v>
      </c>
      <c r="L16" s="90">
        <v>8.577464788732394</v>
      </c>
      <c r="M16" s="90">
        <f t="shared" si="5"/>
        <v>8.9859154929577478</v>
      </c>
      <c r="N16" s="90">
        <v>8.9859154929577478</v>
      </c>
      <c r="O16" s="91">
        <f t="shared" si="6"/>
        <v>98.028169014084497</v>
      </c>
      <c r="P16" s="152"/>
    </row>
    <row r="17" spans="1:16" ht="14.25" thickTop="1" thickBot="1" x14ac:dyDescent="0.25">
      <c r="A17" s="31">
        <v>2.8169014084507043E-2</v>
      </c>
      <c r="B17" s="4" t="s">
        <v>48</v>
      </c>
      <c r="C17" s="90">
        <v>5.070422535211268</v>
      </c>
      <c r="D17" s="90">
        <v>5.070422535211268</v>
      </c>
      <c r="E17" s="90">
        <v>5.070422535211268</v>
      </c>
      <c r="F17" s="90">
        <v>5.070422535211268</v>
      </c>
      <c r="G17" s="90">
        <f t="shared" si="2"/>
        <v>4.816901408450704</v>
      </c>
      <c r="H17" s="90">
        <f t="shared" si="3"/>
        <v>4.563380281690141</v>
      </c>
      <c r="I17" s="90">
        <v>4.563380281690141</v>
      </c>
      <c r="J17" s="90">
        <v>4.816901408450704</v>
      </c>
      <c r="K17" s="90">
        <f t="shared" si="4"/>
        <v>5.323943661971831</v>
      </c>
      <c r="L17" s="90">
        <v>5.323943661971831</v>
      </c>
      <c r="M17" s="90">
        <f t="shared" si="5"/>
        <v>5.5774647887323949</v>
      </c>
      <c r="N17" s="90">
        <v>5.5774647887323949</v>
      </c>
      <c r="O17" s="91">
        <f t="shared" si="6"/>
        <v>60.845070422535208</v>
      </c>
      <c r="P17" s="152"/>
    </row>
    <row r="18" spans="1:16" ht="14.25" thickTop="1" thickBot="1" x14ac:dyDescent="0.25">
      <c r="A18" s="31">
        <v>9.3896713615023476E-3</v>
      </c>
      <c r="B18" s="4" t="s">
        <v>49</v>
      </c>
      <c r="C18" s="90">
        <v>1.6901408450704225</v>
      </c>
      <c r="D18" s="90">
        <v>1.6901408450704225</v>
      </c>
      <c r="E18" s="90">
        <v>1.6901408450704225</v>
      </c>
      <c r="F18" s="90">
        <v>1.6901408450704225</v>
      </c>
      <c r="G18" s="90">
        <f t="shared" si="2"/>
        <v>1.6056338028169015</v>
      </c>
      <c r="H18" s="90">
        <f t="shared" si="3"/>
        <v>1.5211267605633803</v>
      </c>
      <c r="I18" s="90">
        <v>1.5211267605633803</v>
      </c>
      <c r="J18" s="90">
        <v>1.6056338028169015</v>
      </c>
      <c r="K18" s="90">
        <f t="shared" si="4"/>
        <v>1.7746478873239437</v>
      </c>
      <c r="L18" s="90">
        <v>1.7746478873239437</v>
      </c>
      <c r="M18" s="90">
        <f t="shared" si="5"/>
        <v>1.8591549295774652</v>
      </c>
      <c r="N18" s="90">
        <v>1.8591549295774652</v>
      </c>
      <c r="O18" s="91">
        <f t="shared" si="6"/>
        <v>20.281690140845068</v>
      </c>
      <c r="P18" s="152"/>
    </row>
    <row r="19" spans="1:16" ht="14.25" thickTop="1" thickBot="1" x14ac:dyDescent="0.25">
      <c r="B19" s="80" t="s">
        <v>37</v>
      </c>
      <c r="C19" s="49">
        <v>96</v>
      </c>
      <c r="D19" s="49">
        <v>96</v>
      </c>
      <c r="E19" s="49">
        <v>96</v>
      </c>
      <c r="F19" s="49">
        <v>96</v>
      </c>
      <c r="G19" s="49">
        <f>96*0.95</f>
        <v>91.199999999999989</v>
      </c>
      <c r="H19" s="49">
        <f>96*0.9</f>
        <v>86.4</v>
      </c>
      <c r="I19" s="49">
        <f>96*0.9</f>
        <v>86.4</v>
      </c>
      <c r="J19" s="49">
        <f>96*0.95</f>
        <v>91.199999999999989</v>
      </c>
      <c r="K19" s="49">
        <f>96*1.05</f>
        <v>100.80000000000001</v>
      </c>
      <c r="L19" s="49">
        <f>96*1.05</f>
        <v>100.80000000000001</v>
      </c>
      <c r="M19" s="49">
        <f>96*1.1</f>
        <v>105.60000000000001</v>
      </c>
      <c r="N19" s="49">
        <f>96*1.1</f>
        <v>105.60000000000001</v>
      </c>
      <c r="O19" s="49">
        <f>SUM(N19,M19,L19,K19,J19,I19,H19,G19,F19,E19,D19,C19)</f>
        <v>1152</v>
      </c>
    </row>
    <row r="20" spans="1:16" ht="14.25" thickTop="1" thickBot="1" x14ac:dyDescent="0.25">
      <c r="A20" s="31">
        <v>0.73413379073756435</v>
      </c>
      <c r="B20" s="4" t="s">
        <v>45</v>
      </c>
      <c r="C20" s="90">
        <f>+$C$19*A20</f>
        <v>70.476843910806181</v>
      </c>
      <c r="D20" s="90">
        <v>70.476843910806181</v>
      </c>
      <c r="E20" s="90">
        <v>70.476843910806181</v>
      </c>
      <c r="F20" s="90">
        <v>70.476843910806181</v>
      </c>
      <c r="G20" s="90">
        <f>+$G$19*A20</f>
        <v>66.953001715265856</v>
      </c>
      <c r="H20" s="90">
        <f>+$H$19*A20</f>
        <v>63.429159519725566</v>
      </c>
      <c r="I20" s="90">
        <v>63.429159519725566</v>
      </c>
      <c r="J20" s="90">
        <v>66.953001715265856</v>
      </c>
      <c r="K20" s="90">
        <f>+$K$19*A20</f>
        <v>74.000686106346492</v>
      </c>
      <c r="L20" s="90">
        <v>74.000686106346492</v>
      </c>
      <c r="M20" s="90">
        <f>+$M$19*A20</f>
        <v>77.524528301886804</v>
      </c>
      <c r="N20" s="90">
        <v>77.524528301886804</v>
      </c>
      <c r="O20" s="91">
        <f>+SUM(C20:N20)</f>
        <v>845.72212692967412</v>
      </c>
      <c r="P20" s="152"/>
    </row>
    <row r="21" spans="1:16" ht="14.25" thickTop="1" thickBot="1" x14ac:dyDescent="0.25">
      <c r="A21" s="31">
        <v>2.5728987993138937E-2</v>
      </c>
      <c r="B21" s="4" t="s">
        <v>46</v>
      </c>
      <c r="C21" s="90">
        <f t="shared" ref="C21:C24" si="7">+$C$19*A21</f>
        <v>2.4699828473413379</v>
      </c>
      <c r="D21" s="90">
        <v>2.4699828473413379</v>
      </c>
      <c r="E21" s="90">
        <v>2.4699828473413379</v>
      </c>
      <c r="F21" s="90">
        <v>2.4699828473413379</v>
      </c>
      <c r="G21" s="90">
        <f t="shared" ref="G21:G24" si="8">+$G$19*A21</f>
        <v>2.3464837049742706</v>
      </c>
      <c r="H21" s="90">
        <f t="shared" ref="H21:H24" si="9">+$H$19*A21</f>
        <v>2.2229845626072042</v>
      </c>
      <c r="I21" s="90">
        <v>2.2229845626072042</v>
      </c>
      <c r="J21" s="90">
        <v>2.3464837049742706</v>
      </c>
      <c r="K21" s="90">
        <f t="shared" ref="K21:K24" si="10">+$K$19*A21</f>
        <v>2.5934819897084052</v>
      </c>
      <c r="L21" s="90">
        <v>2.5934819897084052</v>
      </c>
      <c r="M21" s="90">
        <f t="shared" ref="M21:M24" si="11">+$M$19*A21</f>
        <v>2.716981132075472</v>
      </c>
      <c r="N21" s="90">
        <v>2.716981132075472</v>
      </c>
      <c r="O21" s="91">
        <f t="shared" ref="O21:O48" si="12">+SUM(C21:N21)</f>
        <v>29.639794168096053</v>
      </c>
      <c r="P21" s="152"/>
    </row>
    <row r="22" spans="1:16" ht="14.25" thickTop="1" thickBot="1" x14ac:dyDescent="0.25">
      <c r="A22" s="31">
        <v>0.20240137221269297</v>
      </c>
      <c r="B22" s="4" t="s">
        <v>47</v>
      </c>
      <c r="C22" s="90">
        <f t="shared" si="7"/>
        <v>19.430531732418526</v>
      </c>
      <c r="D22" s="90">
        <v>19.430531732418526</v>
      </c>
      <c r="E22" s="90">
        <v>19.430531732418526</v>
      </c>
      <c r="F22" s="90">
        <v>19.430531732418526</v>
      </c>
      <c r="G22" s="90">
        <f t="shared" si="8"/>
        <v>18.459005145797597</v>
      </c>
      <c r="H22" s="90">
        <f t="shared" si="9"/>
        <v>17.487478559176672</v>
      </c>
      <c r="I22" s="90">
        <v>17.487478559176672</v>
      </c>
      <c r="J22" s="90">
        <v>18.459005145797597</v>
      </c>
      <c r="K22" s="90">
        <f t="shared" si="10"/>
        <v>20.402058319039455</v>
      </c>
      <c r="L22" s="90">
        <v>20.402058319039455</v>
      </c>
      <c r="M22" s="90">
        <f t="shared" si="11"/>
        <v>21.37358490566038</v>
      </c>
      <c r="N22" s="90">
        <v>21.37358490566038</v>
      </c>
      <c r="O22" s="91">
        <f t="shared" si="12"/>
        <v>233.1663807890223</v>
      </c>
      <c r="P22" s="152"/>
    </row>
    <row r="23" spans="1:16" ht="14.25" thickTop="1" thickBot="1" x14ac:dyDescent="0.25">
      <c r="A23" s="31">
        <v>2.2298456260720412E-2</v>
      </c>
      <c r="B23" s="4" t="s">
        <v>48</v>
      </c>
      <c r="C23" s="90">
        <f t="shared" si="7"/>
        <v>2.1406518010291595</v>
      </c>
      <c r="D23" s="90">
        <v>2.1406518010291595</v>
      </c>
      <c r="E23" s="90">
        <v>2.1406518010291595</v>
      </c>
      <c r="F23" s="90">
        <v>2.1406518010291595</v>
      </c>
      <c r="G23" s="90">
        <f t="shared" si="8"/>
        <v>2.0336192109777014</v>
      </c>
      <c r="H23" s="90">
        <f t="shared" si="9"/>
        <v>1.9265866209262437</v>
      </c>
      <c r="I23" s="90">
        <v>1.9265866209262437</v>
      </c>
      <c r="J23" s="90">
        <v>2.0336192109777014</v>
      </c>
      <c r="K23" s="90">
        <f t="shared" si="10"/>
        <v>2.2476843910806177</v>
      </c>
      <c r="L23" s="90">
        <v>2.2476843910806177</v>
      </c>
      <c r="M23" s="90">
        <f t="shared" si="11"/>
        <v>2.3547169811320758</v>
      </c>
      <c r="N23" s="90">
        <v>2.3547169811320758</v>
      </c>
      <c r="O23" s="91">
        <f t="shared" si="12"/>
        <v>25.687821612349914</v>
      </c>
      <c r="P23" s="152"/>
    </row>
    <row r="24" spans="1:16" ht="14.25" thickTop="1" thickBot="1" x14ac:dyDescent="0.25">
      <c r="A24" s="31">
        <v>1.5437392795883362E-2</v>
      </c>
      <c r="B24" s="4" t="s">
        <v>49</v>
      </c>
      <c r="C24" s="90">
        <f t="shared" si="7"/>
        <v>1.4819897084048028</v>
      </c>
      <c r="D24" s="90">
        <v>1.4819897084048028</v>
      </c>
      <c r="E24" s="90">
        <v>1.4819897084048028</v>
      </c>
      <c r="F24" s="90">
        <v>1.4819897084048028</v>
      </c>
      <c r="G24" s="90">
        <f t="shared" si="8"/>
        <v>1.4078902229845625</v>
      </c>
      <c r="H24" s="90">
        <f t="shared" si="9"/>
        <v>1.3337907375643225</v>
      </c>
      <c r="I24" s="90">
        <v>1.3337907375643225</v>
      </c>
      <c r="J24" s="90">
        <v>1.4078902229845625</v>
      </c>
      <c r="K24" s="90">
        <f t="shared" si="10"/>
        <v>1.5560891938250432</v>
      </c>
      <c r="L24" s="90">
        <v>1.5560891938250432</v>
      </c>
      <c r="M24" s="90">
        <f t="shared" si="11"/>
        <v>1.6301886792452831</v>
      </c>
      <c r="N24" s="90">
        <v>1.6301886792452831</v>
      </c>
      <c r="O24" s="91">
        <f t="shared" si="12"/>
        <v>17.783876500857634</v>
      </c>
      <c r="P24" s="152"/>
    </row>
    <row r="25" spans="1:16" ht="14.25" thickTop="1" thickBot="1" x14ac:dyDescent="0.25">
      <c r="B25" s="80" t="s">
        <v>30</v>
      </c>
      <c r="C25" s="49">
        <v>120</v>
      </c>
      <c r="D25" s="49">
        <v>120</v>
      </c>
      <c r="E25" s="49">
        <v>120</v>
      </c>
      <c r="F25" s="49">
        <v>120</v>
      </c>
      <c r="G25" s="49">
        <f>120*0.95</f>
        <v>114</v>
      </c>
      <c r="H25" s="49">
        <f>120*0.9</f>
        <v>108</v>
      </c>
      <c r="I25" s="49">
        <f>120*0.9</f>
        <v>108</v>
      </c>
      <c r="J25" s="49">
        <f>120*0.95</f>
        <v>114</v>
      </c>
      <c r="K25" s="49">
        <f>120*1.05</f>
        <v>126</v>
      </c>
      <c r="L25" s="49">
        <f>120*1.05</f>
        <v>126</v>
      </c>
      <c r="M25" s="49">
        <f>120*1.1</f>
        <v>132</v>
      </c>
      <c r="N25" s="49">
        <f>120*1.1</f>
        <v>132</v>
      </c>
      <c r="O25" s="49">
        <f>SUM(N25,M25,L25,K25,J25,I25,H25,G25,F25,E25,D25,C25)</f>
        <v>1440</v>
      </c>
    </row>
    <row r="26" spans="1:16" ht="14.25" thickTop="1" thickBot="1" x14ac:dyDescent="0.25">
      <c r="A26" s="31">
        <v>0.3772652388797364</v>
      </c>
      <c r="B26" s="4" t="s">
        <v>45</v>
      </c>
      <c r="C26" s="90">
        <f>+$C$25*A26</f>
        <v>45.271828665568364</v>
      </c>
      <c r="D26" s="90">
        <v>45.271828665568364</v>
      </c>
      <c r="E26" s="90">
        <v>45.271828665568364</v>
      </c>
      <c r="F26" s="90">
        <v>45.271828665568364</v>
      </c>
      <c r="G26" s="90">
        <f>+$G$25*A26</f>
        <v>43.00823723228995</v>
      </c>
      <c r="H26" s="90">
        <f>+$H$25*A26</f>
        <v>40.744645799011529</v>
      </c>
      <c r="I26" s="90">
        <v>40.744645799011529</v>
      </c>
      <c r="J26" s="90">
        <v>43.00823723228995</v>
      </c>
      <c r="K26" s="90">
        <f>+$K$25*A26</f>
        <v>47.535420098846785</v>
      </c>
      <c r="L26" s="90">
        <v>47.535420098846785</v>
      </c>
      <c r="M26" s="90">
        <f>+$M$25*A26</f>
        <v>49.799011532125206</v>
      </c>
      <c r="N26" s="90">
        <v>49.799011532125206</v>
      </c>
      <c r="O26" s="91">
        <f t="shared" si="12"/>
        <v>543.26194398682037</v>
      </c>
      <c r="P26" s="152"/>
    </row>
    <row r="27" spans="1:16" ht="14.25" thickTop="1" thickBot="1" x14ac:dyDescent="0.25">
      <c r="A27" s="31">
        <v>0.19604612850082373</v>
      </c>
      <c r="B27" s="4" t="s">
        <v>46</v>
      </c>
      <c r="C27" s="90">
        <f t="shared" ref="C27:C30" si="13">+$C$25*A27</f>
        <v>23.525535420098848</v>
      </c>
      <c r="D27" s="90">
        <v>23.525535420098848</v>
      </c>
      <c r="E27" s="90">
        <v>23.525535420098848</v>
      </c>
      <c r="F27" s="90">
        <v>23.525535420098848</v>
      </c>
      <c r="G27" s="90">
        <f t="shared" ref="G27:G30" si="14">+$G$25*A27</f>
        <v>22.349258649093905</v>
      </c>
      <c r="H27" s="90">
        <f t="shared" ref="H27:H30" si="15">+$H$25*A27</f>
        <v>21.172981878088962</v>
      </c>
      <c r="I27" s="90">
        <v>21.172981878088962</v>
      </c>
      <c r="J27" s="90">
        <v>22.349258649093905</v>
      </c>
      <c r="K27" s="90">
        <f t="shared" ref="K27:K30" si="16">+$K$25*A27</f>
        <v>24.701812191103791</v>
      </c>
      <c r="L27" s="90">
        <v>24.701812191103791</v>
      </c>
      <c r="M27" s="90">
        <f t="shared" ref="M27:M30" si="17">+$M$25*A27</f>
        <v>25.878088962108734</v>
      </c>
      <c r="N27" s="90">
        <v>25.878088962108734</v>
      </c>
      <c r="O27" s="91">
        <f t="shared" si="12"/>
        <v>282.30642504118617</v>
      </c>
      <c r="P27" s="152"/>
    </row>
    <row r="28" spans="1:16" ht="14.25" thickTop="1" thickBot="1" x14ac:dyDescent="0.25">
      <c r="A28" s="31">
        <v>0.34761120263591433</v>
      </c>
      <c r="B28" s="4" t="s">
        <v>47</v>
      </c>
      <c r="C28" s="90">
        <f t="shared" si="13"/>
        <v>41.713344316309723</v>
      </c>
      <c r="D28" s="90">
        <v>41.713344316309723</v>
      </c>
      <c r="E28" s="90">
        <v>41.713344316309723</v>
      </c>
      <c r="F28" s="90">
        <v>41.713344316309723</v>
      </c>
      <c r="G28" s="90">
        <f t="shared" si="14"/>
        <v>39.627677100494232</v>
      </c>
      <c r="H28" s="90">
        <f t="shared" si="15"/>
        <v>37.542009884678748</v>
      </c>
      <c r="I28" s="90">
        <v>37.542009884678748</v>
      </c>
      <c r="J28" s="90">
        <v>39.627677100494232</v>
      </c>
      <c r="K28" s="90">
        <f t="shared" si="16"/>
        <v>43.799011532125206</v>
      </c>
      <c r="L28" s="90">
        <v>43.799011532125206</v>
      </c>
      <c r="M28" s="90">
        <f t="shared" si="17"/>
        <v>45.88467874794069</v>
      </c>
      <c r="N28" s="90">
        <v>45.88467874794069</v>
      </c>
      <c r="O28" s="91">
        <f t="shared" si="12"/>
        <v>500.56013179571664</v>
      </c>
      <c r="P28" s="152"/>
    </row>
    <row r="29" spans="1:16" ht="14.25" thickTop="1" thickBot="1" x14ac:dyDescent="0.25">
      <c r="A29" s="31">
        <v>4.4481054365733116E-2</v>
      </c>
      <c r="B29" s="4" t="s">
        <v>48</v>
      </c>
      <c r="C29" s="90">
        <f t="shared" si="13"/>
        <v>5.3377265238879739</v>
      </c>
      <c r="D29" s="90">
        <v>5.3377265238879739</v>
      </c>
      <c r="E29" s="90">
        <v>5.3377265238879739</v>
      </c>
      <c r="F29" s="90">
        <v>5.3377265238879739</v>
      </c>
      <c r="G29" s="90">
        <f t="shared" si="14"/>
        <v>5.0708401976935749</v>
      </c>
      <c r="H29" s="90">
        <f t="shared" si="15"/>
        <v>4.8039538714991767</v>
      </c>
      <c r="I29" s="90">
        <v>4.8039538714991767</v>
      </c>
      <c r="J29" s="90">
        <v>5.0708401976935749</v>
      </c>
      <c r="K29" s="90">
        <f t="shared" si="16"/>
        <v>5.6046128500823729</v>
      </c>
      <c r="L29" s="90">
        <v>5.6046128500823729</v>
      </c>
      <c r="M29" s="90">
        <f t="shared" si="17"/>
        <v>5.871499176276771</v>
      </c>
      <c r="N29" s="90">
        <v>5.871499176276771</v>
      </c>
      <c r="O29" s="91">
        <f t="shared" si="12"/>
        <v>64.05271828665569</v>
      </c>
      <c r="P29" s="152"/>
    </row>
    <row r="30" spans="1:16" ht="14.25" thickTop="1" thickBot="1" x14ac:dyDescent="0.25">
      <c r="A30" s="31">
        <v>3.459637561779242E-2</v>
      </c>
      <c r="B30" s="4" t="s">
        <v>49</v>
      </c>
      <c r="C30" s="90">
        <f t="shared" si="13"/>
        <v>4.1515650741350907</v>
      </c>
      <c r="D30" s="90">
        <v>4.1515650741350907</v>
      </c>
      <c r="E30" s="90">
        <v>4.1515650741350907</v>
      </c>
      <c r="F30" s="90">
        <v>4.1515650741350907</v>
      </c>
      <c r="G30" s="90">
        <f t="shared" si="14"/>
        <v>3.9439868204283357</v>
      </c>
      <c r="H30" s="90">
        <f t="shared" si="15"/>
        <v>3.7364085667215812</v>
      </c>
      <c r="I30" s="90">
        <v>3.7364085667215812</v>
      </c>
      <c r="J30" s="90">
        <v>3.9439868204283357</v>
      </c>
      <c r="K30" s="90">
        <f t="shared" si="16"/>
        <v>4.3591433278418448</v>
      </c>
      <c r="L30" s="90">
        <v>4.3591433278418448</v>
      </c>
      <c r="M30" s="90">
        <f t="shared" si="17"/>
        <v>4.5667215815485998</v>
      </c>
      <c r="N30" s="90">
        <v>4.5667215815485998</v>
      </c>
      <c r="O30" s="91">
        <f t="shared" si="12"/>
        <v>49.818780889621081</v>
      </c>
      <c r="P30" s="152"/>
    </row>
    <row r="31" spans="1:16" ht="14.25" thickTop="1" thickBot="1" x14ac:dyDescent="0.25">
      <c r="B31" s="80" t="s">
        <v>38</v>
      </c>
      <c r="C31" s="49">
        <v>94.75</v>
      </c>
      <c r="D31" s="49">
        <v>94.75</v>
      </c>
      <c r="E31" s="49">
        <v>94.75</v>
      </c>
      <c r="F31" s="49">
        <v>94.75</v>
      </c>
      <c r="G31" s="49">
        <f>94.75*0.95</f>
        <v>90.012500000000003</v>
      </c>
      <c r="H31" s="49">
        <f>94.75*0.9</f>
        <v>85.275000000000006</v>
      </c>
      <c r="I31" s="49">
        <f>94.75*0.9</f>
        <v>85.275000000000006</v>
      </c>
      <c r="J31" s="49">
        <f>94.75*0.95</f>
        <v>90.012500000000003</v>
      </c>
      <c r="K31" s="49">
        <f>94.75*1.05</f>
        <v>99.487499999999997</v>
      </c>
      <c r="L31" s="49">
        <f>94.75*1.05</f>
        <v>99.487499999999997</v>
      </c>
      <c r="M31" s="49">
        <f>94.75*1.1</f>
        <v>104.22500000000001</v>
      </c>
      <c r="N31" s="49">
        <f>94.75*1.1</f>
        <v>104.22500000000001</v>
      </c>
      <c r="O31" s="49">
        <f>SUM(N31,M31,L31,K31,J31,I31,H31,G31,F31,E31,D31,C31)</f>
        <v>1137</v>
      </c>
    </row>
    <row r="32" spans="1:16" ht="14.25" thickTop="1" thickBot="1" x14ac:dyDescent="0.25">
      <c r="A32" s="31">
        <v>0.58636363636363631</v>
      </c>
      <c r="B32" s="4" t="s">
        <v>45</v>
      </c>
      <c r="C32" s="90">
        <f>+$C$31*A32</f>
        <v>55.557954545454542</v>
      </c>
      <c r="D32" s="90">
        <v>55.557954545454542</v>
      </c>
      <c r="E32" s="90">
        <v>55.557954545454542</v>
      </c>
      <c r="F32" s="90">
        <v>55.557954545454542</v>
      </c>
      <c r="G32" s="90">
        <f>+$G$31*A32</f>
        <v>52.780056818181812</v>
      </c>
      <c r="H32" s="90">
        <f>+$H$31*A32</f>
        <v>50.002159090909089</v>
      </c>
      <c r="I32" s="90">
        <v>50.002159090909089</v>
      </c>
      <c r="J32" s="90">
        <v>52.780056818181812</v>
      </c>
      <c r="K32" s="90">
        <f>+$K$31*A32</f>
        <v>58.335852272727266</v>
      </c>
      <c r="L32" s="90">
        <v>58.335852272727266</v>
      </c>
      <c r="M32" s="90">
        <f>+$M$31*A32</f>
        <v>61.113749999999996</v>
      </c>
      <c r="N32" s="90">
        <v>61.113749999999996</v>
      </c>
      <c r="O32" s="91">
        <f t="shared" si="12"/>
        <v>666.69545454545448</v>
      </c>
      <c r="P32" s="152"/>
    </row>
    <row r="33" spans="1:16" ht="14.25" thickTop="1" thickBot="1" x14ac:dyDescent="0.25">
      <c r="A33" s="31">
        <v>0.10454545454545454</v>
      </c>
      <c r="B33" s="4" t="s">
        <v>46</v>
      </c>
      <c r="C33" s="90">
        <f t="shared" ref="C33:C36" si="18">+$C$31*A33</f>
        <v>9.9056818181818169</v>
      </c>
      <c r="D33" s="90">
        <v>9.9056818181818169</v>
      </c>
      <c r="E33" s="90">
        <v>9.9056818181818169</v>
      </c>
      <c r="F33" s="90">
        <v>9.9056818181818169</v>
      </c>
      <c r="G33" s="90">
        <f t="shared" ref="G33:G36" si="19">+$G$31*A33</f>
        <v>9.4103977272727271</v>
      </c>
      <c r="H33" s="90">
        <f t="shared" ref="H33:H36" si="20">+$H$31*A33</f>
        <v>8.9151136363636372</v>
      </c>
      <c r="I33" s="90">
        <v>8.9151136363636372</v>
      </c>
      <c r="J33" s="90">
        <v>9.4103977272727271</v>
      </c>
      <c r="K33" s="90">
        <f t="shared" ref="K33:K36" si="21">+$K$31*A33</f>
        <v>10.400965909090909</v>
      </c>
      <c r="L33" s="90">
        <v>10.400965909090909</v>
      </c>
      <c r="M33" s="90">
        <f t="shared" ref="M33:M36" si="22">+$M$31*A33</f>
        <v>10.89625</v>
      </c>
      <c r="N33" s="90">
        <v>10.89625</v>
      </c>
      <c r="O33" s="91">
        <f t="shared" si="12"/>
        <v>118.86818181818181</v>
      </c>
      <c r="P33" s="152"/>
    </row>
    <row r="34" spans="1:16" ht="14.25" thickTop="1" thickBot="1" x14ac:dyDescent="0.25">
      <c r="A34" s="31">
        <v>0.27727272727272728</v>
      </c>
      <c r="B34" s="4" t="s">
        <v>47</v>
      </c>
      <c r="C34" s="90">
        <f t="shared" si="18"/>
        <v>26.271590909090911</v>
      </c>
      <c r="D34" s="90">
        <v>26.271590909090911</v>
      </c>
      <c r="E34" s="90">
        <v>26.271590909090911</v>
      </c>
      <c r="F34" s="90">
        <v>26.271590909090911</v>
      </c>
      <c r="G34" s="90">
        <f t="shared" si="19"/>
        <v>24.958011363636366</v>
      </c>
      <c r="H34" s="90">
        <f t="shared" si="20"/>
        <v>23.644431818181822</v>
      </c>
      <c r="I34" s="90">
        <v>23.644431818181822</v>
      </c>
      <c r="J34" s="90">
        <v>24.958011363636366</v>
      </c>
      <c r="K34" s="90">
        <f t="shared" si="21"/>
        <v>27.585170454545455</v>
      </c>
      <c r="L34" s="90">
        <v>27.585170454545455</v>
      </c>
      <c r="M34" s="90">
        <f t="shared" si="22"/>
        <v>28.898750000000003</v>
      </c>
      <c r="N34" s="90">
        <v>28.898750000000003</v>
      </c>
      <c r="O34" s="91">
        <f t="shared" si="12"/>
        <v>315.25909090909096</v>
      </c>
      <c r="P34" s="152"/>
    </row>
    <row r="35" spans="1:16" ht="14.25" thickTop="1" thickBot="1" x14ac:dyDescent="0.25">
      <c r="A35" s="31">
        <v>0</v>
      </c>
      <c r="B35" s="4" t="s">
        <v>48</v>
      </c>
      <c r="C35" s="90">
        <f t="shared" si="18"/>
        <v>0</v>
      </c>
      <c r="D35" s="90">
        <v>0</v>
      </c>
      <c r="E35" s="90">
        <v>0</v>
      </c>
      <c r="F35" s="90">
        <v>0</v>
      </c>
      <c r="G35" s="90">
        <f t="shared" si="19"/>
        <v>0</v>
      </c>
      <c r="H35" s="90">
        <f t="shared" si="20"/>
        <v>0</v>
      </c>
      <c r="I35" s="90">
        <v>0</v>
      </c>
      <c r="J35" s="90">
        <v>0</v>
      </c>
      <c r="K35" s="90">
        <f t="shared" si="21"/>
        <v>0</v>
      </c>
      <c r="L35" s="90">
        <v>0</v>
      </c>
      <c r="M35" s="90">
        <f t="shared" si="22"/>
        <v>0</v>
      </c>
      <c r="N35" s="90">
        <v>0</v>
      </c>
      <c r="O35" s="91">
        <f t="shared" si="12"/>
        <v>0</v>
      </c>
      <c r="P35" s="152"/>
    </row>
    <row r="36" spans="1:16" ht="14.25" thickTop="1" thickBot="1" x14ac:dyDescent="0.25">
      <c r="A36" s="31">
        <v>3.1818181818181815E-2</v>
      </c>
      <c r="B36" s="4" t="s">
        <v>49</v>
      </c>
      <c r="C36" s="90">
        <f t="shared" si="18"/>
        <v>3.0147727272727272</v>
      </c>
      <c r="D36" s="90">
        <v>3.0147727272727272</v>
      </c>
      <c r="E36" s="90">
        <v>3.0147727272727272</v>
      </c>
      <c r="F36" s="90">
        <v>3.0147727272727272</v>
      </c>
      <c r="G36" s="90">
        <f t="shared" si="19"/>
        <v>2.8640340909090907</v>
      </c>
      <c r="H36" s="90">
        <f t="shared" si="20"/>
        <v>2.7132954545454546</v>
      </c>
      <c r="I36" s="90">
        <v>2.7132954545454546</v>
      </c>
      <c r="J36" s="90">
        <v>2.8640340909090907</v>
      </c>
      <c r="K36" s="90">
        <f t="shared" si="21"/>
        <v>3.1655113636363632</v>
      </c>
      <c r="L36" s="90">
        <v>3.1655113636363632</v>
      </c>
      <c r="M36" s="90">
        <f t="shared" si="22"/>
        <v>3.3162500000000001</v>
      </c>
      <c r="N36" s="90">
        <v>3.3162500000000001</v>
      </c>
      <c r="O36" s="91">
        <f t="shared" si="12"/>
        <v>36.177272727272722</v>
      </c>
      <c r="P36" s="152"/>
    </row>
    <row r="37" spans="1:16" ht="14.25" thickTop="1" thickBot="1" x14ac:dyDescent="0.25">
      <c r="B37" s="80" t="s">
        <v>35</v>
      </c>
      <c r="C37" s="49">
        <v>120</v>
      </c>
      <c r="D37" s="49">
        <v>120</v>
      </c>
      <c r="E37" s="49">
        <v>120</v>
      </c>
      <c r="F37" s="49">
        <v>120</v>
      </c>
      <c r="G37" s="49">
        <f>120*0.95</f>
        <v>114</v>
      </c>
      <c r="H37" s="49">
        <f>120*0.9</f>
        <v>108</v>
      </c>
      <c r="I37" s="49">
        <f>120*0.9</f>
        <v>108</v>
      </c>
      <c r="J37" s="49">
        <f>120*0.95</f>
        <v>114</v>
      </c>
      <c r="K37" s="49">
        <f>120*1.05</f>
        <v>126</v>
      </c>
      <c r="L37" s="49">
        <f>120*1.05</f>
        <v>126</v>
      </c>
      <c r="M37" s="49">
        <f>120*1.1</f>
        <v>132</v>
      </c>
      <c r="N37" s="49">
        <f>120*1.1</f>
        <v>132</v>
      </c>
      <c r="O37" s="49">
        <f>SUM(N37,M37,L37,K37,J37,I37,H37,G37,F37,E37,D37,C37)</f>
        <v>1440</v>
      </c>
    </row>
    <row r="38" spans="1:16" ht="14.25" thickTop="1" thickBot="1" x14ac:dyDescent="0.25">
      <c r="A38" s="31">
        <v>0.71631205673758869</v>
      </c>
      <c r="B38" s="4" t="s">
        <v>45</v>
      </c>
      <c r="C38" s="90">
        <f>+$C$37*A38</f>
        <v>85.957446808510639</v>
      </c>
      <c r="D38" s="90">
        <v>85.957446808510639</v>
      </c>
      <c r="E38" s="90">
        <v>85.957446808510639</v>
      </c>
      <c r="F38" s="90">
        <v>85.957446808510639</v>
      </c>
      <c r="G38" s="90">
        <f>+$G$37*A38</f>
        <v>81.659574468085111</v>
      </c>
      <c r="H38" s="90">
        <f>+$H$37*A38</f>
        <v>77.361702127659584</v>
      </c>
      <c r="I38" s="90">
        <v>77.361702127659584</v>
      </c>
      <c r="J38" s="90">
        <v>81.659574468085111</v>
      </c>
      <c r="K38" s="90">
        <f>+$K$37*A38</f>
        <v>90.255319148936181</v>
      </c>
      <c r="L38" s="90">
        <v>90.255319148936181</v>
      </c>
      <c r="M38" s="90">
        <f>+$M$37*A38</f>
        <v>94.553191489361708</v>
      </c>
      <c r="N38" s="90">
        <v>94.553191489361708</v>
      </c>
      <c r="O38" s="91">
        <f t="shared" si="12"/>
        <v>1031.4893617021278</v>
      </c>
      <c r="P38" s="152"/>
    </row>
    <row r="39" spans="1:16" ht="14.25" thickTop="1" thickBot="1" x14ac:dyDescent="0.25">
      <c r="A39" s="31">
        <v>2.6004728132387706E-2</v>
      </c>
      <c r="B39" s="4" t="s">
        <v>46</v>
      </c>
      <c r="C39" s="90">
        <f t="shared" ref="C39:C42" si="23">+$C$37*A39</f>
        <v>3.1205673758865249</v>
      </c>
      <c r="D39" s="90">
        <v>3.1205673758865249</v>
      </c>
      <c r="E39" s="90">
        <v>3.1205673758865249</v>
      </c>
      <c r="F39" s="90">
        <v>3.1205673758865249</v>
      </c>
      <c r="G39" s="90">
        <f t="shared" ref="G39:G42" si="24">+$G$37*A39</f>
        <v>2.9645390070921986</v>
      </c>
      <c r="H39" s="90">
        <f t="shared" ref="H39:H42" si="25">+$H$37*A39</f>
        <v>2.8085106382978724</v>
      </c>
      <c r="I39" s="90">
        <v>2.8085106382978724</v>
      </c>
      <c r="J39" s="90">
        <v>2.9645390070921986</v>
      </c>
      <c r="K39" s="90">
        <f t="shared" ref="K39:K42" si="26">+$K$37*A39</f>
        <v>3.2765957446808511</v>
      </c>
      <c r="L39" s="90">
        <v>3.2765957446808511</v>
      </c>
      <c r="M39" s="90">
        <f t="shared" ref="M39:M42" si="27">+$M$37*A39</f>
        <v>3.4326241134751774</v>
      </c>
      <c r="N39" s="90">
        <v>3.4326241134751774</v>
      </c>
      <c r="O39" s="91">
        <f t="shared" si="12"/>
        <v>37.446808510638299</v>
      </c>
      <c r="P39" s="152"/>
    </row>
    <row r="40" spans="1:16" ht="14.25" thickTop="1" thickBot="1" x14ac:dyDescent="0.25">
      <c r="A40" s="31">
        <v>0.22695035460992907</v>
      </c>
      <c r="B40" s="4" t="s">
        <v>47</v>
      </c>
      <c r="C40" s="90">
        <f t="shared" si="23"/>
        <v>27.23404255319149</v>
      </c>
      <c r="D40" s="90">
        <v>27.23404255319149</v>
      </c>
      <c r="E40" s="90">
        <v>27.23404255319149</v>
      </c>
      <c r="F40" s="90">
        <v>27.23404255319149</v>
      </c>
      <c r="G40" s="90">
        <f t="shared" si="24"/>
        <v>25.872340425531913</v>
      </c>
      <c r="H40" s="90">
        <f t="shared" si="25"/>
        <v>24.51063829787234</v>
      </c>
      <c r="I40" s="90">
        <v>24.51063829787234</v>
      </c>
      <c r="J40" s="90">
        <v>25.872340425531913</v>
      </c>
      <c r="K40" s="90">
        <f t="shared" si="26"/>
        <v>28.595744680851062</v>
      </c>
      <c r="L40" s="90">
        <v>28.595744680851062</v>
      </c>
      <c r="M40" s="90">
        <f t="shared" si="27"/>
        <v>29.957446808510639</v>
      </c>
      <c r="N40" s="90">
        <v>29.957446808510639</v>
      </c>
      <c r="O40" s="91">
        <f t="shared" si="12"/>
        <v>326.80851063829789</v>
      </c>
      <c r="P40" s="152"/>
    </row>
    <row r="41" spans="1:16" ht="14.25" thickTop="1" thickBot="1" x14ac:dyDescent="0.25">
      <c r="A41" s="31">
        <v>2.3640661938534278E-2</v>
      </c>
      <c r="B41" s="4" t="s">
        <v>48</v>
      </c>
      <c r="C41" s="90">
        <f t="shared" si="23"/>
        <v>2.8368794326241136</v>
      </c>
      <c r="D41" s="90">
        <v>2.8368794326241136</v>
      </c>
      <c r="E41" s="90">
        <v>2.8368794326241136</v>
      </c>
      <c r="F41" s="90">
        <v>2.8368794326241136</v>
      </c>
      <c r="G41" s="90">
        <f t="shared" si="24"/>
        <v>2.6950354609929077</v>
      </c>
      <c r="H41" s="90">
        <f t="shared" si="25"/>
        <v>2.5531914893617023</v>
      </c>
      <c r="I41" s="90">
        <v>2.5531914893617023</v>
      </c>
      <c r="J41" s="90">
        <v>2.6950354609929077</v>
      </c>
      <c r="K41" s="90">
        <f t="shared" si="26"/>
        <v>2.978723404255319</v>
      </c>
      <c r="L41" s="90">
        <v>2.978723404255319</v>
      </c>
      <c r="M41" s="90">
        <f t="shared" si="27"/>
        <v>3.1205673758865249</v>
      </c>
      <c r="N41" s="90">
        <v>3.1205673758865249</v>
      </c>
      <c r="O41" s="91">
        <f t="shared" si="12"/>
        <v>34.042553191489361</v>
      </c>
      <c r="P41" s="152"/>
    </row>
    <row r="42" spans="1:16" ht="14.25" thickTop="1" thickBot="1" x14ac:dyDescent="0.25">
      <c r="A42" s="31">
        <v>7.0921985815602835E-3</v>
      </c>
      <c r="B42" s="4" t="s">
        <v>49</v>
      </c>
      <c r="C42" s="90">
        <f t="shared" si="23"/>
        <v>0.85106382978723405</v>
      </c>
      <c r="D42" s="90">
        <v>0.85106382978723405</v>
      </c>
      <c r="E42" s="90">
        <v>0.85106382978723405</v>
      </c>
      <c r="F42" s="90">
        <v>0.85106382978723405</v>
      </c>
      <c r="G42" s="90">
        <f t="shared" si="24"/>
        <v>0.80851063829787229</v>
      </c>
      <c r="H42" s="90">
        <f t="shared" si="25"/>
        <v>0.76595744680851063</v>
      </c>
      <c r="I42" s="90">
        <v>0.76595744680851063</v>
      </c>
      <c r="J42" s="90">
        <v>0.80851063829787229</v>
      </c>
      <c r="K42" s="90">
        <f t="shared" si="26"/>
        <v>0.8936170212765957</v>
      </c>
      <c r="L42" s="90">
        <v>0.8936170212765957</v>
      </c>
      <c r="M42" s="90">
        <f t="shared" si="27"/>
        <v>0.93617021276595747</v>
      </c>
      <c r="N42" s="90">
        <v>0.93617021276595747</v>
      </c>
      <c r="O42" s="91">
        <f t="shared" si="12"/>
        <v>10.212765957446809</v>
      </c>
      <c r="P42" s="152"/>
    </row>
    <row r="43" spans="1:16" ht="14.25" thickTop="1" thickBot="1" x14ac:dyDescent="0.25">
      <c r="B43" s="80" t="s">
        <v>36</v>
      </c>
      <c r="C43" s="49">
        <v>91.416666666666671</v>
      </c>
      <c r="D43" s="49">
        <v>91.416666666666671</v>
      </c>
      <c r="E43" s="49">
        <v>91.416666666666671</v>
      </c>
      <c r="F43" s="49">
        <v>91.416666666666671</v>
      </c>
      <c r="G43" s="49">
        <f>91.4166666666667*0.95</f>
        <v>86.84583333333336</v>
      </c>
      <c r="H43" s="49">
        <f>91.4166666666667*0.9</f>
        <v>82.275000000000034</v>
      </c>
      <c r="I43" s="49">
        <f>91.4166666666667*0.9</f>
        <v>82.275000000000034</v>
      </c>
      <c r="J43" s="49">
        <f>91.4166666666667*0.95</f>
        <v>86.84583333333336</v>
      </c>
      <c r="K43" s="49">
        <f>91.4166666666667*1.05</f>
        <v>95.98750000000004</v>
      </c>
      <c r="L43" s="49">
        <f>91.4166666666667*1.05</f>
        <v>95.98750000000004</v>
      </c>
      <c r="M43" s="49">
        <f>91.4166666666667*1.1</f>
        <v>100.55833333333338</v>
      </c>
      <c r="N43" s="49">
        <f>91.4166666666667*1.1</f>
        <v>100.55833333333338</v>
      </c>
      <c r="O43" s="49">
        <f>SUM(N43,M43,L43,K43,J43,I43,H43,G43,F43,E43,D43,C43)</f>
        <v>1097</v>
      </c>
    </row>
    <row r="44" spans="1:16" ht="14.25" thickTop="1" thickBot="1" x14ac:dyDescent="0.25">
      <c r="A44" s="31">
        <v>0.6853932584269663</v>
      </c>
      <c r="B44" s="4" t="s">
        <v>45</v>
      </c>
      <c r="C44" s="90">
        <f>+$C$43*A44</f>
        <v>62.656367041198507</v>
      </c>
      <c r="D44" s="90">
        <v>62.656367041198507</v>
      </c>
      <c r="E44" s="90">
        <v>62.656367041198507</v>
      </c>
      <c r="F44" s="90">
        <v>62.656367041198507</v>
      </c>
      <c r="G44" s="90">
        <f>+$G$43*A44</f>
        <v>59.523548689138593</v>
      </c>
      <c r="H44" s="90">
        <f>+$H$43*A44</f>
        <v>56.390730337078679</v>
      </c>
      <c r="I44" s="90">
        <v>56.390730337078679</v>
      </c>
      <c r="J44" s="90">
        <f>+$J$43*A44</f>
        <v>59.523548689138593</v>
      </c>
      <c r="K44" s="90">
        <f>+$K$43*A44</f>
        <v>65.78918539325845</v>
      </c>
      <c r="L44" s="90">
        <v>65.78918539325845</v>
      </c>
      <c r="M44" s="90">
        <f>+$M$43*A44</f>
        <v>68.922003745318378</v>
      </c>
      <c r="N44" s="90">
        <v>68.922003745318378</v>
      </c>
      <c r="O44" s="91">
        <f t="shared" si="12"/>
        <v>751.87640449438231</v>
      </c>
      <c r="P44" s="152"/>
    </row>
    <row r="45" spans="1:16" ht="14.25" thickTop="1" thickBot="1" x14ac:dyDescent="0.25">
      <c r="A45" s="31">
        <v>0.15730337078651685</v>
      </c>
      <c r="B45" s="4" t="s">
        <v>46</v>
      </c>
      <c r="C45" s="90">
        <f t="shared" ref="C45:C48" si="28">+$C$43*A45</f>
        <v>14.380149812734082</v>
      </c>
      <c r="D45" s="90">
        <v>14.380149812734082</v>
      </c>
      <c r="E45" s="90">
        <v>14.380149812734082</v>
      </c>
      <c r="F45" s="90">
        <v>14.380149812734082</v>
      </c>
      <c r="G45" s="90">
        <f t="shared" ref="G45:G48" si="29">+$G$43*A45</f>
        <v>13.661142322097382</v>
      </c>
      <c r="H45" s="90">
        <f t="shared" ref="H45:H48" si="30">+$H$43*A45</f>
        <v>12.942134831460679</v>
      </c>
      <c r="I45" s="90">
        <v>12.942134831460679</v>
      </c>
      <c r="J45" s="90">
        <f t="shared" ref="J45:J48" si="31">+$J$43*A45</f>
        <v>13.661142322097382</v>
      </c>
      <c r="K45" s="90">
        <f t="shared" ref="K45:K48" si="32">+$K$43*A45</f>
        <v>15.099157303370792</v>
      </c>
      <c r="L45" s="90">
        <v>15.099157303370792</v>
      </c>
      <c r="M45" s="90">
        <f t="shared" ref="M45:M48" si="33">+$M$43*A45</f>
        <v>15.818164794007497</v>
      </c>
      <c r="N45" s="90">
        <v>15.818164794007497</v>
      </c>
      <c r="O45" s="91">
        <f t="shared" si="12"/>
        <v>172.56179775280899</v>
      </c>
      <c r="P45" s="152"/>
    </row>
    <row r="46" spans="1:16" ht="14.25" thickTop="1" thickBot="1" x14ac:dyDescent="0.25">
      <c r="A46" s="31">
        <v>0.15168539325842698</v>
      </c>
      <c r="B46" s="4" t="s">
        <v>47</v>
      </c>
      <c r="C46" s="90">
        <f t="shared" si="28"/>
        <v>13.866573033707867</v>
      </c>
      <c r="D46" s="90">
        <v>13.866573033707867</v>
      </c>
      <c r="E46" s="90">
        <v>13.866573033707867</v>
      </c>
      <c r="F46" s="90">
        <v>13.866573033707867</v>
      </c>
      <c r="G46" s="90">
        <f t="shared" si="29"/>
        <v>13.173244382022476</v>
      </c>
      <c r="H46" s="90">
        <f t="shared" si="30"/>
        <v>12.479915730337085</v>
      </c>
      <c r="I46" s="90">
        <v>12.479915730337085</v>
      </c>
      <c r="J46" s="90">
        <f t="shared" si="31"/>
        <v>13.173244382022476</v>
      </c>
      <c r="K46" s="90">
        <f t="shared" si="32"/>
        <v>14.559901685393266</v>
      </c>
      <c r="L46" s="90">
        <v>14.559901685393266</v>
      </c>
      <c r="M46" s="90">
        <f t="shared" si="33"/>
        <v>15.25323033707866</v>
      </c>
      <c r="N46" s="90">
        <v>15.25323033707866</v>
      </c>
      <c r="O46" s="91">
        <f t="shared" si="12"/>
        <v>166.39887640449444</v>
      </c>
      <c r="P46" s="152"/>
    </row>
    <row r="47" spans="1:16" ht="14.25" thickTop="1" thickBot="1" x14ac:dyDescent="0.25">
      <c r="A47" s="31">
        <v>0</v>
      </c>
      <c r="B47" s="4" t="s">
        <v>48</v>
      </c>
      <c r="C47" s="90">
        <f t="shared" si="28"/>
        <v>0</v>
      </c>
      <c r="D47" s="90">
        <v>0</v>
      </c>
      <c r="E47" s="90">
        <v>0</v>
      </c>
      <c r="F47" s="90">
        <v>0</v>
      </c>
      <c r="G47" s="90">
        <f t="shared" si="29"/>
        <v>0</v>
      </c>
      <c r="H47" s="90">
        <f t="shared" si="30"/>
        <v>0</v>
      </c>
      <c r="I47" s="90">
        <v>0</v>
      </c>
      <c r="J47" s="90">
        <f t="shared" si="31"/>
        <v>0</v>
      </c>
      <c r="K47" s="90">
        <f t="shared" si="32"/>
        <v>0</v>
      </c>
      <c r="L47" s="90">
        <v>0</v>
      </c>
      <c r="M47" s="90">
        <f t="shared" si="33"/>
        <v>0</v>
      </c>
      <c r="N47" s="90">
        <v>0</v>
      </c>
      <c r="O47" s="91">
        <f t="shared" si="12"/>
        <v>0</v>
      </c>
      <c r="P47" s="152"/>
    </row>
    <row r="48" spans="1:16" ht="14.25" thickTop="1" thickBot="1" x14ac:dyDescent="0.25">
      <c r="A48" s="31">
        <v>5.6179775280898875E-3</v>
      </c>
      <c r="B48" s="4" t="s">
        <v>49</v>
      </c>
      <c r="C48" s="90">
        <f t="shared" si="28"/>
        <v>0.51357677902621723</v>
      </c>
      <c r="D48" s="90">
        <v>0.51357677902621723</v>
      </c>
      <c r="E48" s="90">
        <v>0.51357677902621723</v>
      </c>
      <c r="F48" s="90">
        <v>0.51357677902621723</v>
      </c>
      <c r="G48" s="90">
        <f t="shared" si="29"/>
        <v>0.4878979400749065</v>
      </c>
      <c r="H48" s="90">
        <f t="shared" si="30"/>
        <v>0.46221910112359571</v>
      </c>
      <c r="I48" s="90">
        <v>0.46221910112359571</v>
      </c>
      <c r="J48" s="90">
        <f t="shared" si="31"/>
        <v>0.4878979400749065</v>
      </c>
      <c r="K48" s="90">
        <f t="shared" si="32"/>
        <v>0.5392556179775283</v>
      </c>
      <c r="L48" s="90">
        <v>0.5392556179775283</v>
      </c>
      <c r="M48" s="90">
        <f t="shared" si="33"/>
        <v>0.56493445692883915</v>
      </c>
      <c r="N48" s="90">
        <v>0.56493445692883915</v>
      </c>
      <c r="O48" s="91">
        <f t="shared" si="12"/>
        <v>6.1629213483146081</v>
      </c>
      <c r="P48" s="152"/>
    </row>
    <row r="49" spans="1:16" ht="14.25" thickTop="1" thickBot="1" x14ac:dyDescent="0.25">
      <c r="B49" s="80" t="s">
        <v>33</v>
      </c>
      <c r="C49" s="49">
        <v>48</v>
      </c>
      <c r="D49" s="49">
        <v>48</v>
      </c>
      <c r="E49" s="49">
        <v>48</v>
      </c>
      <c r="F49" s="49">
        <v>48</v>
      </c>
      <c r="G49" s="49">
        <f>48*0.95</f>
        <v>45.599999999999994</v>
      </c>
      <c r="H49" s="49">
        <f>48*0.9</f>
        <v>43.2</v>
      </c>
      <c r="I49" s="49">
        <f>48*0.9</f>
        <v>43.2</v>
      </c>
      <c r="J49" s="49">
        <f>48*0.95</f>
        <v>45.599999999999994</v>
      </c>
      <c r="K49" s="49">
        <f>48*1.05</f>
        <v>50.400000000000006</v>
      </c>
      <c r="L49" s="49">
        <f>48*1.05</f>
        <v>50.400000000000006</v>
      </c>
      <c r="M49" s="49">
        <f>48*1.1</f>
        <v>52.800000000000004</v>
      </c>
      <c r="N49" s="49">
        <f>48*1.1</f>
        <v>52.800000000000004</v>
      </c>
      <c r="O49" s="49">
        <f>SUM(N49,M49,L49,K49,J49,I49,H49,G49,F49,E49,D49,C49)</f>
        <v>576</v>
      </c>
    </row>
    <row r="50" spans="1:16" ht="14.25" thickTop="1" thickBot="1" x14ac:dyDescent="0.25">
      <c r="A50" s="31">
        <v>0.59259259259259256</v>
      </c>
      <c r="B50" s="4" t="s">
        <v>45</v>
      </c>
      <c r="C50" s="90">
        <f>+$C$49*A50</f>
        <v>28.444444444444443</v>
      </c>
      <c r="D50" s="90">
        <v>28.444444444444443</v>
      </c>
      <c r="E50" s="90">
        <v>28.444444444444443</v>
      </c>
      <c r="F50" s="90">
        <v>28.444444444444443</v>
      </c>
      <c r="G50" s="90">
        <f>+$G$49*A50</f>
        <v>27.022222222222219</v>
      </c>
      <c r="H50" s="90">
        <f>+$H$49*A50</f>
        <v>25.6</v>
      </c>
      <c r="I50" s="90">
        <v>25.6</v>
      </c>
      <c r="J50" s="90">
        <v>27.022222222222219</v>
      </c>
      <c r="K50" s="90">
        <f>+$K$49*A50</f>
        <v>29.866666666666667</v>
      </c>
      <c r="L50" s="90">
        <v>29.866666666666667</v>
      </c>
      <c r="M50" s="90">
        <f>+$M$49*A50</f>
        <v>31.288888888888891</v>
      </c>
      <c r="N50" s="90">
        <v>31.288888888888891</v>
      </c>
      <c r="O50" s="91">
        <f>+SUM(C50:N50)</f>
        <v>341.33333333333331</v>
      </c>
      <c r="P50" s="152"/>
    </row>
    <row r="51" spans="1:16" ht="14.25" thickTop="1" thickBot="1" x14ac:dyDescent="0.25">
      <c r="A51" s="31">
        <v>8.8888888888888892E-2</v>
      </c>
      <c r="B51" s="4" t="s">
        <v>46</v>
      </c>
      <c r="C51" s="90">
        <f t="shared" ref="C51:C54" si="34">+$C$49*A51</f>
        <v>4.2666666666666666</v>
      </c>
      <c r="D51" s="90">
        <v>4.2666666666666666</v>
      </c>
      <c r="E51" s="90">
        <v>4.2666666666666666</v>
      </c>
      <c r="F51" s="90">
        <v>4.2666666666666666</v>
      </c>
      <c r="G51" s="90">
        <f t="shared" ref="G51:G54" si="35">+$G$49*A51</f>
        <v>4.0533333333333328</v>
      </c>
      <c r="H51" s="90">
        <f t="shared" ref="H51:H54" si="36">+$H$49*A51</f>
        <v>3.8400000000000003</v>
      </c>
      <c r="I51" s="90">
        <v>3.8400000000000003</v>
      </c>
      <c r="J51" s="90">
        <v>4.0533333333333328</v>
      </c>
      <c r="K51" s="90">
        <f t="shared" ref="K51:K54" si="37">+$K$49*A51</f>
        <v>4.4800000000000004</v>
      </c>
      <c r="L51" s="90">
        <v>4.4800000000000004</v>
      </c>
      <c r="M51" s="90">
        <f t="shared" ref="M51:M54" si="38">+$M$49*A51</f>
        <v>4.6933333333333342</v>
      </c>
      <c r="N51" s="90">
        <v>4.6933333333333342</v>
      </c>
      <c r="O51" s="91">
        <f t="shared" ref="O51:O54" si="39">+SUM(C51:N51)</f>
        <v>51.2</v>
      </c>
      <c r="P51" s="152"/>
    </row>
    <row r="52" spans="1:16" ht="14.25" thickTop="1" thickBot="1" x14ac:dyDescent="0.25">
      <c r="A52" s="31">
        <v>0.3037037037037037</v>
      </c>
      <c r="B52" s="4" t="s">
        <v>47</v>
      </c>
      <c r="C52" s="90">
        <f t="shared" si="34"/>
        <v>14.577777777777778</v>
      </c>
      <c r="D52" s="90">
        <v>14.577777777777778</v>
      </c>
      <c r="E52" s="90">
        <v>14.577777777777778</v>
      </c>
      <c r="F52" s="90">
        <v>14.577777777777778</v>
      </c>
      <c r="G52" s="90">
        <f t="shared" si="35"/>
        <v>13.848888888888887</v>
      </c>
      <c r="H52" s="90">
        <f t="shared" si="36"/>
        <v>13.120000000000001</v>
      </c>
      <c r="I52" s="90">
        <v>13.120000000000001</v>
      </c>
      <c r="J52" s="90">
        <v>13.848888888888887</v>
      </c>
      <c r="K52" s="90">
        <f t="shared" si="37"/>
        <v>15.306666666666668</v>
      </c>
      <c r="L52" s="90">
        <v>15.306666666666668</v>
      </c>
      <c r="M52" s="90">
        <f t="shared" si="38"/>
        <v>16.035555555555558</v>
      </c>
      <c r="N52" s="90">
        <v>16.035555555555558</v>
      </c>
      <c r="O52" s="91">
        <f t="shared" si="39"/>
        <v>174.93333333333337</v>
      </c>
      <c r="P52" s="152"/>
    </row>
    <row r="53" spans="1:16" ht="14.25" thickTop="1" thickBot="1" x14ac:dyDescent="0.25">
      <c r="A53" s="31">
        <v>0</v>
      </c>
      <c r="B53" s="4" t="s">
        <v>48</v>
      </c>
      <c r="C53" s="90">
        <f t="shared" si="34"/>
        <v>0</v>
      </c>
      <c r="D53" s="90">
        <v>0</v>
      </c>
      <c r="E53" s="90">
        <v>0</v>
      </c>
      <c r="F53" s="90">
        <v>0</v>
      </c>
      <c r="G53" s="90">
        <f t="shared" si="35"/>
        <v>0</v>
      </c>
      <c r="H53" s="90">
        <f t="shared" si="36"/>
        <v>0</v>
      </c>
      <c r="I53" s="90">
        <v>0</v>
      </c>
      <c r="J53" s="90">
        <v>0</v>
      </c>
      <c r="K53" s="90">
        <f t="shared" si="37"/>
        <v>0</v>
      </c>
      <c r="L53" s="90">
        <v>0</v>
      </c>
      <c r="M53" s="90">
        <f t="shared" si="38"/>
        <v>0</v>
      </c>
      <c r="N53" s="90">
        <v>0</v>
      </c>
      <c r="O53" s="91">
        <f t="shared" si="39"/>
        <v>0</v>
      </c>
      <c r="P53" s="152"/>
    </row>
    <row r="54" spans="1:16" ht="14.25" thickTop="1" thickBot="1" x14ac:dyDescent="0.25">
      <c r="A54" s="31">
        <v>1.4814814814814815E-2</v>
      </c>
      <c r="B54" s="4" t="s">
        <v>49</v>
      </c>
      <c r="C54" s="90">
        <f t="shared" si="34"/>
        <v>0.71111111111111114</v>
      </c>
      <c r="D54" s="90">
        <v>0.71111111111111114</v>
      </c>
      <c r="E54" s="90">
        <v>0.71111111111111114</v>
      </c>
      <c r="F54" s="90">
        <v>0.71111111111111114</v>
      </c>
      <c r="G54" s="90">
        <f t="shared" si="35"/>
        <v>0.67555555555555546</v>
      </c>
      <c r="H54" s="90">
        <f t="shared" si="36"/>
        <v>0.64</v>
      </c>
      <c r="I54" s="90">
        <v>0.64</v>
      </c>
      <c r="J54" s="90">
        <v>0.67555555555555546</v>
      </c>
      <c r="K54" s="90">
        <f t="shared" si="37"/>
        <v>0.74666666666666681</v>
      </c>
      <c r="L54" s="90">
        <v>0.74666666666666681</v>
      </c>
      <c r="M54" s="90">
        <f t="shared" si="38"/>
        <v>0.78222222222222226</v>
      </c>
      <c r="N54" s="90">
        <v>0.78222222222222226</v>
      </c>
      <c r="O54" s="91">
        <f t="shared" si="39"/>
        <v>8.5333333333333332</v>
      </c>
      <c r="P54" s="152"/>
    </row>
    <row r="55" spans="1:16" ht="14.25" thickTop="1" thickBot="1" x14ac:dyDescent="0.25">
      <c r="B55" s="80" t="s">
        <v>39</v>
      </c>
      <c r="C55" s="49">
        <v>125.5</v>
      </c>
      <c r="D55" s="49">
        <v>125.5</v>
      </c>
      <c r="E55" s="49">
        <v>125.5</v>
      </c>
      <c r="F55" s="49">
        <v>125.5</v>
      </c>
      <c r="G55" s="49">
        <f>125.5*0.95</f>
        <v>119.22499999999999</v>
      </c>
      <c r="H55" s="49">
        <f>125.5*0.9</f>
        <v>112.95</v>
      </c>
      <c r="I55" s="49">
        <f>125.5*0.9</f>
        <v>112.95</v>
      </c>
      <c r="J55" s="49">
        <f>125.5*0.95</f>
        <v>119.22499999999999</v>
      </c>
      <c r="K55" s="49">
        <f>125.5*1.05</f>
        <v>131.77500000000001</v>
      </c>
      <c r="L55" s="49">
        <f>125.5*1.05</f>
        <v>131.77500000000001</v>
      </c>
      <c r="M55" s="49">
        <f>125.5*1.1</f>
        <v>138.05000000000001</v>
      </c>
      <c r="N55" s="49">
        <f>125.5*1.1</f>
        <v>138.05000000000001</v>
      </c>
      <c r="O55" s="49">
        <f>SUM(N55,M55,L55,K55,J55,I55,H55,G55,F55,E55,D55,C55)</f>
        <v>1506</v>
      </c>
    </row>
    <row r="56" spans="1:16" ht="14.25" thickTop="1" thickBot="1" x14ac:dyDescent="0.25">
      <c r="A56" s="31">
        <v>0.71101573676680974</v>
      </c>
      <c r="B56" s="4" t="s">
        <v>45</v>
      </c>
      <c r="C56" s="90">
        <f>+$C$55*A56</f>
        <v>89.232474964234626</v>
      </c>
      <c r="D56" s="90">
        <v>89.232474964234626</v>
      </c>
      <c r="E56" s="90">
        <v>89.232474964234626</v>
      </c>
      <c r="F56" s="90">
        <v>89.232474964234626</v>
      </c>
      <c r="G56" s="90">
        <f>+$G$55*A56</f>
        <v>84.770851216022891</v>
      </c>
      <c r="H56" s="90">
        <f>+$H$55*A56</f>
        <v>80.309227467811155</v>
      </c>
      <c r="I56" s="90">
        <v>80.309227467811155</v>
      </c>
      <c r="J56" s="90">
        <v>84.770851216022891</v>
      </c>
      <c r="K56" s="90">
        <f>+$K$55*A56</f>
        <v>93.694098712446362</v>
      </c>
      <c r="L56" s="90">
        <f>+K56</f>
        <v>93.694098712446362</v>
      </c>
      <c r="M56" s="90">
        <f>+$M$55*A56</f>
        <v>98.155722460658097</v>
      </c>
      <c r="N56" s="90">
        <f>+M56</f>
        <v>98.155722460658097</v>
      </c>
      <c r="O56" s="91">
        <f>+SUM(C56:N56)</f>
        <v>1070.7896995708156</v>
      </c>
      <c r="P56" s="152"/>
    </row>
    <row r="57" spans="1:16" ht="14.25" thickTop="1" thickBot="1" x14ac:dyDescent="0.25">
      <c r="A57" s="31">
        <v>0.20028612303290416</v>
      </c>
      <c r="B57" s="4" t="s">
        <v>46</v>
      </c>
      <c r="C57" s="90">
        <f t="shared" ref="C57:C60" si="40">+$C$55*A57</f>
        <v>25.135908440629471</v>
      </c>
      <c r="D57" s="90">
        <v>25.135908440629471</v>
      </c>
      <c r="E57" s="90">
        <v>25.135908440629471</v>
      </c>
      <c r="F57" s="90">
        <v>25.135908440629471</v>
      </c>
      <c r="G57" s="90">
        <f t="shared" ref="G57:G60" si="41">+$G$55*A57</f>
        <v>23.879113018597998</v>
      </c>
      <c r="H57" s="90">
        <f t="shared" ref="H57:H60" si="42">+$H$55*A57</f>
        <v>22.622317596566525</v>
      </c>
      <c r="I57" s="90">
        <v>22.622317596566525</v>
      </c>
      <c r="J57" s="90">
        <v>23.879113018597998</v>
      </c>
      <c r="K57" s="90">
        <f t="shared" ref="K57:K60" si="43">+$K$55*A57</f>
        <v>26.392703862660948</v>
      </c>
      <c r="L57" s="90">
        <f t="shared" ref="L57:L60" si="44">+K57</f>
        <v>26.392703862660948</v>
      </c>
      <c r="M57" s="90">
        <f t="shared" ref="M57:M60" si="45">+$M$55*A57</f>
        <v>27.649499284692421</v>
      </c>
      <c r="N57" s="90">
        <f t="shared" ref="N57:N60" si="46">+M57</f>
        <v>27.649499284692421</v>
      </c>
      <c r="O57" s="91">
        <f t="shared" ref="O57:O60" si="47">+SUM(C57:N57)</f>
        <v>301.63090128755363</v>
      </c>
      <c r="P57" s="152"/>
    </row>
    <row r="58" spans="1:16" ht="14.25" thickTop="1" thickBot="1" x14ac:dyDescent="0.25">
      <c r="A58" s="31">
        <v>7.1530758226037203E-2</v>
      </c>
      <c r="B58" s="4" t="s">
        <v>47</v>
      </c>
      <c r="C58" s="90">
        <f t="shared" si="40"/>
        <v>8.9771101573676688</v>
      </c>
      <c r="D58" s="90">
        <v>8.9771101573676688</v>
      </c>
      <c r="E58" s="90">
        <v>8.9771101573676688</v>
      </c>
      <c r="F58" s="90">
        <v>8.9771101573676688</v>
      </c>
      <c r="G58" s="90">
        <f t="shared" si="41"/>
        <v>8.528254649499285</v>
      </c>
      <c r="H58" s="90">
        <f t="shared" si="42"/>
        <v>8.079399141630903</v>
      </c>
      <c r="I58" s="90">
        <v>8.079399141630903</v>
      </c>
      <c r="J58" s="90">
        <v>8.528254649499285</v>
      </c>
      <c r="K58" s="90">
        <f t="shared" si="43"/>
        <v>9.4259656652360526</v>
      </c>
      <c r="L58" s="90">
        <f t="shared" si="44"/>
        <v>9.4259656652360526</v>
      </c>
      <c r="M58" s="90">
        <f t="shared" si="45"/>
        <v>9.8748211731044364</v>
      </c>
      <c r="N58" s="90">
        <f t="shared" si="46"/>
        <v>9.8748211731044364</v>
      </c>
      <c r="O58" s="91">
        <f t="shared" si="47"/>
        <v>107.72532188841203</v>
      </c>
      <c r="P58" s="152"/>
    </row>
    <row r="59" spans="1:16" ht="14.25" thickTop="1" thickBot="1" x14ac:dyDescent="0.25">
      <c r="A59" s="31">
        <v>1.0014306151645207E-2</v>
      </c>
      <c r="B59" s="4" t="s">
        <v>48</v>
      </c>
      <c r="C59" s="90">
        <f t="shared" si="40"/>
        <v>1.2567954220314734</v>
      </c>
      <c r="D59" s="90">
        <v>1.2567954220314734</v>
      </c>
      <c r="E59" s="90">
        <v>1.2567954220314734</v>
      </c>
      <c r="F59" s="90">
        <v>1.2567954220314734</v>
      </c>
      <c r="G59" s="90">
        <f t="shared" si="41"/>
        <v>1.1939556509298999</v>
      </c>
      <c r="H59" s="90">
        <f t="shared" si="42"/>
        <v>1.1311158798283263</v>
      </c>
      <c r="I59" s="90">
        <v>1.1311158798283263</v>
      </c>
      <c r="J59" s="90">
        <v>1.1939556509298999</v>
      </c>
      <c r="K59" s="90">
        <f t="shared" si="43"/>
        <v>1.3196351931330472</v>
      </c>
      <c r="L59" s="90">
        <f t="shared" si="44"/>
        <v>1.3196351931330472</v>
      </c>
      <c r="M59" s="90">
        <f t="shared" si="45"/>
        <v>1.382474964234621</v>
      </c>
      <c r="N59" s="90">
        <f t="shared" si="46"/>
        <v>1.382474964234621</v>
      </c>
      <c r="O59" s="91">
        <f t="shared" si="47"/>
        <v>15.081545064377682</v>
      </c>
      <c r="P59" s="152"/>
    </row>
    <row r="60" spans="1:16" ht="14.25" thickTop="1" thickBot="1" x14ac:dyDescent="0.25">
      <c r="A60" s="31">
        <v>7.1530758226037196E-3</v>
      </c>
      <c r="B60" s="4" t="s">
        <v>49</v>
      </c>
      <c r="C60" s="90">
        <f t="shared" si="40"/>
        <v>0.89771101573676682</v>
      </c>
      <c r="D60" s="90">
        <v>0.89771101573676682</v>
      </c>
      <c r="E60" s="90">
        <v>0.89771101573676682</v>
      </c>
      <c r="F60" s="90">
        <v>0.89771101573676682</v>
      </c>
      <c r="G60" s="90">
        <f t="shared" si="41"/>
        <v>0.85282546494992839</v>
      </c>
      <c r="H60" s="90">
        <f t="shared" si="42"/>
        <v>0.80793991416309019</v>
      </c>
      <c r="I60" s="90">
        <v>0.80793991416309019</v>
      </c>
      <c r="J60" s="90">
        <v>0.85282546494992839</v>
      </c>
      <c r="K60" s="90">
        <f t="shared" si="43"/>
        <v>0.94259656652360524</v>
      </c>
      <c r="L60" s="90">
        <f t="shared" si="44"/>
        <v>0.94259656652360524</v>
      </c>
      <c r="M60" s="90">
        <f t="shared" si="45"/>
        <v>0.98748211731044355</v>
      </c>
      <c r="N60" s="90">
        <f t="shared" si="46"/>
        <v>0.98748211731044355</v>
      </c>
      <c r="O60" s="91">
        <f t="shared" si="47"/>
        <v>10.772532188841202</v>
      </c>
      <c r="P60" s="152"/>
    </row>
    <row r="61" spans="1:16" ht="14.25" thickTop="1" thickBot="1" x14ac:dyDescent="0.25">
      <c r="B61" s="80" t="s">
        <v>34</v>
      </c>
      <c r="C61" s="49">
        <v>120</v>
      </c>
      <c r="D61" s="49">
        <v>120</v>
      </c>
      <c r="E61" s="49">
        <v>120</v>
      </c>
      <c r="F61" s="49">
        <v>120</v>
      </c>
      <c r="G61" s="49">
        <f>120*0.95</f>
        <v>114</v>
      </c>
      <c r="H61" s="49">
        <f>120*0.9</f>
        <v>108</v>
      </c>
      <c r="I61" s="49">
        <f>120*0.9</f>
        <v>108</v>
      </c>
      <c r="J61" s="49">
        <f>120*0.95</f>
        <v>114</v>
      </c>
      <c r="K61" s="49">
        <f>120*1.05</f>
        <v>126</v>
      </c>
      <c r="L61" s="49">
        <f>120*1.05</f>
        <v>126</v>
      </c>
      <c r="M61" s="49">
        <f>120*1.1</f>
        <v>132</v>
      </c>
      <c r="N61" s="49">
        <f>120*1.1</f>
        <v>132</v>
      </c>
      <c r="O61" s="49">
        <f>SUM(N61,M61,L61,K61,J61,I61,H61,G61,F61,E61,D61,C61)</f>
        <v>1440</v>
      </c>
    </row>
    <row r="62" spans="1:16" ht="14.25" thickTop="1" thickBot="1" x14ac:dyDescent="0.25">
      <c r="A62" s="31">
        <v>0.77005347593582885</v>
      </c>
      <c r="B62" s="4" t="s">
        <v>45</v>
      </c>
      <c r="C62" s="90">
        <f>+$C$61*A62</f>
        <v>92.406417112299465</v>
      </c>
      <c r="D62" s="90">
        <f>+C62</f>
        <v>92.406417112299465</v>
      </c>
      <c r="E62" s="90">
        <f>+C62</f>
        <v>92.406417112299465</v>
      </c>
      <c r="F62" s="90">
        <f>+C62</f>
        <v>92.406417112299465</v>
      </c>
      <c r="G62" s="90">
        <f>+$G$61*A62</f>
        <v>87.786096256684488</v>
      </c>
      <c r="H62" s="90">
        <f>+$H$61*A62</f>
        <v>83.16577540106951</v>
      </c>
      <c r="I62" s="90">
        <f>+H62</f>
        <v>83.16577540106951</v>
      </c>
      <c r="J62" s="90">
        <f>+G62</f>
        <v>87.786096256684488</v>
      </c>
      <c r="K62" s="90">
        <f>+$K$61*A62</f>
        <v>97.026737967914428</v>
      </c>
      <c r="L62" s="90">
        <f>+K62</f>
        <v>97.026737967914428</v>
      </c>
      <c r="M62" s="90">
        <f>+$M$61*A62</f>
        <v>101.64705882352941</v>
      </c>
      <c r="N62" s="90">
        <f>+M62</f>
        <v>101.64705882352941</v>
      </c>
      <c r="O62" s="91">
        <f>+SUM(C62:N62)</f>
        <v>1108.8770053475935</v>
      </c>
      <c r="P62" s="152"/>
    </row>
    <row r="63" spans="1:16" ht="14.25" thickTop="1" thickBot="1" x14ac:dyDescent="0.25">
      <c r="A63" s="31">
        <v>0.10962566844919786</v>
      </c>
      <c r="B63" s="4" t="s">
        <v>46</v>
      </c>
      <c r="C63" s="90">
        <f t="shared" ref="C63:C66" si="48">+$C$61*A63</f>
        <v>13.155080213903743</v>
      </c>
      <c r="D63" s="90">
        <f t="shared" ref="D63:D66" si="49">+C63</f>
        <v>13.155080213903743</v>
      </c>
      <c r="E63" s="90">
        <f t="shared" ref="E63:E66" si="50">+C63</f>
        <v>13.155080213903743</v>
      </c>
      <c r="F63" s="90">
        <f t="shared" ref="F63:F66" si="51">+C63</f>
        <v>13.155080213903743</v>
      </c>
      <c r="G63" s="90">
        <f t="shared" ref="G63:G66" si="52">+$G$61*A63</f>
        <v>12.497326203208555</v>
      </c>
      <c r="H63" s="90">
        <f t="shared" ref="H63:H66" si="53">+$H$61*A63</f>
        <v>11.839572192513369</v>
      </c>
      <c r="I63" s="90">
        <f t="shared" ref="I63:I66" si="54">+H63</f>
        <v>11.839572192513369</v>
      </c>
      <c r="J63" s="90">
        <f t="shared" ref="J63:J66" si="55">+G63</f>
        <v>12.497326203208555</v>
      </c>
      <c r="K63" s="90">
        <f t="shared" ref="K63:K66" si="56">+$K$61*A63</f>
        <v>13.81283422459893</v>
      </c>
      <c r="L63" s="90">
        <f t="shared" ref="L63:L66" si="57">+K63</f>
        <v>13.81283422459893</v>
      </c>
      <c r="M63" s="90">
        <f t="shared" ref="M63:M66" si="58">+$M$61*A63</f>
        <v>14.470588235294116</v>
      </c>
      <c r="N63" s="90">
        <f t="shared" ref="N63:N66" si="59">+M63</f>
        <v>14.470588235294116</v>
      </c>
      <c r="O63" s="91">
        <f>+SUM(C63:N63)</f>
        <v>157.86096256684493</v>
      </c>
      <c r="P63" s="152"/>
    </row>
    <row r="64" spans="1:16" ht="14.25" thickTop="1" thickBot="1" x14ac:dyDescent="0.25">
      <c r="A64" s="31">
        <v>4.2780748663101602E-2</v>
      </c>
      <c r="B64" s="4" t="s">
        <v>47</v>
      </c>
      <c r="C64" s="90">
        <f t="shared" si="48"/>
        <v>5.1336898395721926</v>
      </c>
      <c r="D64" s="90">
        <f t="shared" si="49"/>
        <v>5.1336898395721926</v>
      </c>
      <c r="E64" s="90">
        <f t="shared" si="50"/>
        <v>5.1336898395721926</v>
      </c>
      <c r="F64" s="90">
        <f t="shared" si="51"/>
        <v>5.1336898395721926</v>
      </c>
      <c r="G64" s="90">
        <f t="shared" si="52"/>
        <v>4.8770053475935828</v>
      </c>
      <c r="H64" s="90">
        <f t="shared" si="53"/>
        <v>4.6203208556149731</v>
      </c>
      <c r="I64" s="90">
        <f t="shared" si="54"/>
        <v>4.6203208556149731</v>
      </c>
      <c r="J64" s="90">
        <f t="shared" si="55"/>
        <v>4.8770053475935828</v>
      </c>
      <c r="K64" s="90">
        <f t="shared" si="56"/>
        <v>5.3903743315508015</v>
      </c>
      <c r="L64" s="90">
        <f t="shared" si="57"/>
        <v>5.3903743315508015</v>
      </c>
      <c r="M64" s="90">
        <f t="shared" si="58"/>
        <v>5.6470588235294112</v>
      </c>
      <c r="N64" s="90">
        <f t="shared" si="59"/>
        <v>5.6470588235294112</v>
      </c>
      <c r="O64" s="91">
        <f t="shared" ref="O64:O66" si="60">+SUM(C64:N64)</f>
        <v>61.604278074866315</v>
      </c>
      <c r="P64" s="152"/>
    </row>
    <row r="65" spans="1:16" ht="14.25" thickTop="1" thickBot="1" x14ac:dyDescent="0.25">
      <c r="A65" s="31">
        <v>3.4759358288770054E-2</v>
      </c>
      <c r="B65" s="4" t="s">
        <v>48</v>
      </c>
      <c r="C65" s="90">
        <f t="shared" si="48"/>
        <v>4.1711229946524062</v>
      </c>
      <c r="D65" s="90">
        <f t="shared" si="49"/>
        <v>4.1711229946524062</v>
      </c>
      <c r="E65" s="90">
        <f t="shared" si="50"/>
        <v>4.1711229946524062</v>
      </c>
      <c r="F65" s="90">
        <f t="shared" si="51"/>
        <v>4.1711229946524062</v>
      </c>
      <c r="G65" s="90">
        <f t="shared" si="52"/>
        <v>3.9625668449197859</v>
      </c>
      <c r="H65" s="90">
        <f t="shared" si="53"/>
        <v>3.7540106951871657</v>
      </c>
      <c r="I65" s="90">
        <f t="shared" si="54"/>
        <v>3.7540106951871657</v>
      </c>
      <c r="J65" s="90">
        <f t="shared" si="55"/>
        <v>3.9625668449197859</v>
      </c>
      <c r="K65" s="90">
        <f t="shared" si="56"/>
        <v>4.3796791443850269</v>
      </c>
      <c r="L65" s="90">
        <f t="shared" si="57"/>
        <v>4.3796791443850269</v>
      </c>
      <c r="M65" s="90">
        <f t="shared" si="58"/>
        <v>4.5882352941176467</v>
      </c>
      <c r="N65" s="90">
        <f t="shared" si="59"/>
        <v>4.5882352941176467</v>
      </c>
      <c r="O65" s="91">
        <f t="shared" si="60"/>
        <v>50.053475935828878</v>
      </c>
      <c r="P65" s="152"/>
    </row>
    <row r="66" spans="1:16" ht="14.25" thickTop="1" thickBot="1" x14ac:dyDescent="0.25">
      <c r="A66" s="31">
        <v>4.2780748663101602E-2</v>
      </c>
      <c r="B66" s="4" t="s">
        <v>49</v>
      </c>
      <c r="C66" s="90">
        <f t="shared" si="48"/>
        <v>5.1336898395721926</v>
      </c>
      <c r="D66" s="90">
        <f t="shared" si="49"/>
        <v>5.1336898395721926</v>
      </c>
      <c r="E66" s="90">
        <f t="shared" si="50"/>
        <v>5.1336898395721926</v>
      </c>
      <c r="F66" s="90">
        <f t="shared" si="51"/>
        <v>5.1336898395721926</v>
      </c>
      <c r="G66" s="90">
        <f t="shared" si="52"/>
        <v>4.8770053475935828</v>
      </c>
      <c r="H66" s="90">
        <f t="shared" si="53"/>
        <v>4.6203208556149731</v>
      </c>
      <c r="I66" s="90">
        <f t="shared" si="54"/>
        <v>4.6203208556149731</v>
      </c>
      <c r="J66" s="90">
        <f t="shared" si="55"/>
        <v>4.8770053475935828</v>
      </c>
      <c r="K66" s="90">
        <f t="shared" si="56"/>
        <v>5.3903743315508015</v>
      </c>
      <c r="L66" s="90">
        <f t="shared" si="57"/>
        <v>5.3903743315508015</v>
      </c>
      <c r="M66" s="90">
        <f t="shared" si="58"/>
        <v>5.6470588235294112</v>
      </c>
      <c r="N66" s="90">
        <f t="shared" si="59"/>
        <v>5.6470588235294112</v>
      </c>
      <c r="O66" s="91">
        <f t="shared" si="60"/>
        <v>61.604278074866315</v>
      </c>
      <c r="P66" s="152"/>
    </row>
    <row r="67" spans="1:16" ht="14.25" thickTop="1" thickBot="1" x14ac:dyDescent="0.25">
      <c r="B67" s="80" t="s">
        <v>31</v>
      </c>
      <c r="C67" s="49">
        <v>96</v>
      </c>
      <c r="D67" s="49">
        <v>96</v>
      </c>
      <c r="E67" s="49">
        <v>96</v>
      </c>
      <c r="F67" s="49">
        <v>96</v>
      </c>
      <c r="G67" s="49">
        <f>96*0.95</f>
        <v>91.199999999999989</v>
      </c>
      <c r="H67" s="49">
        <f>96*0.9</f>
        <v>86.4</v>
      </c>
      <c r="I67" s="49">
        <f>96*0.9</f>
        <v>86.4</v>
      </c>
      <c r="J67" s="49">
        <f>96*0.95</f>
        <v>91.199999999999989</v>
      </c>
      <c r="K67" s="49">
        <f>96*1.05</f>
        <v>100.80000000000001</v>
      </c>
      <c r="L67" s="49">
        <f>96*1.05</f>
        <v>100.80000000000001</v>
      </c>
      <c r="M67" s="49">
        <f>96*1.1</f>
        <v>105.60000000000001</v>
      </c>
      <c r="N67" s="49">
        <f>96*1.1</f>
        <v>105.60000000000001</v>
      </c>
      <c r="O67" s="49">
        <f t="shared" ref="O67:O86" si="61">SUM(N67,M67,L67,K67,J67,I67,H67,G67,F67,E67,D67,C67)</f>
        <v>1152</v>
      </c>
    </row>
    <row r="68" spans="1:16" ht="14.25" thickTop="1" thickBot="1" x14ac:dyDescent="0.25">
      <c r="A68" s="31">
        <v>0.74215552523874484</v>
      </c>
      <c r="B68" s="4" t="s">
        <v>45</v>
      </c>
      <c r="C68" s="90">
        <f>+$C$67*A68</f>
        <v>71.246930422919505</v>
      </c>
      <c r="D68" s="90">
        <f>+C68</f>
        <v>71.246930422919505</v>
      </c>
      <c r="E68" s="90">
        <f>+C68</f>
        <v>71.246930422919505</v>
      </c>
      <c r="F68" s="90">
        <f>+C68</f>
        <v>71.246930422919505</v>
      </c>
      <c r="G68" s="90">
        <f>+$G$67*A68</f>
        <v>67.684583901773522</v>
      </c>
      <c r="H68" s="90">
        <f>+$H$67*A68</f>
        <v>64.122237380627553</v>
      </c>
      <c r="I68" s="90">
        <f>+H68</f>
        <v>64.122237380627553</v>
      </c>
      <c r="J68" s="90">
        <f>+G68</f>
        <v>67.684583901773522</v>
      </c>
      <c r="K68" s="90">
        <f>+$K$67*A68</f>
        <v>74.809276944065488</v>
      </c>
      <c r="L68" s="90">
        <f>+K68</f>
        <v>74.809276944065488</v>
      </c>
      <c r="M68" s="90">
        <f>+$M$67*A68</f>
        <v>78.371623465211457</v>
      </c>
      <c r="N68" s="90">
        <f>+M68</f>
        <v>78.371623465211457</v>
      </c>
      <c r="O68" s="91">
        <f t="shared" si="61"/>
        <v>854.963165075034</v>
      </c>
      <c r="P68" s="152"/>
    </row>
    <row r="69" spans="1:16" ht="14.25" thickTop="1" thickBot="1" x14ac:dyDescent="0.25">
      <c r="A69" s="31">
        <v>4.0927694406548434E-2</v>
      </c>
      <c r="B69" s="4" t="s">
        <v>46</v>
      </c>
      <c r="C69" s="90">
        <f t="shared" ref="C69:C72" si="62">+$C$67*A69</f>
        <v>3.9290586630286497</v>
      </c>
      <c r="D69" s="90">
        <f t="shared" ref="D69:D72" si="63">+C69</f>
        <v>3.9290586630286497</v>
      </c>
      <c r="E69" s="90">
        <f t="shared" ref="E69:E72" si="64">+C69</f>
        <v>3.9290586630286497</v>
      </c>
      <c r="F69" s="90">
        <f t="shared" ref="F69:F72" si="65">+C69</f>
        <v>3.9290586630286497</v>
      </c>
      <c r="G69" s="90">
        <f t="shared" ref="G69:G72" si="66">+$G$67*A69</f>
        <v>3.7326057298772168</v>
      </c>
      <c r="H69" s="90">
        <f t="shared" ref="H69:H72" si="67">+$H$67*A69</f>
        <v>3.5361527967257849</v>
      </c>
      <c r="I69" s="90">
        <f t="shared" ref="I69:I72" si="68">+H69</f>
        <v>3.5361527967257849</v>
      </c>
      <c r="J69" s="90">
        <f t="shared" ref="J69:J72" si="69">+G69</f>
        <v>3.7326057298772168</v>
      </c>
      <c r="K69" s="90">
        <f t="shared" ref="K69:K72" si="70">+$K$67*A69</f>
        <v>4.1255115961800826</v>
      </c>
      <c r="L69" s="90">
        <f t="shared" ref="L69:L72" si="71">+K69</f>
        <v>4.1255115961800826</v>
      </c>
      <c r="M69" s="90">
        <f t="shared" ref="M69:M72" si="72">+$M$67*A69</f>
        <v>4.321964529331515</v>
      </c>
      <c r="N69" s="90">
        <f t="shared" ref="N69:N72" si="73">+M69</f>
        <v>4.321964529331515</v>
      </c>
      <c r="O69" s="91">
        <f t="shared" si="61"/>
        <v>47.148703956343795</v>
      </c>
      <c r="P69" s="152"/>
    </row>
    <row r="70" spans="1:16" ht="14.25" thickTop="1" thickBot="1" x14ac:dyDescent="0.25">
      <c r="A70" s="31">
        <v>0.16234652114597545</v>
      </c>
      <c r="B70" s="4" t="s">
        <v>47</v>
      </c>
      <c r="C70" s="90">
        <f t="shared" si="62"/>
        <v>15.585266030013642</v>
      </c>
      <c r="D70" s="90">
        <f t="shared" si="63"/>
        <v>15.585266030013642</v>
      </c>
      <c r="E70" s="90">
        <f t="shared" si="64"/>
        <v>15.585266030013642</v>
      </c>
      <c r="F70" s="90">
        <f t="shared" si="65"/>
        <v>15.585266030013642</v>
      </c>
      <c r="G70" s="90">
        <f t="shared" si="66"/>
        <v>14.80600272851296</v>
      </c>
      <c r="H70" s="90">
        <f t="shared" si="67"/>
        <v>14.026739427012279</v>
      </c>
      <c r="I70" s="90">
        <f t="shared" si="68"/>
        <v>14.026739427012279</v>
      </c>
      <c r="J70" s="90">
        <f t="shared" si="69"/>
        <v>14.80600272851296</v>
      </c>
      <c r="K70" s="90">
        <f t="shared" si="70"/>
        <v>16.364529331514326</v>
      </c>
      <c r="L70" s="90">
        <f t="shared" si="71"/>
        <v>16.364529331514326</v>
      </c>
      <c r="M70" s="90">
        <f t="shared" si="72"/>
        <v>17.143792633015007</v>
      </c>
      <c r="N70" s="90">
        <f t="shared" si="73"/>
        <v>17.143792633015007</v>
      </c>
      <c r="O70" s="91">
        <f t="shared" si="61"/>
        <v>187.02319236016376</v>
      </c>
      <c r="P70" s="152"/>
    </row>
    <row r="71" spans="1:16" ht="14.25" thickTop="1" thickBot="1" x14ac:dyDescent="0.25">
      <c r="A71" s="31">
        <v>3.6834924965893585E-2</v>
      </c>
      <c r="B71" s="4" t="s">
        <v>48</v>
      </c>
      <c r="C71" s="90">
        <f t="shared" si="62"/>
        <v>3.5361527967257844</v>
      </c>
      <c r="D71" s="90">
        <f t="shared" si="63"/>
        <v>3.5361527967257844</v>
      </c>
      <c r="E71" s="90">
        <f t="shared" si="64"/>
        <v>3.5361527967257844</v>
      </c>
      <c r="F71" s="90">
        <f t="shared" si="65"/>
        <v>3.5361527967257844</v>
      </c>
      <c r="G71" s="90">
        <f t="shared" si="66"/>
        <v>3.3593451568894945</v>
      </c>
      <c r="H71" s="90">
        <f t="shared" si="67"/>
        <v>3.182537517053206</v>
      </c>
      <c r="I71" s="90">
        <f t="shared" si="68"/>
        <v>3.182537517053206</v>
      </c>
      <c r="J71" s="90">
        <f t="shared" si="69"/>
        <v>3.3593451568894945</v>
      </c>
      <c r="K71" s="90">
        <f t="shared" si="70"/>
        <v>3.7129604365620739</v>
      </c>
      <c r="L71" s="90">
        <f t="shared" si="71"/>
        <v>3.7129604365620739</v>
      </c>
      <c r="M71" s="90">
        <f t="shared" si="72"/>
        <v>3.8897680763983629</v>
      </c>
      <c r="N71" s="90">
        <f t="shared" si="73"/>
        <v>3.8897680763983629</v>
      </c>
      <c r="O71" s="91">
        <f t="shared" si="61"/>
        <v>42.433833560709417</v>
      </c>
      <c r="P71" s="152"/>
    </row>
    <row r="72" spans="1:16" ht="14.25" thickTop="1" thickBot="1" x14ac:dyDescent="0.25">
      <c r="A72" s="31">
        <v>1.7735334242837655E-2</v>
      </c>
      <c r="B72" s="4" t="s">
        <v>49</v>
      </c>
      <c r="C72" s="90">
        <f t="shared" si="62"/>
        <v>1.7025920873124147</v>
      </c>
      <c r="D72" s="90">
        <f t="shared" si="63"/>
        <v>1.7025920873124147</v>
      </c>
      <c r="E72" s="90">
        <f t="shared" si="64"/>
        <v>1.7025920873124147</v>
      </c>
      <c r="F72" s="90">
        <f t="shared" si="65"/>
        <v>1.7025920873124147</v>
      </c>
      <c r="G72" s="90">
        <f t="shared" si="66"/>
        <v>1.6174624829467938</v>
      </c>
      <c r="H72" s="90">
        <f t="shared" si="67"/>
        <v>1.5323328785811734</v>
      </c>
      <c r="I72" s="90">
        <f t="shared" si="68"/>
        <v>1.5323328785811734</v>
      </c>
      <c r="J72" s="90">
        <f t="shared" si="69"/>
        <v>1.6174624829467938</v>
      </c>
      <c r="K72" s="90">
        <f t="shared" si="70"/>
        <v>1.7877216916780359</v>
      </c>
      <c r="L72" s="90">
        <f t="shared" si="71"/>
        <v>1.7877216916780359</v>
      </c>
      <c r="M72" s="90">
        <f t="shared" si="72"/>
        <v>1.8728512960436565</v>
      </c>
      <c r="N72" s="90">
        <f t="shared" si="73"/>
        <v>1.8728512960436565</v>
      </c>
      <c r="O72" s="91">
        <f t="shared" si="61"/>
        <v>20.431105047748979</v>
      </c>
      <c r="P72" s="152"/>
    </row>
    <row r="73" spans="1:16" ht="14.25" thickTop="1" thickBot="1" x14ac:dyDescent="0.25">
      <c r="B73" s="80" t="s">
        <v>41</v>
      </c>
      <c r="C73" s="49">
        <v>60</v>
      </c>
      <c r="D73" s="49">
        <v>60</v>
      </c>
      <c r="E73" s="49">
        <v>60</v>
      </c>
      <c r="F73" s="49">
        <v>60</v>
      </c>
      <c r="G73" s="49">
        <f>60*0.95</f>
        <v>57</v>
      </c>
      <c r="H73" s="49">
        <f>60*0.9</f>
        <v>54</v>
      </c>
      <c r="I73" s="49">
        <f>60*0.9</f>
        <v>54</v>
      </c>
      <c r="J73" s="49">
        <f>60*0.95</f>
        <v>57</v>
      </c>
      <c r="K73" s="49">
        <f>60*1.05</f>
        <v>63</v>
      </c>
      <c r="L73" s="49">
        <f>60*1.05</f>
        <v>63</v>
      </c>
      <c r="M73" s="49">
        <f>60*1.1</f>
        <v>66</v>
      </c>
      <c r="N73" s="49">
        <f>60*1.1</f>
        <v>66</v>
      </c>
      <c r="O73" s="49">
        <f t="shared" si="61"/>
        <v>720</v>
      </c>
    </row>
    <row r="74" spans="1:16" ht="14.25" thickTop="1" thickBot="1" x14ac:dyDescent="0.25">
      <c r="A74" s="31">
        <v>0.6470588235294118</v>
      </c>
      <c r="B74" s="4" t="s">
        <v>45</v>
      </c>
      <c r="C74" s="90">
        <f>+$C$73*A74</f>
        <v>38.82352941176471</v>
      </c>
      <c r="D74" s="90">
        <f>+C74</f>
        <v>38.82352941176471</v>
      </c>
      <c r="E74" s="90">
        <f>+C74</f>
        <v>38.82352941176471</v>
      </c>
      <c r="F74" s="90">
        <f>+C74</f>
        <v>38.82352941176471</v>
      </c>
      <c r="G74" s="90">
        <f>+$G$73*A74</f>
        <v>36.882352941176471</v>
      </c>
      <c r="H74" s="90">
        <f>+$H$73*A74</f>
        <v>34.941176470588239</v>
      </c>
      <c r="I74" s="90">
        <f>+H74</f>
        <v>34.941176470588239</v>
      </c>
      <c r="J74" s="90">
        <f>+$J$73*A74</f>
        <v>36.882352941176471</v>
      </c>
      <c r="K74" s="90">
        <f>+$K$73*A74</f>
        <v>40.764705882352942</v>
      </c>
      <c r="L74" s="90">
        <f>+K74</f>
        <v>40.764705882352942</v>
      </c>
      <c r="M74" s="90">
        <f>+$M$73*A74</f>
        <v>42.705882352941181</v>
      </c>
      <c r="N74" s="90">
        <f>+M74</f>
        <v>42.705882352941181</v>
      </c>
      <c r="O74" s="91">
        <f t="shared" si="61"/>
        <v>465.88235294117641</v>
      </c>
      <c r="P74" s="152"/>
    </row>
    <row r="75" spans="1:16" ht="14.25" thickTop="1" thickBot="1" x14ac:dyDescent="0.25">
      <c r="A75" s="31">
        <v>6.3725490196078427E-2</v>
      </c>
      <c r="B75" s="4" t="s">
        <v>46</v>
      </c>
      <c r="C75" s="90">
        <f t="shared" ref="C75:C78" si="74">+$C$73*A75</f>
        <v>3.8235294117647056</v>
      </c>
      <c r="D75" s="90">
        <f t="shared" ref="D75:D78" si="75">+C75</f>
        <v>3.8235294117647056</v>
      </c>
      <c r="E75" s="90">
        <f t="shared" ref="E75:E78" si="76">+C75</f>
        <v>3.8235294117647056</v>
      </c>
      <c r="F75" s="90">
        <f t="shared" ref="F75:F78" si="77">+C75</f>
        <v>3.8235294117647056</v>
      </c>
      <c r="G75" s="90">
        <f t="shared" ref="G75:G78" si="78">+$G$73*A75</f>
        <v>3.6323529411764701</v>
      </c>
      <c r="H75" s="90">
        <f t="shared" ref="H75:H78" si="79">+$H$73*A75</f>
        <v>3.4411764705882351</v>
      </c>
      <c r="I75" s="90">
        <f t="shared" ref="I75:I78" si="80">+H75</f>
        <v>3.4411764705882351</v>
      </c>
      <c r="J75" s="90">
        <f t="shared" ref="J75:J78" si="81">+$J$73*A75</f>
        <v>3.6323529411764701</v>
      </c>
      <c r="K75" s="90">
        <f t="shared" ref="K75:K78" si="82">+$K$73*A75</f>
        <v>4.0147058823529411</v>
      </c>
      <c r="L75" s="90">
        <f t="shared" ref="L75:L78" si="83">+K75</f>
        <v>4.0147058823529411</v>
      </c>
      <c r="M75" s="90">
        <f t="shared" ref="M75:M78" si="84">+$M$73*A75</f>
        <v>4.2058823529411757</v>
      </c>
      <c r="N75" s="90">
        <f t="shared" ref="N75:N78" si="85">+M75</f>
        <v>4.2058823529411757</v>
      </c>
      <c r="O75" s="91">
        <f t="shared" si="61"/>
        <v>45.882352941176464</v>
      </c>
      <c r="P75" s="152"/>
    </row>
    <row r="76" spans="1:16" ht="14.25" thickTop="1" thickBot="1" x14ac:dyDescent="0.25">
      <c r="A76" s="31">
        <v>0.26960784313725489</v>
      </c>
      <c r="B76" s="4" t="s">
        <v>47</v>
      </c>
      <c r="C76" s="90">
        <f t="shared" si="74"/>
        <v>16.176470588235293</v>
      </c>
      <c r="D76" s="90">
        <f t="shared" si="75"/>
        <v>16.176470588235293</v>
      </c>
      <c r="E76" s="90">
        <f t="shared" si="76"/>
        <v>16.176470588235293</v>
      </c>
      <c r="F76" s="90">
        <f t="shared" si="77"/>
        <v>16.176470588235293</v>
      </c>
      <c r="G76" s="90">
        <f t="shared" si="78"/>
        <v>15.367647058823529</v>
      </c>
      <c r="H76" s="90">
        <f t="shared" si="79"/>
        <v>14.558823529411764</v>
      </c>
      <c r="I76" s="90">
        <f t="shared" si="80"/>
        <v>14.558823529411764</v>
      </c>
      <c r="J76" s="90">
        <f t="shared" si="81"/>
        <v>15.367647058823529</v>
      </c>
      <c r="K76" s="90">
        <f t="shared" si="82"/>
        <v>16.985294117647058</v>
      </c>
      <c r="L76" s="90">
        <f t="shared" si="83"/>
        <v>16.985294117647058</v>
      </c>
      <c r="M76" s="90">
        <f t="shared" si="84"/>
        <v>17.794117647058822</v>
      </c>
      <c r="N76" s="90">
        <f t="shared" si="85"/>
        <v>17.794117647058822</v>
      </c>
      <c r="O76" s="91">
        <f t="shared" si="61"/>
        <v>194.11764705882359</v>
      </c>
      <c r="P76" s="152"/>
    </row>
    <row r="77" spans="1:16" ht="14.25" thickTop="1" thickBot="1" x14ac:dyDescent="0.25">
      <c r="A77" s="31">
        <v>1.9607843137254902E-2</v>
      </c>
      <c r="B77" s="4" t="s">
        <v>48</v>
      </c>
      <c r="C77" s="90">
        <f t="shared" si="74"/>
        <v>1.1764705882352942</v>
      </c>
      <c r="D77" s="90">
        <f t="shared" si="75"/>
        <v>1.1764705882352942</v>
      </c>
      <c r="E77" s="90">
        <f t="shared" si="76"/>
        <v>1.1764705882352942</v>
      </c>
      <c r="F77" s="90">
        <f t="shared" si="77"/>
        <v>1.1764705882352942</v>
      </c>
      <c r="G77" s="90">
        <f t="shared" si="78"/>
        <v>1.1176470588235294</v>
      </c>
      <c r="H77" s="90">
        <f t="shared" si="79"/>
        <v>1.0588235294117647</v>
      </c>
      <c r="I77" s="90">
        <f t="shared" si="80"/>
        <v>1.0588235294117647</v>
      </c>
      <c r="J77" s="90">
        <f t="shared" si="81"/>
        <v>1.1176470588235294</v>
      </c>
      <c r="K77" s="90">
        <f t="shared" si="82"/>
        <v>1.2352941176470589</v>
      </c>
      <c r="L77" s="90">
        <f t="shared" si="83"/>
        <v>1.2352941176470589</v>
      </c>
      <c r="M77" s="90">
        <f t="shared" si="84"/>
        <v>1.2941176470588236</v>
      </c>
      <c r="N77" s="90">
        <f t="shared" si="85"/>
        <v>1.2941176470588236</v>
      </c>
      <c r="O77" s="91">
        <f t="shared" si="61"/>
        <v>14.117647058823525</v>
      </c>
      <c r="P77" s="152"/>
    </row>
    <row r="78" spans="1:16" ht="14.25" thickTop="1" thickBot="1" x14ac:dyDescent="0.25">
      <c r="A78" s="31">
        <v>0</v>
      </c>
      <c r="B78" s="4" t="s">
        <v>49</v>
      </c>
      <c r="C78" s="90">
        <f t="shared" si="74"/>
        <v>0</v>
      </c>
      <c r="D78" s="90">
        <f t="shared" si="75"/>
        <v>0</v>
      </c>
      <c r="E78" s="90">
        <f t="shared" si="76"/>
        <v>0</v>
      </c>
      <c r="F78" s="90">
        <f t="shared" si="77"/>
        <v>0</v>
      </c>
      <c r="G78" s="90">
        <f t="shared" si="78"/>
        <v>0</v>
      </c>
      <c r="H78" s="90">
        <f t="shared" si="79"/>
        <v>0</v>
      </c>
      <c r="I78" s="90">
        <f t="shared" si="80"/>
        <v>0</v>
      </c>
      <c r="J78" s="90">
        <f t="shared" si="81"/>
        <v>0</v>
      </c>
      <c r="K78" s="90">
        <f t="shared" si="82"/>
        <v>0</v>
      </c>
      <c r="L78" s="90">
        <f t="shared" si="83"/>
        <v>0</v>
      </c>
      <c r="M78" s="90">
        <f t="shared" si="84"/>
        <v>0</v>
      </c>
      <c r="N78" s="90">
        <f t="shared" si="85"/>
        <v>0</v>
      </c>
      <c r="O78" s="91">
        <f t="shared" si="61"/>
        <v>0</v>
      </c>
      <c r="P78" s="152"/>
    </row>
    <row r="79" spans="1:16" ht="14.25" thickTop="1" thickBot="1" x14ac:dyDescent="0.25">
      <c r="B79" s="80" t="s">
        <v>32</v>
      </c>
      <c r="C79" s="49">
        <v>60</v>
      </c>
      <c r="D79" s="49">
        <v>60</v>
      </c>
      <c r="E79" s="49">
        <v>60</v>
      </c>
      <c r="F79" s="49">
        <v>60</v>
      </c>
      <c r="G79" s="49">
        <f>60*0.95</f>
        <v>57</v>
      </c>
      <c r="H79" s="49">
        <f>60*0.9</f>
        <v>54</v>
      </c>
      <c r="I79" s="49">
        <f>60*0.9</f>
        <v>54</v>
      </c>
      <c r="J79" s="49">
        <f>60*0.95</f>
        <v>57</v>
      </c>
      <c r="K79" s="49">
        <f>60*1.05</f>
        <v>63</v>
      </c>
      <c r="L79" s="49">
        <f>60*1.05</f>
        <v>63</v>
      </c>
      <c r="M79" s="49">
        <f>60*1.1</f>
        <v>66</v>
      </c>
      <c r="N79" s="49">
        <f>60*1.1</f>
        <v>66</v>
      </c>
      <c r="O79" s="49">
        <f t="shared" si="61"/>
        <v>720</v>
      </c>
    </row>
    <row r="80" spans="1:16" ht="14.25" thickTop="1" thickBot="1" x14ac:dyDescent="0.25">
      <c r="A80" s="31">
        <v>0.67422680412371139</v>
      </c>
      <c r="B80" s="4" t="s">
        <v>45</v>
      </c>
      <c r="C80" s="90">
        <f>+$C$79*A80</f>
        <v>40.453608247422686</v>
      </c>
      <c r="D80" s="90">
        <f>+C80</f>
        <v>40.453608247422686</v>
      </c>
      <c r="E80" s="90">
        <f>+C80</f>
        <v>40.453608247422686</v>
      </c>
      <c r="F80" s="90">
        <f>+C80</f>
        <v>40.453608247422686</v>
      </c>
      <c r="G80" s="90">
        <f>+$G$79*A80</f>
        <v>38.430927835051548</v>
      </c>
      <c r="H80" s="90">
        <f>+$H$79*A80</f>
        <v>36.408247422680418</v>
      </c>
      <c r="I80" s="90">
        <f>+H80</f>
        <v>36.408247422680418</v>
      </c>
      <c r="J80" s="90">
        <f>+$J$79*A80</f>
        <v>38.430927835051548</v>
      </c>
      <c r="K80" s="90">
        <f>+$K$79*A80</f>
        <v>42.476288659793816</v>
      </c>
      <c r="L80" s="90">
        <f>+K80</f>
        <v>42.476288659793816</v>
      </c>
      <c r="M80" s="90">
        <f>+$M$79*A80</f>
        <v>44.498969072164954</v>
      </c>
      <c r="N80" s="90">
        <f>+M80</f>
        <v>44.498969072164954</v>
      </c>
      <c r="O80" s="91">
        <f t="shared" si="61"/>
        <v>485.44329896907209</v>
      </c>
      <c r="P80" s="152"/>
    </row>
    <row r="81" spans="1:16" ht="14.25" thickTop="1" thickBot="1" x14ac:dyDescent="0.25">
      <c r="A81" s="31">
        <v>7.628865979381444E-2</v>
      </c>
      <c r="B81" s="4" t="s">
        <v>46</v>
      </c>
      <c r="C81" s="90">
        <f t="shared" ref="C81:C84" si="86">+$C$79*A81</f>
        <v>4.5773195876288666</v>
      </c>
      <c r="D81" s="90">
        <f t="shared" ref="D81:D84" si="87">+C81</f>
        <v>4.5773195876288666</v>
      </c>
      <c r="E81" s="90">
        <f t="shared" ref="E81:E84" si="88">+C81</f>
        <v>4.5773195876288666</v>
      </c>
      <c r="F81" s="90">
        <f t="shared" ref="F81:F84" si="89">+C81</f>
        <v>4.5773195876288666</v>
      </c>
      <c r="G81" s="90">
        <f t="shared" ref="G81:G84" si="90">+$G$79*A81</f>
        <v>4.3484536082474232</v>
      </c>
      <c r="H81" s="90">
        <f t="shared" ref="H81:H84" si="91">+$H$79*A81</f>
        <v>4.1195876288659798</v>
      </c>
      <c r="I81" s="90">
        <f t="shared" ref="I81:I84" si="92">+H81</f>
        <v>4.1195876288659798</v>
      </c>
      <c r="J81" s="90">
        <f t="shared" ref="J81:J84" si="93">+$J$79*A81</f>
        <v>4.3484536082474232</v>
      </c>
      <c r="K81" s="90">
        <f t="shared" ref="K81:K84" si="94">+$K$79*A81</f>
        <v>4.80618556701031</v>
      </c>
      <c r="L81" s="90">
        <f t="shared" ref="L81:L84" si="95">+K81</f>
        <v>4.80618556701031</v>
      </c>
      <c r="M81" s="90">
        <f t="shared" ref="M81:M84" si="96">+$M$79*A81</f>
        <v>5.0350515463917533</v>
      </c>
      <c r="N81" s="90">
        <f t="shared" ref="N81:N84" si="97">+M81</f>
        <v>5.0350515463917533</v>
      </c>
      <c r="O81" s="91">
        <f t="shared" si="61"/>
        <v>54.927835051546388</v>
      </c>
      <c r="P81" s="152"/>
    </row>
    <row r="82" spans="1:16" ht="14.25" thickTop="1" thickBot="1" x14ac:dyDescent="0.25">
      <c r="A82" s="31">
        <v>0.20824742268041238</v>
      </c>
      <c r="B82" s="4" t="s">
        <v>47</v>
      </c>
      <c r="C82" s="90">
        <f t="shared" si="86"/>
        <v>12.494845360824742</v>
      </c>
      <c r="D82" s="90">
        <f t="shared" si="87"/>
        <v>12.494845360824742</v>
      </c>
      <c r="E82" s="90">
        <f t="shared" si="88"/>
        <v>12.494845360824742</v>
      </c>
      <c r="F82" s="90">
        <f t="shared" si="89"/>
        <v>12.494845360824742</v>
      </c>
      <c r="G82" s="90">
        <f t="shared" si="90"/>
        <v>11.870103092783506</v>
      </c>
      <c r="H82" s="90">
        <f t="shared" si="91"/>
        <v>11.245360824742269</v>
      </c>
      <c r="I82" s="90">
        <f t="shared" si="92"/>
        <v>11.245360824742269</v>
      </c>
      <c r="J82" s="90">
        <f t="shared" si="93"/>
        <v>11.870103092783506</v>
      </c>
      <c r="K82" s="90">
        <f t="shared" si="94"/>
        <v>13.119587628865981</v>
      </c>
      <c r="L82" s="90">
        <f t="shared" si="95"/>
        <v>13.119587628865981</v>
      </c>
      <c r="M82" s="90">
        <f t="shared" si="96"/>
        <v>13.744329896907217</v>
      </c>
      <c r="N82" s="90">
        <f t="shared" si="97"/>
        <v>13.744329896907217</v>
      </c>
      <c r="O82" s="91">
        <f t="shared" si="61"/>
        <v>149.93814432989691</v>
      </c>
      <c r="P82" s="152"/>
    </row>
    <row r="83" spans="1:16" ht="14.25" thickTop="1" thickBot="1" x14ac:dyDescent="0.25">
      <c r="A83" s="31">
        <v>3.2989690721649485E-2</v>
      </c>
      <c r="B83" s="4" t="s">
        <v>48</v>
      </c>
      <c r="C83" s="90">
        <f t="shared" si="86"/>
        <v>1.9793814432989691</v>
      </c>
      <c r="D83" s="90">
        <f t="shared" si="87"/>
        <v>1.9793814432989691</v>
      </c>
      <c r="E83" s="90">
        <f t="shared" si="88"/>
        <v>1.9793814432989691</v>
      </c>
      <c r="F83" s="90">
        <f t="shared" si="89"/>
        <v>1.9793814432989691</v>
      </c>
      <c r="G83" s="90">
        <f t="shared" si="90"/>
        <v>1.8804123711340206</v>
      </c>
      <c r="H83" s="90">
        <f t="shared" si="91"/>
        <v>1.7814432989690723</v>
      </c>
      <c r="I83" s="90">
        <f t="shared" si="92"/>
        <v>1.7814432989690723</v>
      </c>
      <c r="J83" s="90">
        <f t="shared" si="93"/>
        <v>1.8804123711340206</v>
      </c>
      <c r="K83" s="90">
        <f t="shared" si="94"/>
        <v>2.0783505154639177</v>
      </c>
      <c r="L83" s="90">
        <f t="shared" si="95"/>
        <v>2.0783505154639177</v>
      </c>
      <c r="M83" s="90">
        <f t="shared" si="96"/>
        <v>2.1773195876288662</v>
      </c>
      <c r="N83" s="90">
        <f t="shared" si="97"/>
        <v>2.1773195876288662</v>
      </c>
      <c r="O83" s="91">
        <f t="shared" si="61"/>
        <v>23.75257731958763</v>
      </c>
      <c r="P83" s="152"/>
    </row>
    <row r="84" spans="1:16" ht="14.25" thickTop="1" thickBot="1" x14ac:dyDescent="0.25">
      <c r="A84" s="31">
        <v>8.2474226804123713E-3</v>
      </c>
      <c r="B84" s="4" t="s">
        <v>49</v>
      </c>
      <c r="C84" s="90">
        <f t="shared" si="86"/>
        <v>0.49484536082474229</v>
      </c>
      <c r="D84" s="90">
        <f t="shared" si="87"/>
        <v>0.49484536082474229</v>
      </c>
      <c r="E84" s="90">
        <f t="shared" si="88"/>
        <v>0.49484536082474229</v>
      </c>
      <c r="F84" s="90">
        <f t="shared" si="89"/>
        <v>0.49484536082474229</v>
      </c>
      <c r="G84" s="90">
        <f t="shared" si="90"/>
        <v>0.47010309278350515</v>
      </c>
      <c r="H84" s="90">
        <f t="shared" si="91"/>
        <v>0.44536082474226807</v>
      </c>
      <c r="I84" s="90">
        <f t="shared" si="92"/>
        <v>0.44536082474226807</v>
      </c>
      <c r="J84" s="90">
        <f t="shared" si="93"/>
        <v>0.47010309278350515</v>
      </c>
      <c r="K84" s="90">
        <f t="shared" si="94"/>
        <v>0.51958762886597942</v>
      </c>
      <c r="L84" s="90">
        <f t="shared" si="95"/>
        <v>0.51958762886597942</v>
      </c>
      <c r="M84" s="90">
        <f t="shared" si="96"/>
        <v>0.54432989690721656</v>
      </c>
      <c r="N84" s="90">
        <f t="shared" si="97"/>
        <v>0.54432989690721656</v>
      </c>
      <c r="O84" s="91">
        <f t="shared" si="61"/>
        <v>5.9381443298969074</v>
      </c>
      <c r="P84" s="152"/>
    </row>
    <row r="85" spans="1:16" ht="14.25" thickTop="1" thickBot="1" x14ac:dyDescent="0.25">
      <c r="B85" s="80" t="s">
        <v>27</v>
      </c>
      <c r="C85" s="49">
        <v>144</v>
      </c>
      <c r="D85" s="49">
        <v>144</v>
      </c>
      <c r="E85" s="49">
        <v>144</v>
      </c>
      <c r="F85" s="49">
        <v>144</v>
      </c>
      <c r="G85" s="49">
        <f>144*0.95</f>
        <v>136.79999999999998</v>
      </c>
      <c r="H85" s="49">
        <f>144*0.9</f>
        <v>129.6</v>
      </c>
      <c r="I85" s="49">
        <f>144*0.9</f>
        <v>129.6</v>
      </c>
      <c r="J85" s="49">
        <f>144*0.95</f>
        <v>136.79999999999998</v>
      </c>
      <c r="K85" s="49">
        <f>144*1.05</f>
        <v>151.20000000000002</v>
      </c>
      <c r="L85" s="49">
        <f>144*1.05</f>
        <v>151.20000000000002</v>
      </c>
      <c r="M85" s="49">
        <f>144*1.1</f>
        <v>158.4</v>
      </c>
      <c r="N85" s="49">
        <f>144*1.1</f>
        <v>158.4</v>
      </c>
      <c r="O85" s="49">
        <f t="shared" si="61"/>
        <v>1728</v>
      </c>
    </row>
    <row r="86" spans="1:16" ht="14.25" thickTop="1" thickBot="1" x14ac:dyDescent="0.25">
      <c r="A86" s="31">
        <v>0.79321314952279953</v>
      </c>
      <c r="B86" s="4" t="s">
        <v>45</v>
      </c>
      <c r="C86" s="90">
        <f>+$C$85*A86</f>
        <v>114.22269353128313</v>
      </c>
      <c r="D86" s="90">
        <f>+C86</f>
        <v>114.22269353128313</v>
      </c>
      <c r="E86" s="90">
        <f>+C86</f>
        <v>114.22269353128313</v>
      </c>
      <c r="F86" s="90">
        <f>+C86</f>
        <v>114.22269353128313</v>
      </c>
      <c r="G86" s="90">
        <f>+$G$85*A86</f>
        <v>108.51155885471896</v>
      </c>
      <c r="H86" s="90">
        <f>+$H$85*A86</f>
        <v>102.80042417815481</v>
      </c>
      <c r="I86" s="90">
        <f>+H86</f>
        <v>102.80042417815481</v>
      </c>
      <c r="J86" s="90">
        <f>+$J$85*A86</f>
        <v>108.51155885471896</v>
      </c>
      <c r="K86" s="90">
        <f>+$K$85*A86</f>
        <v>119.9338282078473</v>
      </c>
      <c r="L86" s="90">
        <f>+K86</f>
        <v>119.9338282078473</v>
      </c>
      <c r="M86" s="90">
        <f>+$M$85*A86</f>
        <v>125.64496288441146</v>
      </c>
      <c r="N86" s="90">
        <f>+M86</f>
        <v>125.64496288441146</v>
      </c>
      <c r="O86" s="91">
        <f t="shared" si="61"/>
        <v>1370.6723223753975</v>
      </c>
      <c r="P86" s="152"/>
    </row>
    <row r="87" spans="1:16" ht="14.25" thickTop="1" thickBot="1" x14ac:dyDescent="0.25">
      <c r="A87" s="31">
        <v>6.3626723223753979E-3</v>
      </c>
      <c r="B87" s="4" t="s">
        <v>46</v>
      </c>
      <c r="C87" s="90">
        <f t="shared" ref="C87:C90" si="98">+$C$85*A87</f>
        <v>0.91622481442205728</v>
      </c>
      <c r="D87" s="90">
        <f t="shared" ref="D87:D90" si="99">+C87</f>
        <v>0.91622481442205728</v>
      </c>
      <c r="E87" s="90">
        <f t="shared" ref="E87:E90" si="100">+C87</f>
        <v>0.91622481442205728</v>
      </c>
      <c r="F87" s="90">
        <f t="shared" ref="F87:F90" si="101">+C87</f>
        <v>0.91622481442205728</v>
      </c>
      <c r="G87" s="90">
        <f t="shared" ref="G87:G90" si="102">+$G$85*A87</f>
        <v>0.87041357370095429</v>
      </c>
      <c r="H87" s="90">
        <f t="shared" ref="H87:H90" si="103">+$H$85*A87</f>
        <v>0.82460233297985153</v>
      </c>
      <c r="I87" s="90">
        <f t="shared" ref="I87:I90" si="104">+H87</f>
        <v>0.82460233297985153</v>
      </c>
      <c r="J87" s="90">
        <f t="shared" ref="J87:J90" si="105">+$J$85*A87</f>
        <v>0.87041357370095429</v>
      </c>
      <c r="K87" s="90">
        <f t="shared" ref="K87:K90" si="106">+$K$85*A87</f>
        <v>0.96203605514316026</v>
      </c>
      <c r="L87" s="90">
        <f t="shared" ref="L87:L90" si="107">+K87</f>
        <v>0.96203605514316026</v>
      </c>
      <c r="M87" s="90">
        <f t="shared" ref="M87:M90" si="108">+$M$85*A87</f>
        <v>1.007847295864263</v>
      </c>
      <c r="N87" s="90">
        <f t="shared" ref="N87:N90" si="109">+M87</f>
        <v>1.007847295864263</v>
      </c>
      <c r="O87" s="91">
        <f t="shared" ref="O87:O90" si="110">SUM(N87,M87,L87,K87,J87,I87,H87,G87,F87,E87,D87,C87)</f>
        <v>10.994697773064685</v>
      </c>
      <c r="P87" s="152"/>
    </row>
    <row r="88" spans="1:16" ht="14.25" thickTop="1" thickBot="1" x14ac:dyDescent="0.25">
      <c r="A88" s="31">
        <v>0.18451749734888653</v>
      </c>
      <c r="B88" s="4" t="s">
        <v>47</v>
      </c>
      <c r="C88" s="90">
        <f t="shared" si="98"/>
        <v>26.570519618239661</v>
      </c>
      <c r="D88" s="90">
        <f t="shared" si="99"/>
        <v>26.570519618239661</v>
      </c>
      <c r="E88" s="90">
        <f t="shared" si="100"/>
        <v>26.570519618239661</v>
      </c>
      <c r="F88" s="90">
        <f t="shared" si="101"/>
        <v>26.570519618239661</v>
      </c>
      <c r="G88" s="90">
        <f t="shared" si="102"/>
        <v>25.241993637327674</v>
      </c>
      <c r="H88" s="90">
        <f t="shared" si="103"/>
        <v>23.913467656415694</v>
      </c>
      <c r="I88" s="90">
        <f t="shared" si="104"/>
        <v>23.913467656415694</v>
      </c>
      <c r="J88" s="90">
        <f t="shared" si="105"/>
        <v>25.241993637327674</v>
      </c>
      <c r="K88" s="90">
        <f t="shared" si="106"/>
        <v>27.899045599151648</v>
      </c>
      <c r="L88" s="90">
        <f t="shared" si="107"/>
        <v>27.899045599151648</v>
      </c>
      <c r="M88" s="90">
        <f t="shared" si="108"/>
        <v>29.227571580063628</v>
      </c>
      <c r="N88" s="90">
        <f t="shared" si="109"/>
        <v>29.227571580063628</v>
      </c>
      <c r="O88" s="91">
        <f t="shared" si="110"/>
        <v>318.84623541887589</v>
      </c>
      <c r="P88" s="152"/>
    </row>
    <row r="89" spans="1:16" ht="14.25" thickTop="1" thickBot="1" x14ac:dyDescent="0.25">
      <c r="A89" s="31">
        <v>9.5440084835630972E-3</v>
      </c>
      <c r="B89" s="4" t="s">
        <v>48</v>
      </c>
      <c r="C89" s="90">
        <f t="shared" si="98"/>
        <v>1.374337221633086</v>
      </c>
      <c r="D89" s="90">
        <f t="shared" si="99"/>
        <v>1.374337221633086</v>
      </c>
      <c r="E89" s="90">
        <f t="shared" si="100"/>
        <v>1.374337221633086</v>
      </c>
      <c r="F89" s="90">
        <f t="shared" si="101"/>
        <v>1.374337221633086</v>
      </c>
      <c r="G89" s="90">
        <f t="shared" si="102"/>
        <v>1.3056203605514316</v>
      </c>
      <c r="H89" s="90">
        <f t="shared" si="103"/>
        <v>1.2369034994697774</v>
      </c>
      <c r="I89" s="90">
        <f t="shared" si="104"/>
        <v>1.2369034994697774</v>
      </c>
      <c r="J89" s="90">
        <f t="shared" si="105"/>
        <v>1.3056203605514316</v>
      </c>
      <c r="K89" s="90">
        <f t="shared" si="106"/>
        <v>1.4430540827147404</v>
      </c>
      <c r="L89" s="90">
        <f t="shared" si="107"/>
        <v>1.4430540827147404</v>
      </c>
      <c r="M89" s="90">
        <f t="shared" si="108"/>
        <v>1.5117709437963947</v>
      </c>
      <c r="N89" s="90">
        <f t="shared" si="109"/>
        <v>1.5117709437963947</v>
      </c>
      <c r="O89" s="91">
        <f t="shared" si="110"/>
        <v>16.492046659597033</v>
      </c>
      <c r="P89" s="152"/>
    </row>
    <row r="90" spans="1:16" ht="14.25" thickTop="1" thickBot="1" x14ac:dyDescent="0.25">
      <c r="A90" s="31">
        <v>6.3626723223753979E-3</v>
      </c>
      <c r="B90" s="4" t="s">
        <v>49</v>
      </c>
      <c r="C90" s="90">
        <f t="shared" si="98"/>
        <v>0.91622481442205728</v>
      </c>
      <c r="D90" s="90">
        <f t="shared" si="99"/>
        <v>0.91622481442205728</v>
      </c>
      <c r="E90" s="90">
        <f t="shared" si="100"/>
        <v>0.91622481442205728</v>
      </c>
      <c r="F90" s="90">
        <f t="shared" si="101"/>
        <v>0.91622481442205728</v>
      </c>
      <c r="G90" s="90">
        <f t="shared" si="102"/>
        <v>0.87041357370095429</v>
      </c>
      <c r="H90" s="90">
        <f t="shared" si="103"/>
        <v>0.82460233297985153</v>
      </c>
      <c r="I90" s="90">
        <f t="shared" si="104"/>
        <v>0.82460233297985153</v>
      </c>
      <c r="J90" s="90">
        <f t="shared" si="105"/>
        <v>0.87041357370095429</v>
      </c>
      <c r="K90" s="90">
        <f t="shared" si="106"/>
        <v>0.96203605514316026</v>
      </c>
      <c r="L90" s="90">
        <f t="shared" si="107"/>
        <v>0.96203605514316026</v>
      </c>
      <c r="M90" s="90">
        <f t="shared" si="108"/>
        <v>1.007847295864263</v>
      </c>
      <c r="N90" s="90">
        <f t="shared" si="109"/>
        <v>1.007847295864263</v>
      </c>
      <c r="O90" s="91">
        <f t="shared" si="110"/>
        <v>10.994697773064685</v>
      </c>
      <c r="P90" s="152"/>
    </row>
    <row r="91" spans="1:16" ht="14.25" thickTop="1" thickBot="1" x14ac:dyDescent="0.25">
      <c r="B91" s="80" t="s">
        <v>42</v>
      </c>
      <c r="C91" s="49">
        <v>72</v>
      </c>
      <c r="D91" s="49">
        <v>72</v>
      </c>
      <c r="E91" s="49">
        <v>72</v>
      </c>
      <c r="F91" s="49">
        <v>72</v>
      </c>
      <c r="G91" s="49">
        <f>72*0.95</f>
        <v>68.399999999999991</v>
      </c>
      <c r="H91" s="49">
        <f>72*0.9</f>
        <v>64.8</v>
      </c>
      <c r="I91" s="49">
        <f>72*0.9</f>
        <v>64.8</v>
      </c>
      <c r="J91" s="49">
        <f>72*0.95</f>
        <v>68.399999999999991</v>
      </c>
      <c r="K91" s="49">
        <f>72*1.05</f>
        <v>75.600000000000009</v>
      </c>
      <c r="L91" s="49">
        <f>72*1.05</f>
        <v>75.600000000000009</v>
      </c>
      <c r="M91" s="49">
        <f>72*1.1</f>
        <v>79.2</v>
      </c>
      <c r="N91" s="49">
        <f>72*1.1</f>
        <v>79.2</v>
      </c>
      <c r="O91" s="49">
        <f t="shared" ref="O91:O102" si="111">SUM(N91,M91,L91,K91,J91,I91,H91,G91,F91,E91,D91,C91)</f>
        <v>864</v>
      </c>
    </row>
    <row r="92" spans="1:16" ht="14.25" thickTop="1" thickBot="1" x14ac:dyDescent="0.25">
      <c r="A92" s="31">
        <v>0.76717948717948714</v>
      </c>
      <c r="B92" s="4" t="s">
        <v>45</v>
      </c>
      <c r="C92" s="90">
        <f>+$C$91*A92</f>
        <v>55.236923076923077</v>
      </c>
      <c r="D92" s="90">
        <f>+C92</f>
        <v>55.236923076923077</v>
      </c>
      <c r="E92" s="90">
        <f>+C92</f>
        <v>55.236923076923077</v>
      </c>
      <c r="F92" s="90">
        <f>+C92</f>
        <v>55.236923076923077</v>
      </c>
      <c r="G92" s="90">
        <f>+$G$91*A92</f>
        <v>52.475076923076912</v>
      </c>
      <c r="H92" s="90">
        <f>+$H$91*A92</f>
        <v>49.713230769230762</v>
      </c>
      <c r="I92" s="90">
        <f>+H92</f>
        <v>49.713230769230762</v>
      </c>
      <c r="J92" s="90">
        <f>+$J$91*A92</f>
        <v>52.475076923076912</v>
      </c>
      <c r="K92" s="90">
        <f>+$K$91*A92</f>
        <v>57.998769230769234</v>
      </c>
      <c r="L92" s="90">
        <f>+K92</f>
        <v>57.998769230769234</v>
      </c>
      <c r="M92" s="90">
        <f>+$M$91*A92</f>
        <v>60.760615384615384</v>
      </c>
      <c r="N92" s="90">
        <f>+M92</f>
        <v>60.760615384615384</v>
      </c>
      <c r="O92" s="91">
        <f t="shared" si="111"/>
        <v>662.84307692307686</v>
      </c>
      <c r="P92" s="152"/>
    </row>
    <row r="93" spans="1:16" ht="14.25" thickTop="1" thickBot="1" x14ac:dyDescent="0.25">
      <c r="A93" s="31">
        <v>6.1538461538461538E-3</v>
      </c>
      <c r="B93" s="4" t="s">
        <v>46</v>
      </c>
      <c r="C93" s="90">
        <f t="shared" ref="C93:C96" si="112">+$C$91*A93</f>
        <v>0.44307692307692309</v>
      </c>
      <c r="D93" s="90">
        <f t="shared" ref="D93:D96" si="113">+C93</f>
        <v>0.44307692307692309</v>
      </c>
      <c r="E93" s="90">
        <f t="shared" ref="E93:E96" si="114">+C93</f>
        <v>0.44307692307692309</v>
      </c>
      <c r="F93" s="90">
        <f t="shared" ref="F93:F96" si="115">+C93</f>
        <v>0.44307692307692309</v>
      </c>
      <c r="G93" s="90">
        <f t="shared" ref="G93:G96" si="116">+$G$91*A93</f>
        <v>0.42092307692307684</v>
      </c>
      <c r="H93" s="90">
        <f t="shared" ref="H93:H96" si="117">+$H$91*A93</f>
        <v>0.39876923076923076</v>
      </c>
      <c r="I93" s="90">
        <f t="shared" ref="I93:I96" si="118">+H93</f>
        <v>0.39876923076923076</v>
      </c>
      <c r="J93" s="90">
        <f t="shared" ref="J93:J96" si="119">+$J$91*A93</f>
        <v>0.42092307692307684</v>
      </c>
      <c r="K93" s="90">
        <f t="shared" ref="K93:K96" si="120">+$K$91*A93</f>
        <v>0.46523076923076928</v>
      </c>
      <c r="L93" s="90">
        <f t="shared" ref="L93:L96" si="121">+K93</f>
        <v>0.46523076923076928</v>
      </c>
      <c r="M93" s="90">
        <f t="shared" ref="M93:M96" si="122">+$M$91*A93</f>
        <v>0.48738461538461542</v>
      </c>
      <c r="N93" s="90">
        <f t="shared" ref="N93:N96" si="123">+M93</f>
        <v>0.48738461538461542</v>
      </c>
      <c r="O93" s="91">
        <f t="shared" si="111"/>
        <v>5.3169230769230769</v>
      </c>
      <c r="P93" s="152"/>
    </row>
    <row r="94" spans="1:16" ht="14.25" thickTop="1" thickBot="1" x14ac:dyDescent="0.25">
      <c r="A94" s="31">
        <v>0.17846153846153845</v>
      </c>
      <c r="B94" s="4" t="s">
        <v>47</v>
      </c>
      <c r="C94" s="90">
        <f t="shared" si="112"/>
        <v>12.849230769230768</v>
      </c>
      <c r="D94" s="90">
        <f t="shared" si="113"/>
        <v>12.849230769230768</v>
      </c>
      <c r="E94" s="90">
        <f t="shared" si="114"/>
        <v>12.849230769230768</v>
      </c>
      <c r="F94" s="90">
        <f t="shared" si="115"/>
        <v>12.849230769230768</v>
      </c>
      <c r="G94" s="90">
        <f t="shared" si="116"/>
        <v>12.206769230769229</v>
      </c>
      <c r="H94" s="90">
        <f t="shared" si="117"/>
        <v>11.564307692307692</v>
      </c>
      <c r="I94" s="90">
        <f t="shared" si="118"/>
        <v>11.564307692307692</v>
      </c>
      <c r="J94" s="90">
        <f t="shared" si="119"/>
        <v>12.206769230769229</v>
      </c>
      <c r="K94" s="90">
        <f t="shared" si="120"/>
        <v>13.491692307692308</v>
      </c>
      <c r="L94" s="90">
        <f t="shared" si="121"/>
        <v>13.491692307692308</v>
      </c>
      <c r="M94" s="90">
        <f t="shared" si="122"/>
        <v>14.134153846153845</v>
      </c>
      <c r="N94" s="90">
        <f t="shared" si="123"/>
        <v>14.134153846153845</v>
      </c>
      <c r="O94" s="91">
        <f t="shared" si="111"/>
        <v>154.19076923076921</v>
      </c>
      <c r="P94" s="152"/>
    </row>
    <row r="95" spans="1:16" ht="14.25" thickTop="1" thickBot="1" x14ac:dyDescent="0.25">
      <c r="A95" s="31">
        <v>3.8974358974358976E-2</v>
      </c>
      <c r="B95" s="4" t="s">
        <v>48</v>
      </c>
      <c r="C95" s="90">
        <f t="shared" si="112"/>
        <v>2.8061538461538462</v>
      </c>
      <c r="D95" s="90">
        <f t="shared" si="113"/>
        <v>2.8061538461538462</v>
      </c>
      <c r="E95" s="90">
        <f t="shared" si="114"/>
        <v>2.8061538461538462</v>
      </c>
      <c r="F95" s="90">
        <f t="shared" si="115"/>
        <v>2.8061538461538462</v>
      </c>
      <c r="G95" s="90">
        <f t="shared" si="116"/>
        <v>2.6658461538461538</v>
      </c>
      <c r="H95" s="90">
        <f t="shared" si="117"/>
        <v>2.5255384615384617</v>
      </c>
      <c r="I95" s="90">
        <f t="shared" si="118"/>
        <v>2.5255384615384617</v>
      </c>
      <c r="J95" s="90">
        <f t="shared" si="119"/>
        <v>2.6658461538461538</v>
      </c>
      <c r="K95" s="90">
        <f t="shared" si="120"/>
        <v>2.9464615384615391</v>
      </c>
      <c r="L95" s="90">
        <f t="shared" si="121"/>
        <v>2.9464615384615391</v>
      </c>
      <c r="M95" s="90">
        <f t="shared" si="122"/>
        <v>3.0867692307692312</v>
      </c>
      <c r="N95" s="90">
        <f t="shared" si="123"/>
        <v>3.0867692307692312</v>
      </c>
      <c r="O95" s="91">
        <f t="shared" si="111"/>
        <v>33.673846153846164</v>
      </c>
      <c r="P95" s="152"/>
    </row>
    <row r="96" spans="1:16" ht="14.25" thickTop="1" thickBot="1" x14ac:dyDescent="0.25">
      <c r="A96" s="31">
        <v>9.2307692307692316E-3</v>
      </c>
      <c r="B96" s="4" t="s">
        <v>49</v>
      </c>
      <c r="C96" s="90">
        <f t="shared" si="112"/>
        <v>0.66461538461538472</v>
      </c>
      <c r="D96" s="90">
        <f t="shared" si="113"/>
        <v>0.66461538461538472</v>
      </c>
      <c r="E96" s="90">
        <f t="shared" si="114"/>
        <v>0.66461538461538472</v>
      </c>
      <c r="F96" s="90">
        <f t="shared" si="115"/>
        <v>0.66461538461538472</v>
      </c>
      <c r="G96" s="90">
        <f t="shared" si="116"/>
        <v>0.63138461538461532</v>
      </c>
      <c r="H96" s="90">
        <f t="shared" si="117"/>
        <v>0.59815384615384615</v>
      </c>
      <c r="I96" s="90">
        <f t="shared" si="118"/>
        <v>0.59815384615384615</v>
      </c>
      <c r="J96" s="90">
        <f t="shared" si="119"/>
        <v>0.63138461538461532</v>
      </c>
      <c r="K96" s="90">
        <f t="shared" si="120"/>
        <v>0.697846153846154</v>
      </c>
      <c r="L96" s="90">
        <f t="shared" si="121"/>
        <v>0.697846153846154</v>
      </c>
      <c r="M96" s="90">
        <f t="shared" si="122"/>
        <v>0.73107692307692318</v>
      </c>
      <c r="N96" s="90">
        <f t="shared" si="123"/>
        <v>0.73107692307692318</v>
      </c>
      <c r="O96" s="91">
        <f t="shared" si="111"/>
        <v>7.9753846153846144</v>
      </c>
      <c r="P96" s="152"/>
    </row>
    <row r="97" spans="1:16" ht="14.25" thickTop="1" thickBot="1" x14ac:dyDescent="0.25">
      <c r="B97" s="80" t="s">
        <v>26</v>
      </c>
      <c r="C97" s="49">
        <v>255</v>
      </c>
      <c r="D97" s="49">
        <v>255</v>
      </c>
      <c r="E97" s="49">
        <v>255</v>
      </c>
      <c r="F97" s="49">
        <v>255</v>
      </c>
      <c r="G97" s="49">
        <f>255*0.95</f>
        <v>242.25</v>
      </c>
      <c r="H97" s="49">
        <f>255*0.9</f>
        <v>229.5</v>
      </c>
      <c r="I97" s="49">
        <f>255*0.9</f>
        <v>229.5</v>
      </c>
      <c r="J97" s="49">
        <f>255*0.95</f>
        <v>242.25</v>
      </c>
      <c r="K97" s="49">
        <f>255*1.05</f>
        <v>267.75</v>
      </c>
      <c r="L97" s="49">
        <f>255*1.05</f>
        <v>267.75</v>
      </c>
      <c r="M97" s="49">
        <f>255*1.1</f>
        <v>280.5</v>
      </c>
      <c r="N97" s="49">
        <f>255*1.1</f>
        <v>280.5</v>
      </c>
      <c r="O97" s="49">
        <f t="shared" si="111"/>
        <v>3060</v>
      </c>
    </row>
    <row r="98" spans="1:16" ht="14.25" thickTop="1" thickBot="1" x14ac:dyDescent="0.25">
      <c r="A98" s="31">
        <v>0.42395519172770357</v>
      </c>
      <c r="B98" s="4" t="s">
        <v>45</v>
      </c>
      <c r="C98" s="90">
        <f>+$C$97*A98</f>
        <v>108.10857389056441</v>
      </c>
      <c r="D98" s="90">
        <f>+C98</f>
        <v>108.10857389056441</v>
      </c>
      <c r="E98" s="90">
        <f>+C98</f>
        <v>108.10857389056441</v>
      </c>
      <c r="F98" s="90">
        <f>+C98</f>
        <v>108.10857389056441</v>
      </c>
      <c r="G98" s="90">
        <f>+$G$97*A98</f>
        <v>102.70314519603619</v>
      </c>
      <c r="H98" s="90">
        <f>+$H$97*A98</f>
        <v>97.297716501507963</v>
      </c>
      <c r="I98" s="90">
        <f>+H98</f>
        <v>97.297716501507963</v>
      </c>
      <c r="J98" s="90">
        <f>+$J$97*A98</f>
        <v>102.70314519603619</v>
      </c>
      <c r="K98" s="90">
        <f>+$K$97*A98</f>
        <v>113.51400258509263</v>
      </c>
      <c r="L98" s="90">
        <f>+K98</f>
        <v>113.51400258509263</v>
      </c>
      <c r="M98" s="90">
        <f>+$M$97*A98</f>
        <v>118.91943127962085</v>
      </c>
      <c r="N98" s="90">
        <f>+M98</f>
        <v>118.91943127962085</v>
      </c>
      <c r="O98" s="91">
        <f t="shared" si="111"/>
        <v>1297.3028866867728</v>
      </c>
      <c r="P98" s="152"/>
    </row>
    <row r="99" spans="1:16" ht="14.25" thickTop="1" thickBot="1" x14ac:dyDescent="0.25">
      <c r="A99" s="31">
        <v>0.1046962516156829</v>
      </c>
      <c r="B99" s="4" t="s">
        <v>46</v>
      </c>
      <c r="C99" s="90">
        <f t="shared" ref="C99:C102" si="124">+$C$97*A99</f>
        <v>26.69754416199914</v>
      </c>
      <c r="D99" s="90">
        <f t="shared" ref="D99:D102" si="125">+C99</f>
        <v>26.69754416199914</v>
      </c>
      <c r="E99" s="90">
        <f t="shared" ref="E99:E102" si="126">+C99</f>
        <v>26.69754416199914</v>
      </c>
      <c r="F99" s="90">
        <f t="shared" ref="F99:F102" si="127">+C99</f>
        <v>26.69754416199914</v>
      </c>
      <c r="G99" s="90">
        <f t="shared" ref="G99:G102" si="128">+$G$97*A99</f>
        <v>25.362666953899183</v>
      </c>
      <c r="H99" s="90">
        <f t="shared" ref="H99:H102" si="129">+$H$97*A99</f>
        <v>24.027789745799225</v>
      </c>
      <c r="I99" s="90">
        <f t="shared" ref="I99:I102" si="130">+H99</f>
        <v>24.027789745799225</v>
      </c>
      <c r="J99" s="90">
        <f t="shared" ref="J99:J102" si="131">+$J$97*A99</f>
        <v>25.362666953899183</v>
      </c>
      <c r="K99" s="90">
        <f t="shared" ref="K99:K102" si="132">+$K$97*A99</f>
        <v>28.032421370099097</v>
      </c>
      <c r="L99" s="90">
        <f t="shared" ref="L99:L102" si="133">+K99</f>
        <v>28.032421370099097</v>
      </c>
      <c r="M99" s="90">
        <f t="shared" ref="M99:M102" si="134">+$M$97*A99</f>
        <v>29.367298578199051</v>
      </c>
      <c r="N99" s="90">
        <f t="shared" ref="N99:N102" si="135">+M99</f>
        <v>29.367298578199051</v>
      </c>
      <c r="O99" s="91">
        <f t="shared" si="111"/>
        <v>320.37052994398965</v>
      </c>
      <c r="P99" s="152"/>
    </row>
    <row r="100" spans="1:16" ht="14.25" thickTop="1" thickBot="1" x14ac:dyDescent="0.25">
      <c r="A100" s="31">
        <v>0.39896596294700559</v>
      </c>
      <c r="B100" s="4" t="s">
        <v>47</v>
      </c>
      <c r="C100" s="90">
        <f t="shared" si="124"/>
        <v>101.73632055148643</v>
      </c>
      <c r="D100" s="90">
        <f t="shared" si="125"/>
        <v>101.73632055148643</v>
      </c>
      <c r="E100" s="90">
        <f t="shared" si="126"/>
        <v>101.73632055148643</v>
      </c>
      <c r="F100" s="90">
        <f t="shared" si="127"/>
        <v>101.73632055148643</v>
      </c>
      <c r="G100" s="90">
        <f t="shared" si="128"/>
        <v>96.6495045239121</v>
      </c>
      <c r="H100" s="90">
        <f t="shared" si="129"/>
        <v>91.562688496337785</v>
      </c>
      <c r="I100" s="90">
        <f t="shared" si="130"/>
        <v>91.562688496337785</v>
      </c>
      <c r="J100" s="90">
        <f t="shared" si="131"/>
        <v>96.6495045239121</v>
      </c>
      <c r="K100" s="90">
        <f t="shared" si="132"/>
        <v>106.82313657906074</v>
      </c>
      <c r="L100" s="90">
        <f t="shared" si="133"/>
        <v>106.82313657906074</v>
      </c>
      <c r="M100" s="90">
        <f t="shared" si="134"/>
        <v>111.90995260663507</v>
      </c>
      <c r="N100" s="90">
        <f t="shared" si="135"/>
        <v>111.90995260663507</v>
      </c>
      <c r="O100" s="91">
        <f t="shared" si="111"/>
        <v>1220.8358466178372</v>
      </c>
      <c r="P100" s="152"/>
    </row>
    <row r="101" spans="1:16" ht="14.25" thickTop="1" thickBot="1" x14ac:dyDescent="0.25">
      <c r="A101" s="31">
        <v>5.3425247738043947E-2</v>
      </c>
      <c r="B101" s="4" t="s">
        <v>48</v>
      </c>
      <c r="C101" s="90">
        <f t="shared" si="124"/>
        <v>13.623438173201206</v>
      </c>
      <c r="D101" s="90">
        <f t="shared" si="125"/>
        <v>13.623438173201206</v>
      </c>
      <c r="E101" s="90">
        <f t="shared" si="126"/>
        <v>13.623438173201206</v>
      </c>
      <c r="F101" s="90">
        <f t="shared" si="127"/>
        <v>13.623438173201206</v>
      </c>
      <c r="G101" s="90">
        <f t="shared" si="128"/>
        <v>12.942266264541146</v>
      </c>
      <c r="H101" s="90">
        <f t="shared" si="129"/>
        <v>12.261094355881086</v>
      </c>
      <c r="I101" s="90">
        <f t="shared" si="130"/>
        <v>12.261094355881086</v>
      </c>
      <c r="J101" s="90">
        <f t="shared" si="131"/>
        <v>12.942266264541146</v>
      </c>
      <c r="K101" s="90">
        <f t="shared" si="132"/>
        <v>14.304610081861266</v>
      </c>
      <c r="L101" s="90">
        <f t="shared" si="133"/>
        <v>14.304610081861266</v>
      </c>
      <c r="M101" s="90">
        <f t="shared" si="134"/>
        <v>14.985781990521327</v>
      </c>
      <c r="N101" s="90">
        <f t="shared" si="135"/>
        <v>14.985781990521327</v>
      </c>
      <c r="O101" s="91">
        <f t="shared" si="111"/>
        <v>163.48125807841447</v>
      </c>
      <c r="P101" s="152"/>
    </row>
    <row r="102" spans="1:16" ht="14.25" thickTop="1" thickBot="1" x14ac:dyDescent="0.25">
      <c r="A102" s="31">
        <v>1.8957345971563982E-2</v>
      </c>
      <c r="B102" s="4" t="s">
        <v>49</v>
      </c>
      <c r="C102" s="90">
        <f t="shared" si="124"/>
        <v>4.8341232227488158</v>
      </c>
      <c r="D102" s="90">
        <f t="shared" si="125"/>
        <v>4.8341232227488158</v>
      </c>
      <c r="E102" s="90">
        <f t="shared" si="126"/>
        <v>4.8341232227488158</v>
      </c>
      <c r="F102" s="90">
        <f t="shared" si="127"/>
        <v>4.8341232227488158</v>
      </c>
      <c r="G102" s="90">
        <f t="shared" si="128"/>
        <v>4.5924170616113749</v>
      </c>
      <c r="H102" s="90">
        <f t="shared" si="129"/>
        <v>4.3507109004739339</v>
      </c>
      <c r="I102" s="90">
        <f t="shared" si="130"/>
        <v>4.3507109004739339</v>
      </c>
      <c r="J102" s="90">
        <f t="shared" si="131"/>
        <v>4.5924170616113749</v>
      </c>
      <c r="K102" s="90">
        <f t="shared" si="132"/>
        <v>5.0758293838862567</v>
      </c>
      <c r="L102" s="90">
        <f t="shared" si="133"/>
        <v>5.0758293838862567</v>
      </c>
      <c r="M102" s="90">
        <f t="shared" si="134"/>
        <v>5.3175355450236967</v>
      </c>
      <c r="N102" s="90">
        <f t="shared" si="135"/>
        <v>5.3175355450236967</v>
      </c>
      <c r="O102" s="91">
        <f t="shared" si="111"/>
        <v>58.009478672985779</v>
      </c>
      <c r="P102" s="152"/>
    </row>
    <row r="103" spans="1:16" ht="13.5" thickTop="1" x14ac:dyDescent="0.2"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</row>
    <row r="104" spans="1:16" x14ac:dyDescent="0.2">
      <c r="B104" s="39"/>
      <c r="C104" s="69" t="s">
        <v>0</v>
      </c>
      <c r="D104" s="69" t="s">
        <v>0</v>
      </c>
      <c r="E104" s="69" t="s">
        <v>0</v>
      </c>
      <c r="F104" s="69" t="s">
        <v>0</v>
      </c>
      <c r="G104" s="69" t="s">
        <v>0</v>
      </c>
      <c r="H104" s="69" t="s">
        <v>0</v>
      </c>
      <c r="I104" s="69" t="s">
        <v>0</v>
      </c>
      <c r="J104" s="69" t="s">
        <v>0</v>
      </c>
      <c r="K104" s="69" t="s">
        <v>0</v>
      </c>
      <c r="L104" s="69" t="s">
        <v>0</v>
      </c>
      <c r="M104" s="69" t="s">
        <v>0</v>
      </c>
      <c r="N104" s="69" t="s">
        <v>0</v>
      </c>
      <c r="O104" s="112"/>
    </row>
    <row r="105" spans="1:16" x14ac:dyDescent="0.2">
      <c r="B105" s="40" t="s">
        <v>43</v>
      </c>
      <c r="C105" s="41">
        <v>42186</v>
      </c>
      <c r="D105" s="41">
        <v>42217</v>
      </c>
      <c r="E105" s="41">
        <v>42248</v>
      </c>
      <c r="F105" s="41">
        <v>42278</v>
      </c>
      <c r="G105" s="41">
        <v>42309</v>
      </c>
      <c r="H105" s="41">
        <v>42339</v>
      </c>
      <c r="I105" s="41">
        <v>42370</v>
      </c>
      <c r="J105" s="41">
        <v>42401</v>
      </c>
      <c r="K105" s="41">
        <v>42430</v>
      </c>
      <c r="L105" s="41">
        <v>42461</v>
      </c>
      <c r="M105" s="41">
        <v>42491</v>
      </c>
      <c r="N105" s="41">
        <v>42522</v>
      </c>
      <c r="O105" s="42" t="s">
        <v>3</v>
      </c>
    </row>
    <row r="106" spans="1:16" ht="13.5" thickBot="1" x14ac:dyDescent="0.25">
      <c r="B106" s="75"/>
      <c r="C106" s="76"/>
      <c r="D106" s="76"/>
      <c r="E106" s="76"/>
      <c r="F106" s="76"/>
      <c r="G106" s="76"/>
      <c r="H106" s="77"/>
      <c r="I106" s="77"/>
      <c r="J106" s="77"/>
      <c r="K106" s="77"/>
      <c r="L106" s="77"/>
      <c r="M106" s="77"/>
      <c r="N106" s="77"/>
      <c r="O106" s="77"/>
    </row>
    <row r="107" spans="1:16" ht="14.25" thickTop="1" thickBot="1" x14ac:dyDescent="0.25">
      <c r="B107" s="80" t="s">
        <v>14</v>
      </c>
      <c r="C107" s="117">
        <v>366</v>
      </c>
      <c r="D107" s="117">
        <v>366</v>
      </c>
      <c r="E107" s="117">
        <v>366</v>
      </c>
      <c r="F107" s="117">
        <v>366</v>
      </c>
      <c r="G107" s="117">
        <v>366</v>
      </c>
      <c r="H107" s="117">
        <v>366</v>
      </c>
      <c r="I107" s="117">
        <v>366</v>
      </c>
      <c r="J107" s="117">
        <v>366</v>
      </c>
      <c r="K107" s="117">
        <v>366</v>
      </c>
      <c r="L107" s="117">
        <v>366</v>
      </c>
      <c r="M107" s="117">
        <v>366</v>
      </c>
      <c r="N107" s="117">
        <v>366</v>
      </c>
      <c r="O107" s="117">
        <f t="shared" ref="O107:O112" si="136">SUM(N107,M107,L107,K107,J107,I107,H107,G107,F107,E107,D107,C107)</f>
        <v>4392</v>
      </c>
    </row>
    <row r="108" spans="1:16" ht="14.25" thickTop="1" thickBot="1" x14ac:dyDescent="0.25">
      <c r="A108" s="31">
        <f>520/1212</f>
        <v>0.42904290429042902</v>
      </c>
      <c r="B108" s="4" t="s">
        <v>45</v>
      </c>
      <c r="C108" s="90">
        <f>+$C$107*A108</f>
        <v>157.02970297029702</v>
      </c>
      <c r="D108" s="90">
        <f>+C108</f>
        <v>157.02970297029702</v>
      </c>
      <c r="E108" s="90">
        <f>+C108</f>
        <v>157.02970297029702</v>
      </c>
      <c r="F108" s="90">
        <f>+C108</f>
        <v>157.02970297029702</v>
      </c>
      <c r="G108" s="90">
        <f>+$G$107*A108</f>
        <v>157.02970297029702</v>
      </c>
      <c r="H108" s="90">
        <f>+G108</f>
        <v>157.02970297029702</v>
      </c>
      <c r="I108" s="90">
        <f t="shared" ref="I108:N108" si="137">+H108</f>
        <v>157.02970297029702</v>
      </c>
      <c r="J108" s="90">
        <f t="shared" si="137"/>
        <v>157.02970297029702</v>
      </c>
      <c r="K108" s="90">
        <f t="shared" si="137"/>
        <v>157.02970297029702</v>
      </c>
      <c r="L108" s="90">
        <f t="shared" si="137"/>
        <v>157.02970297029702</v>
      </c>
      <c r="M108" s="90">
        <f t="shared" si="137"/>
        <v>157.02970297029702</v>
      </c>
      <c r="N108" s="90">
        <f t="shared" si="137"/>
        <v>157.02970297029702</v>
      </c>
      <c r="O108" s="91">
        <f t="shared" si="136"/>
        <v>1884.3564356435638</v>
      </c>
      <c r="P108" s="152"/>
    </row>
    <row r="109" spans="1:16" ht="14.25" thickTop="1" thickBot="1" x14ac:dyDescent="0.25">
      <c r="A109" s="31">
        <f>106/1212</f>
        <v>8.7458745874587462E-2</v>
      </c>
      <c r="B109" s="4" t="s">
        <v>46</v>
      </c>
      <c r="C109" s="90">
        <f t="shared" ref="C109:C112" si="138">+$C$107*A109</f>
        <v>32.009900990099013</v>
      </c>
      <c r="D109" s="90">
        <f t="shared" ref="D109:D112" si="139">+C109</f>
        <v>32.009900990099013</v>
      </c>
      <c r="E109" s="90">
        <f t="shared" ref="E109:E112" si="140">+C109</f>
        <v>32.009900990099013</v>
      </c>
      <c r="F109" s="90">
        <f t="shared" ref="F109:F112" si="141">+C109</f>
        <v>32.009900990099013</v>
      </c>
      <c r="G109" s="90">
        <f t="shared" ref="G109:G112" si="142">+$G$107*A109</f>
        <v>32.009900990099013</v>
      </c>
      <c r="H109" s="90">
        <f t="shared" ref="H109:N112" si="143">+G109</f>
        <v>32.009900990099013</v>
      </c>
      <c r="I109" s="90">
        <f t="shared" si="143"/>
        <v>32.009900990099013</v>
      </c>
      <c r="J109" s="90">
        <f t="shared" si="143"/>
        <v>32.009900990099013</v>
      </c>
      <c r="K109" s="90">
        <f t="shared" si="143"/>
        <v>32.009900990099013</v>
      </c>
      <c r="L109" s="90">
        <f t="shared" si="143"/>
        <v>32.009900990099013</v>
      </c>
      <c r="M109" s="90">
        <f t="shared" si="143"/>
        <v>32.009900990099013</v>
      </c>
      <c r="N109" s="90">
        <f t="shared" si="143"/>
        <v>32.009900990099013</v>
      </c>
      <c r="O109" s="91">
        <f t="shared" si="136"/>
        <v>384.11881188118826</v>
      </c>
      <c r="P109" s="152"/>
    </row>
    <row r="110" spans="1:16" ht="14.25" thickTop="1" thickBot="1" x14ac:dyDescent="0.25">
      <c r="A110" s="31">
        <f>310/1212</f>
        <v>0.25577557755775576</v>
      </c>
      <c r="B110" s="4" t="s">
        <v>47</v>
      </c>
      <c r="C110" s="90">
        <f t="shared" si="138"/>
        <v>93.613861386138609</v>
      </c>
      <c r="D110" s="90">
        <f t="shared" si="139"/>
        <v>93.613861386138609</v>
      </c>
      <c r="E110" s="90">
        <f t="shared" si="140"/>
        <v>93.613861386138609</v>
      </c>
      <c r="F110" s="90">
        <f t="shared" si="141"/>
        <v>93.613861386138609</v>
      </c>
      <c r="G110" s="90">
        <f t="shared" si="142"/>
        <v>93.613861386138609</v>
      </c>
      <c r="H110" s="90">
        <f t="shared" si="143"/>
        <v>93.613861386138609</v>
      </c>
      <c r="I110" s="90">
        <f t="shared" si="143"/>
        <v>93.613861386138609</v>
      </c>
      <c r="J110" s="90">
        <f t="shared" si="143"/>
        <v>93.613861386138609</v>
      </c>
      <c r="K110" s="90">
        <f t="shared" si="143"/>
        <v>93.613861386138609</v>
      </c>
      <c r="L110" s="90">
        <f t="shared" si="143"/>
        <v>93.613861386138609</v>
      </c>
      <c r="M110" s="90">
        <f t="shared" si="143"/>
        <v>93.613861386138609</v>
      </c>
      <c r="N110" s="90">
        <f t="shared" si="143"/>
        <v>93.613861386138609</v>
      </c>
      <c r="O110" s="91">
        <f t="shared" si="136"/>
        <v>1123.3663366336634</v>
      </c>
      <c r="P110" s="152"/>
    </row>
    <row r="111" spans="1:16" ht="14.25" thickTop="1" thickBot="1" x14ac:dyDescent="0.25">
      <c r="A111" s="31">
        <f>276/1212</f>
        <v>0.22772277227722773</v>
      </c>
      <c r="B111" s="4" t="s">
        <v>48</v>
      </c>
      <c r="C111" s="90">
        <f t="shared" si="138"/>
        <v>83.346534653465355</v>
      </c>
      <c r="D111" s="90">
        <f t="shared" si="139"/>
        <v>83.346534653465355</v>
      </c>
      <c r="E111" s="90">
        <f t="shared" si="140"/>
        <v>83.346534653465355</v>
      </c>
      <c r="F111" s="90">
        <f t="shared" si="141"/>
        <v>83.346534653465355</v>
      </c>
      <c r="G111" s="90">
        <f t="shared" si="142"/>
        <v>83.346534653465355</v>
      </c>
      <c r="H111" s="90">
        <f t="shared" si="143"/>
        <v>83.346534653465355</v>
      </c>
      <c r="I111" s="90">
        <f t="shared" si="143"/>
        <v>83.346534653465355</v>
      </c>
      <c r="J111" s="90">
        <f t="shared" si="143"/>
        <v>83.346534653465355</v>
      </c>
      <c r="K111" s="90">
        <f t="shared" si="143"/>
        <v>83.346534653465355</v>
      </c>
      <c r="L111" s="90">
        <f t="shared" si="143"/>
        <v>83.346534653465355</v>
      </c>
      <c r="M111" s="90">
        <f t="shared" si="143"/>
        <v>83.346534653465355</v>
      </c>
      <c r="N111" s="90">
        <f t="shared" si="143"/>
        <v>83.346534653465355</v>
      </c>
      <c r="O111" s="91">
        <f t="shared" si="136"/>
        <v>1000.1584158415843</v>
      </c>
      <c r="P111" s="152"/>
    </row>
    <row r="112" spans="1:16" ht="14.25" thickTop="1" thickBot="1" x14ac:dyDescent="0.25">
      <c r="B112" s="4" t="s">
        <v>49</v>
      </c>
      <c r="C112" s="90">
        <f t="shared" si="138"/>
        <v>0</v>
      </c>
      <c r="D112" s="90">
        <f t="shared" si="139"/>
        <v>0</v>
      </c>
      <c r="E112" s="90">
        <f t="shared" si="140"/>
        <v>0</v>
      </c>
      <c r="F112" s="90">
        <f t="shared" si="141"/>
        <v>0</v>
      </c>
      <c r="G112" s="90">
        <f t="shared" si="142"/>
        <v>0</v>
      </c>
      <c r="H112" s="90">
        <f t="shared" si="143"/>
        <v>0</v>
      </c>
      <c r="I112" s="90">
        <f t="shared" si="143"/>
        <v>0</v>
      </c>
      <c r="J112" s="90">
        <f t="shared" si="143"/>
        <v>0</v>
      </c>
      <c r="K112" s="90">
        <f t="shared" si="143"/>
        <v>0</v>
      </c>
      <c r="L112" s="90">
        <f t="shared" si="143"/>
        <v>0</v>
      </c>
      <c r="M112" s="90">
        <f t="shared" si="143"/>
        <v>0</v>
      </c>
      <c r="N112" s="90">
        <f t="shared" si="143"/>
        <v>0</v>
      </c>
      <c r="O112" s="91">
        <f t="shared" si="136"/>
        <v>0</v>
      </c>
      <c r="P112" s="152"/>
    </row>
    <row r="113" spans="2:15" ht="13.5" thickTop="1" x14ac:dyDescent="0.2"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</row>
    <row r="114" spans="2:15" ht="26.25" thickBot="1" x14ac:dyDescent="0.25">
      <c r="B114" s="122" t="s">
        <v>15</v>
      </c>
      <c r="C114" s="41">
        <v>42186</v>
      </c>
      <c r="D114" s="41">
        <v>42217</v>
      </c>
      <c r="E114" s="41">
        <v>42248</v>
      </c>
      <c r="F114" s="41">
        <v>42278</v>
      </c>
      <c r="G114" s="41">
        <v>42309</v>
      </c>
      <c r="H114" s="41">
        <v>42339</v>
      </c>
      <c r="I114" s="41">
        <v>42370</v>
      </c>
      <c r="J114" s="41">
        <v>42401</v>
      </c>
      <c r="K114" s="41">
        <v>42430</v>
      </c>
      <c r="L114" s="41">
        <v>42461</v>
      </c>
      <c r="M114" s="41">
        <v>42491</v>
      </c>
      <c r="N114" s="41">
        <v>42522</v>
      </c>
      <c r="O114" s="123" t="s">
        <v>16</v>
      </c>
    </row>
    <row r="115" spans="2:15" ht="14.25" thickTop="1" thickBot="1" x14ac:dyDescent="0.25">
      <c r="B115" s="125" t="s">
        <v>44</v>
      </c>
      <c r="C115" s="117">
        <v>1331</v>
      </c>
      <c r="D115" s="117">
        <v>1331</v>
      </c>
      <c r="E115" s="117">
        <v>1331</v>
      </c>
      <c r="F115" s="117">
        <v>1331</v>
      </c>
      <c r="G115" s="117">
        <v>1331</v>
      </c>
      <c r="H115" s="117">
        <v>1331</v>
      </c>
      <c r="I115" s="117">
        <v>1331</v>
      </c>
      <c r="J115" s="117">
        <v>1331</v>
      </c>
      <c r="K115" s="117">
        <v>1331</v>
      </c>
      <c r="L115" s="117">
        <v>1331</v>
      </c>
      <c r="M115" s="117">
        <v>1331</v>
      </c>
      <c r="N115" s="117">
        <v>1331</v>
      </c>
      <c r="O115" s="117">
        <f>+SUM(N115,M115,L115,K115,J115,I115,H115,G115,F115,E115,D115,C115)</f>
        <v>15972</v>
      </c>
    </row>
    <row r="116" spans="2:15" x14ac:dyDescent="0.2"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</row>
    <row r="117" spans="2:15" ht="13.5" thickBot="1" x14ac:dyDescent="0.25">
      <c r="B117" s="118"/>
      <c r="C117" s="153" t="s">
        <v>0</v>
      </c>
      <c r="D117" s="153" t="s">
        <v>0</v>
      </c>
      <c r="E117" s="153" t="s">
        <v>0</v>
      </c>
      <c r="F117" s="153" t="s">
        <v>0</v>
      </c>
      <c r="G117" s="153" t="s">
        <v>0</v>
      </c>
      <c r="H117" s="153" t="s">
        <v>0</v>
      </c>
      <c r="I117" s="153" t="s">
        <v>0</v>
      </c>
      <c r="J117" s="153" t="s">
        <v>0</v>
      </c>
      <c r="K117" s="153" t="s">
        <v>0</v>
      </c>
      <c r="L117" s="153" t="s">
        <v>0</v>
      </c>
      <c r="M117" s="153" t="s">
        <v>0</v>
      </c>
      <c r="N117" s="153" t="s">
        <v>0</v>
      </c>
      <c r="O117" s="118"/>
    </row>
    <row r="118" spans="2:15" ht="13.5" thickBot="1" x14ac:dyDescent="0.25">
      <c r="B118" s="130" t="s">
        <v>17</v>
      </c>
      <c r="C118" s="131">
        <v>42186</v>
      </c>
      <c r="D118" s="131">
        <v>42217</v>
      </c>
      <c r="E118" s="131">
        <v>42248</v>
      </c>
      <c r="F118" s="131">
        <v>42278</v>
      </c>
      <c r="G118" s="131">
        <v>42309</v>
      </c>
      <c r="H118" s="131">
        <v>42339</v>
      </c>
      <c r="I118" s="131">
        <v>42370</v>
      </c>
      <c r="J118" s="131">
        <v>42401</v>
      </c>
      <c r="K118" s="131">
        <v>42430</v>
      </c>
      <c r="L118" s="131">
        <v>42461</v>
      </c>
      <c r="M118" s="131">
        <v>42491</v>
      </c>
      <c r="N118" s="131">
        <v>42522</v>
      </c>
      <c r="O118" s="133" t="s">
        <v>16</v>
      </c>
    </row>
    <row r="119" spans="2:15" x14ac:dyDescent="0.2">
      <c r="B119" s="136" t="s">
        <v>19</v>
      </c>
      <c r="C119" s="137">
        <v>124654</v>
      </c>
      <c r="D119" s="138">
        <f t="shared" ref="D119:N119" si="144">C122</f>
        <v>125371.66666666667</v>
      </c>
      <c r="E119" s="138">
        <f t="shared" si="144"/>
        <v>126089.33333333334</v>
      </c>
      <c r="F119" s="138">
        <f t="shared" si="144"/>
        <v>126807.00000000001</v>
      </c>
      <c r="G119" s="138">
        <f t="shared" si="144"/>
        <v>127524.66666666669</v>
      </c>
      <c r="H119" s="138">
        <f t="shared" si="144"/>
        <v>128158.20000000003</v>
      </c>
      <c r="I119" s="138">
        <f t="shared" si="144"/>
        <v>128707.60000000002</v>
      </c>
      <c r="J119" s="138">
        <f t="shared" si="144"/>
        <v>129257.00000000001</v>
      </c>
      <c r="K119" s="138">
        <f t="shared" si="144"/>
        <v>129890.53333333335</v>
      </c>
      <c r="L119" s="138">
        <f t="shared" si="144"/>
        <v>130692.33333333334</v>
      </c>
      <c r="M119" s="138">
        <f t="shared" si="144"/>
        <v>131494.13333333333</v>
      </c>
      <c r="N119" s="138">
        <f t="shared" si="144"/>
        <v>132380.06666666665</v>
      </c>
      <c r="O119" s="140">
        <f>+C119</f>
        <v>124654</v>
      </c>
    </row>
    <row r="120" spans="2:15" x14ac:dyDescent="0.2">
      <c r="B120" s="142" t="s">
        <v>20</v>
      </c>
      <c r="C120" s="143">
        <f t="shared" ref="C120:O120" si="145">+C5</f>
        <v>2048.6666666666665</v>
      </c>
      <c r="D120" s="144">
        <f t="shared" si="145"/>
        <v>2048.6666666666665</v>
      </c>
      <c r="E120" s="144">
        <f t="shared" si="145"/>
        <v>2048.6666666666665</v>
      </c>
      <c r="F120" s="144">
        <f t="shared" si="145"/>
        <v>2048.6666666666665</v>
      </c>
      <c r="G120" s="144">
        <f t="shared" si="145"/>
        <v>1964.5333333333335</v>
      </c>
      <c r="H120" s="144">
        <f t="shared" si="145"/>
        <v>1880.3999999999999</v>
      </c>
      <c r="I120" s="144">
        <f t="shared" si="145"/>
        <v>1880.3999999999999</v>
      </c>
      <c r="J120" s="144">
        <f t="shared" si="145"/>
        <v>1964.5333333333335</v>
      </c>
      <c r="K120" s="144">
        <f t="shared" si="145"/>
        <v>2132.8000000000002</v>
      </c>
      <c r="L120" s="144">
        <f t="shared" si="145"/>
        <v>2132.8000000000002</v>
      </c>
      <c r="M120" s="144">
        <f t="shared" si="145"/>
        <v>2216.9333333333334</v>
      </c>
      <c r="N120" s="144">
        <f t="shared" si="145"/>
        <v>2216.9333333333334</v>
      </c>
      <c r="O120" s="146">
        <f t="shared" si="145"/>
        <v>24584.000000000004</v>
      </c>
    </row>
    <row r="121" spans="2:15" x14ac:dyDescent="0.2">
      <c r="B121" s="136" t="s">
        <v>21</v>
      </c>
      <c r="C121" s="137">
        <f t="shared" ref="C121:M121" si="146">+C115</f>
        <v>1331</v>
      </c>
      <c r="D121" s="138">
        <f t="shared" si="146"/>
        <v>1331</v>
      </c>
      <c r="E121" s="138">
        <f t="shared" si="146"/>
        <v>1331</v>
      </c>
      <c r="F121" s="138">
        <f t="shared" si="146"/>
        <v>1331</v>
      </c>
      <c r="G121" s="138">
        <f t="shared" si="146"/>
        <v>1331</v>
      </c>
      <c r="H121" s="138">
        <f t="shared" si="146"/>
        <v>1331</v>
      </c>
      <c r="I121" s="138">
        <f t="shared" si="146"/>
        <v>1331</v>
      </c>
      <c r="J121" s="138">
        <f t="shared" si="146"/>
        <v>1331</v>
      </c>
      <c r="K121" s="138">
        <f t="shared" si="146"/>
        <v>1331</v>
      </c>
      <c r="L121" s="138">
        <f t="shared" si="146"/>
        <v>1331</v>
      </c>
      <c r="M121" s="138">
        <f t="shared" si="146"/>
        <v>1331</v>
      </c>
      <c r="N121" s="138">
        <f>+N115</f>
        <v>1331</v>
      </c>
      <c r="O121" s="140">
        <f>+O115</f>
        <v>15972</v>
      </c>
    </row>
    <row r="122" spans="2:15" x14ac:dyDescent="0.2">
      <c r="B122" s="142" t="s">
        <v>22</v>
      </c>
      <c r="C122" s="143">
        <f>+C119+C120-C121</f>
        <v>125371.66666666667</v>
      </c>
      <c r="D122" s="143">
        <f t="shared" ref="D122:N122" si="147">+D119+D120-D121</f>
        <v>126089.33333333334</v>
      </c>
      <c r="E122" s="143">
        <f t="shared" si="147"/>
        <v>126807.00000000001</v>
      </c>
      <c r="F122" s="143">
        <f t="shared" si="147"/>
        <v>127524.66666666669</v>
      </c>
      <c r="G122" s="143">
        <f t="shared" si="147"/>
        <v>128158.20000000003</v>
      </c>
      <c r="H122" s="143">
        <f t="shared" si="147"/>
        <v>128707.60000000002</v>
      </c>
      <c r="I122" s="143">
        <f t="shared" si="147"/>
        <v>129257.00000000001</v>
      </c>
      <c r="J122" s="143">
        <f t="shared" si="147"/>
        <v>129890.53333333335</v>
      </c>
      <c r="K122" s="143">
        <f t="shared" si="147"/>
        <v>130692.33333333334</v>
      </c>
      <c r="L122" s="143">
        <f t="shared" si="147"/>
        <v>131494.13333333333</v>
      </c>
      <c r="M122" s="143">
        <f t="shared" si="147"/>
        <v>132380.06666666665</v>
      </c>
      <c r="N122" s="143">
        <f t="shared" si="147"/>
        <v>133265.99999999997</v>
      </c>
      <c r="O122" s="146">
        <f>+O119+O120-O121</f>
        <v>133266</v>
      </c>
    </row>
    <row r="123" spans="2:15" x14ac:dyDescent="0.2">
      <c r="B123" s="136" t="s">
        <v>23</v>
      </c>
      <c r="C123" s="137">
        <f t="shared" ref="C123:M123" si="148">+C120-C121</f>
        <v>717.66666666666652</v>
      </c>
      <c r="D123" s="138">
        <f t="shared" si="148"/>
        <v>717.66666666666652</v>
      </c>
      <c r="E123" s="138">
        <f t="shared" si="148"/>
        <v>717.66666666666652</v>
      </c>
      <c r="F123" s="138">
        <f t="shared" si="148"/>
        <v>717.66666666666652</v>
      </c>
      <c r="G123" s="138">
        <f t="shared" si="148"/>
        <v>633.53333333333353</v>
      </c>
      <c r="H123" s="138">
        <f t="shared" si="148"/>
        <v>549.39999999999986</v>
      </c>
      <c r="I123" s="138">
        <f t="shared" si="148"/>
        <v>549.39999999999986</v>
      </c>
      <c r="J123" s="138">
        <f t="shared" si="148"/>
        <v>633.53333333333353</v>
      </c>
      <c r="K123" s="138">
        <f t="shared" si="148"/>
        <v>801.80000000000018</v>
      </c>
      <c r="L123" s="138">
        <f t="shared" si="148"/>
        <v>801.80000000000018</v>
      </c>
      <c r="M123" s="138">
        <f t="shared" si="148"/>
        <v>885.93333333333339</v>
      </c>
      <c r="N123" s="138">
        <f>+N120-N121</f>
        <v>885.93333333333339</v>
      </c>
      <c r="O123" s="140">
        <f>+O120-O121</f>
        <v>8612.0000000000036</v>
      </c>
    </row>
    <row r="124" spans="2:15" x14ac:dyDescent="0.2">
      <c r="B124" s="142" t="s">
        <v>24</v>
      </c>
      <c r="C124" s="147">
        <f t="shared" ref="C124:N124" si="149">C123/C119</f>
        <v>5.7572694551852851E-3</v>
      </c>
      <c r="D124" s="148">
        <f t="shared" si="149"/>
        <v>5.7243130425534729E-3</v>
      </c>
      <c r="E124" s="148">
        <f t="shared" si="149"/>
        <v>5.6917317880444537E-3</v>
      </c>
      <c r="F124" s="148">
        <f t="shared" si="149"/>
        <v>5.6595193220142928E-3</v>
      </c>
      <c r="G124" s="148">
        <f t="shared" si="149"/>
        <v>4.9679277734503658E-3</v>
      </c>
      <c r="H124" s="148">
        <f t="shared" si="149"/>
        <v>4.286889172912851E-3</v>
      </c>
      <c r="I124" s="148">
        <f t="shared" si="149"/>
        <v>4.2685901998017195E-3</v>
      </c>
      <c r="J124" s="148">
        <f t="shared" si="149"/>
        <v>4.9013464132181116E-3</v>
      </c>
      <c r="K124" s="148">
        <f t="shared" si="149"/>
        <v>6.1728901977973248E-3</v>
      </c>
      <c r="L124" s="148">
        <f t="shared" si="149"/>
        <v>6.1350193967001391E-3</v>
      </c>
      <c r="M124" s="148">
        <f t="shared" si="149"/>
        <v>6.7374361948720658E-3</v>
      </c>
      <c r="N124" s="148">
        <f t="shared" si="149"/>
        <v>6.6923469344075479E-3</v>
      </c>
      <c r="O124" s="150">
        <f>O123/O119</f>
        <v>6.9087233462223466E-2</v>
      </c>
    </row>
  </sheetData>
  <mergeCells count="1">
    <mergeCell ref="B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zoomScale="85" zoomScaleNormal="85" workbookViewId="0"/>
  </sheetViews>
  <sheetFormatPr baseColWidth="10" defaultRowHeight="15" x14ac:dyDescent="0.25"/>
  <cols>
    <col min="1" max="1" width="17" bestFit="1" customWidth="1"/>
    <col min="2" max="2" width="17" style="163" customWidth="1"/>
    <col min="3" max="3" width="28" bestFit="1" customWidth="1"/>
    <col min="4" max="4" width="19" bestFit="1" customWidth="1"/>
    <col min="5" max="16" width="7.140625" bestFit="1" customWidth="1"/>
  </cols>
  <sheetData>
    <row r="1" spans="1:16" x14ac:dyDescent="0.25">
      <c r="E1" s="167" t="s">
        <v>100</v>
      </c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9"/>
    </row>
    <row r="2" spans="1:16" x14ac:dyDescent="0.25">
      <c r="A2" s="158" t="s">
        <v>97</v>
      </c>
      <c r="B2" s="164" t="s">
        <v>101</v>
      </c>
      <c r="C2" s="158" t="s">
        <v>98</v>
      </c>
      <c r="D2" s="158" t="s">
        <v>88</v>
      </c>
      <c r="E2" s="158">
        <v>201507</v>
      </c>
      <c r="F2" s="158">
        <v>201508</v>
      </c>
      <c r="G2" s="158">
        <v>201509</v>
      </c>
      <c r="H2" s="158">
        <v>201510</v>
      </c>
      <c r="I2" s="158">
        <v>201511</v>
      </c>
      <c r="J2" s="158">
        <v>201512</v>
      </c>
      <c r="K2" s="158">
        <v>201601</v>
      </c>
      <c r="L2" s="158">
        <v>201602</v>
      </c>
      <c r="M2" s="158">
        <v>201603</v>
      </c>
      <c r="N2" s="158">
        <v>201604</v>
      </c>
      <c r="O2" s="158">
        <v>201605</v>
      </c>
      <c r="P2" s="158">
        <v>201606</v>
      </c>
    </row>
    <row r="3" spans="1:16" x14ac:dyDescent="0.25">
      <c r="A3" s="162" t="s">
        <v>80</v>
      </c>
      <c r="B3" s="165" t="s">
        <v>102</v>
      </c>
      <c r="C3" s="162" t="s">
        <v>50</v>
      </c>
      <c r="D3" s="162" t="s">
        <v>94</v>
      </c>
      <c r="E3" s="156">
        <f>'Presupuesto Ventas'!B13</f>
        <v>162</v>
      </c>
      <c r="F3" s="156">
        <f>'Presupuesto Ventas'!D13</f>
        <v>171</v>
      </c>
      <c r="G3" s="156">
        <f>'Presupuesto Ventas'!F13</f>
        <v>180</v>
      </c>
      <c r="H3" s="156">
        <f>'Presupuesto Ventas'!H13</f>
        <v>189</v>
      </c>
      <c r="I3" s="156">
        <f>'Presupuesto Ventas'!J13</f>
        <v>189</v>
      </c>
      <c r="J3" s="156">
        <f>'Presupuesto Ventas'!L13</f>
        <v>162</v>
      </c>
      <c r="K3" s="156">
        <f>'Presupuesto Ventas'!N13</f>
        <v>162</v>
      </c>
      <c r="L3" s="156">
        <f>'Presupuesto Ventas'!P13</f>
        <v>171</v>
      </c>
      <c r="M3" s="156">
        <f>'Presupuesto Ventas'!R13</f>
        <v>189</v>
      </c>
      <c r="N3" s="156">
        <f>'Presupuesto Ventas'!T13</f>
        <v>189</v>
      </c>
      <c r="O3" s="156">
        <f>'Presupuesto Ventas'!V13</f>
        <v>198.00000000000003</v>
      </c>
      <c r="P3" s="156">
        <f>'Presupuesto Ventas'!X13</f>
        <v>198.00000000000003</v>
      </c>
    </row>
    <row r="4" spans="1:16" x14ac:dyDescent="0.25">
      <c r="A4" s="162" t="s">
        <v>80</v>
      </c>
      <c r="B4" s="165" t="s">
        <v>104</v>
      </c>
      <c r="C4" s="162" t="s">
        <v>116</v>
      </c>
      <c r="D4" s="162" t="s">
        <v>94</v>
      </c>
      <c r="E4" s="156">
        <f>'Presupuesto Ventas'!B18</f>
        <v>86.4</v>
      </c>
      <c r="F4" s="156">
        <f>'Presupuesto Ventas'!D18</f>
        <v>91.199999999999989</v>
      </c>
      <c r="G4" s="156">
        <f>'Presupuesto Ventas'!F18</f>
        <v>96</v>
      </c>
      <c r="H4" s="156">
        <f>'Presupuesto Ventas'!H18</f>
        <v>100.80000000000001</v>
      </c>
      <c r="I4" s="156">
        <f>'Presupuesto Ventas'!J18</f>
        <v>100.80000000000001</v>
      </c>
      <c r="J4" s="156">
        <f>'Presupuesto Ventas'!L18</f>
        <v>86.4</v>
      </c>
      <c r="K4" s="156">
        <f>'Presupuesto Ventas'!N18</f>
        <v>86.4</v>
      </c>
      <c r="L4" s="156">
        <f>'Presupuesto Ventas'!P18</f>
        <v>91.199999999999989</v>
      </c>
      <c r="M4" s="156">
        <f>'Presupuesto Ventas'!R18</f>
        <v>100.80000000000001</v>
      </c>
      <c r="N4" s="156">
        <f>'Presupuesto Ventas'!T18</f>
        <v>100.80000000000001</v>
      </c>
      <c r="O4" s="156">
        <f>'Presupuesto Ventas'!V18</f>
        <v>105.60000000000001</v>
      </c>
      <c r="P4" s="156">
        <f>'Presupuesto Ventas'!X18</f>
        <v>105.60000000000001</v>
      </c>
    </row>
    <row r="5" spans="1:16" x14ac:dyDescent="0.25">
      <c r="A5" s="162" t="s">
        <v>80</v>
      </c>
      <c r="B5" s="165" t="s">
        <v>105</v>
      </c>
      <c r="C5" s="162" t="s">
        <v>81</v>
      </c>
      <c r="D5" s="162" t="s">
        <v>94</v>
      </c>
      <c r="E5" s="156">
        <f>'Presupuesto Ventas'!B23</f>
        <v>108</v>
      </c>
      <c r="F5" s="156">
        <f>'Presupuesto Ventas'!D23</f>
        <v>114</v>
      </c>
      <c r="G5" s="156">
        <f>'Presupuesto Ventas'!F23</f>
        <v>120</v>
      </c>
      <c r="H5" s="156">
        <f>'Presupuesto Ventas'!H23</f>
        <v>126</v>
      </c>
      <c r="I5" s="156">
        <f>'Presupuesto Ventas'!J23</f>
        <v>126</v>
      </c>
      <c r="J5" s="156">
        <f>'Presupuesto Ventas'!L23</f>
        <v>108</v>
      </c>
      <c r="K5" s="156">
        <f>'Presupuesto Ventas'!N23</f>
        <v>108</v>
      </c>
      <c r="L5" s="156">
        <f>'Presupuesto Ventas'!P23</f>
        <v>114</v>
      </c>
      <c r="M5" s="156">
        <f>'Presupuesto Ventas'!R23</f>
        <v>126</v>
      </c>
      <c r="N5" s="156">
        <f>'Presupuesto Ventas'!T23</f>
        <v>126</v>
      </c>
      <c r="O5" s="156">
        <f>'Presupuesto Ventas'!V23</f>
        <v>132</v>
      </c>
      <c r="P5" s="156">
        <f>'Presupuesto Ventas'!X23</f>
        <v>132</v>
      </c>
    </row>
    <row r="6" spans="1:16" x14ac:dyDescent="0.25">
      <c r="A6" s="162" t="s">
        <v>80</v>
      </c>
      <c r="B6" s="165" t="s">
        <v>106</v>
      </c>
      <c r="C6" s="162" t="s">
        <v>82</v>
      </c>
      <c r="D6" s="162" t="s">
        <v>94</v>
      </c>
      <c r="E6" s="156">
        <f>'Presupuesto Ventas'!B28</f>
        <v>85.275000000000006</v>
      </c>
      <c r="F6" s="156">
        <f>'Presupuesto Ventas'!D28</f>
        <v>90.012500000000003</v>
      </c>
      <c r="G6" s="156">
        <f>'Presupuesto Ventas'!F28</f>
        <v>94.75</v>
      </c>
      <c r="H6" s="156">
        <f>'Presupuesto Ventas'!H28</f>
        <v>99.487499999999997</v>
      </c>
      <c r="I6" s="156">
        <f>'Presupuesto Ventas'!J28</f>
        <v>99.487499999999997</v>
      </c>
      <c r="J6" s="156">
        <f>'Presupuesto Ventas'!L28</f>
        <v>85.275000000000006</v>
      </c>
      <c r="K6" s="156">
        <f>'Presupuesto Ventas'!N28</f>
        <v>85.275000000000006</v>
      </c>
      <c r="L6" s="156">
        <f>'Presupuesto Ventas'!P28</f>
        <v>90.012500000000003</v>
      </c>
      <c r="M6" s="156">
        <f>'Presupuesto Ventas'!R28</f>
        <v>99.487499999999997</v>
      </c>
      <c r="N6" s="156">
        <f>'Presupuesto Ventas'!T28</f>
        <v>99.487499999999997</v>
      </c>
      <c r="O6" s="156">
        <f>'Presupuesto Ventas'!V28</f>
        <v>104.22500000000001</v>
      </c>
      <c r="P6" s="156">
        <f>'Presupuesto Ventas'!X28</f>
        <v>104.22500000000001</v>
      </c>
    </row>
    <row r="7" spans="1:16" x14ac:dyDescent="0.25">
      <c r="A7" s="162" t="s">
        <v>80</v>
      </c>
      <c r="B7" s="165" t="s">
        <v>107</v>
      </c>
      <c r="C7" s="162" t="s">
        <v>83</v>
      </c>
      <c r="D7" s="162" t="s">
        <v>94</v>
      </c>
      <c r="E7" s="156">
        <f>'Presupuesto Ventas'!B33</f>
        <v>108</v>
      </c>
      <c r="F7" s="156">
        <f>'Presupuesto Ventas'!D33</f>
        <v>114</v>
      </c>
      <c r="G7" s="156">
        <f>'Presupuesto Ventas'!F33</f>
        <v>120</v>
      </c>
      <c r="H7" s="156">
        <f>'Presupuesto Ventas'!H33</f>
        <v>126</v>
      </c>
      <c r="I7" s="156">
        <f>'Presupuesto Ventas'!J33</f>
        <v>126</v>
      </c>
      <c r="J7" s="156">
        <f>'Presupuesto Ventas'!L33</f>
        <v>108</v>
      </c>
      <c r="K7" s="156">
        <f>'Presupuesto Ventas'!N33</f>
        <v>108</v>
      </c>
      <c r="L7" s="156">
        <f>'Presupuesto Ventas'!P33</f>
        <v>114</v>
      </c>
      <c r="M7" s="156">
        <f>'Presupuesto Ventas'!R33</f>
        <v>126</v>
      </c>
      <c r="N7" s="156">
        <f>'Presupuesto Ventas'!T33</f>
        <v>126</v>
      </c>
      <c r="O7" s="156">
        <f>'Presupuesto Ventas'!V33</f>
        <v>132</v>
      </c>
      <c r="P7" s="156">
        <f>'Presupuesto Ventas'!X33</f>
        <v>132</v>
      </c>
    </row>
    <row r="8" spans="1:16" x14ac:dyDescent="0.25">
      <c r="A8" s="162" t="s">
        <v>80</v>
      </c>
      <c r="B8" s="165" t="s">
        <v>108</v>
      </c>
      <c r="C8" s="162" t="s">
        <v>84</v>
      </c>
      <c r="D8" s="162" t="s">
        <v>94</v>
      </c>
      <c r="E8" s="156">
        <f>'Presupuesto Ventas'!B38</f>
        <v>82.275000000000034</v>
      </c>
      <c r="F8" s="156">
        <f>'Presupuesto Ventas'!D38</f>
        <v>86.84583333333336</v>
      </c>
      <c r="G8" s="156">
        <f>'Presupuesto Ventas'!F38</f>
        <v>91.416666666666671</v>
      </c>
      <c r="H8" s="156">
        <f>'Presupuesto Ventas'!H38</f>
        <v>95.98750000000004</v>
      </c>
      <c r="I8" s="156">
        <f>'Presupuesto Ventas'!J38</f>
        <v>95.98750000000004</v>
      </c>
      <c r="J8" s="156">
        <f>'Presupuesto Ventas'!L38</f>
        <v>82.275000000000034</v>
      </c>
      <c r="K8" s="156">
        <f>'Presupuesto Ventas'!N38</f>
        <v>82.275000000000034</v>
      </c>
      <c r="L8" s="156">
        <f>'Presupuesto Ventas'!P38</f>
        <v>86.84583333333336</v>
      </c>
      <c r="M8" s="156">
        <f>'Presupuesto Ventas'!R38</f>
        <v>95.98750000000004</v>
      </c>
      <c r="N8" s="156">
        <f>'Presupuesto Ventas'!T38</f>
        <v>95.98750000000004</v>
      </c>
      <c r="O8" s="156">
        <f>'Presupuesto Ventas'!V38</f>
        <v>100.55833333333338</v>
      </c>
      <c r="P8" s="156">
        <f>'Presupuesto Ventas'!X38</f>
        <v>100.55833333333338</v>
      </c>
    </row>
    <row r="9" spans="1:16" x14ac:dyDescent="0.25">
      <c r="A9" s="162" t="s">
        <v>80</v>
      </c>
      <c r="B9" s="165" t="s">
        <v>109</v>
      </c>
      <c r="C9" s="162" t="s">
        <v>58</v>
      </c>
      <c r="D9" s="162" t="s">
        <v>94</v>
      </c>
      <c r="E9" s="156">
        <f>'Presupuesto Ventas'!B43</f>
        <v>43.2</v>
      </c>
      <c r="F9" s="156">
        <f>'Presupuesto Ventas'!D43</f>
        <v>45.599999999999994</v>
      </c>
      <c r="G9" s="156">
        <f>'Presupuesto Ventas'!F43</f>
        <v>48</v>
      </c>
      <c r="H9" s="156">
        <f>'Presupuesto Ventas'!H43</f>
        <v>50.400000000000006</v>
      </c>
      <c r="I9" s="156">
        <f>'Presupuesto Ventas'!J43</f>
        <v>50.400000000000006</v>
      </c>
      <c r="J9" s="156">
        <f>'Presupuesto Ventas'!L43</f>
        <v>43.2</v>
      </c>
      <c r="K9" s="156">
        <f>'Presupuesto Ventas'!N43</f>
        <v>43.2</v>
      </c>
      <c r="L9" s="156">
        <f>'Presupuesto Ventas'!P43</f>
        <v>45.599999999999994</v>
      </c>
      <c r="M9" s="156">
        <f>'Presupuesto Ventas'!R43</f>
        <v>50.400000000000006</v>
      </c>
      <c r="N9" s="156">
        <f>'Presupuesto Ventas'!T43</f>
        <v>50.400000000000006</v>
      </c>
      <c r="O9" s="156">
        <f>'Presupuesto Ventas'!V43</f>
        <v>52.800000000000004</v>
      </c>
      <c r="P9" s="156">
        <f>'Presupuesto Ventas'!X43</f>
        <v>52.800000000000004</v>
      </c>
    </row>
    <row r="10" spans="1:16" x14ac:dyDescent="0.25">
      <c r="A10" s="162" t="s">
        <v>80</v>
      </c>
      <c r="B10" s="165" t="s">
        <v>110</v>
      </c>
      <c r="C10" s="162" t="s">
        <v>59</v>
      </c>
      <c r="D10" s="162" t="s">
        <v>94</v>
      </c>
      <c r="E10" s="156">
        <f>'Presupuesto Ventas'!B48</f>
        <v>112.95</v>
      </c>
      <c r="F10" s="156">
        <f>'Presupuesto Ventas'!D48</f>
        <v>119.22499999999999</v>
      </c>
      <c r="G10" s="156">
        <f>'Presupuesto Ventas'!F48</f>
        <v>125.5</v>
      </c>
      <c r="H10" s="156">
        <f>'Presupuesto Ventas'!H48</f>
        <v>131.77500000000001</v>
      </c>
      <c r="I10" s="156">
        <f>'Presupuesto Ventas'!J48</f>
        <v>131.77500000000001</v>
      </c>
      <c r="J10" s="156">
        <f>'Presupuesto Ventas'!L48</f>
        <v>112.95</v>
      </c>
      <c r="K10" s="156">
        <f>'Presupuesto Ventas'!N48</f>
        <v>112.95</v>
      </c>
      <c r="L10" s="156">
        <f>'Presupuesto Ventas'!P48</f>
        <v>119.22499999999999</v>
      </c>
      <c r="M10" s="156">
        <f>'Presupuesto Ventas'!R48</f>
        <v>131.77500000000001</v>
      </c>
      <c r="N10" s="156">
        <f>'Presupuesto Ventas'!T48</f>
        <v>131.77500000000001</v>
      </c>
      <c r="O10" s="156">
        <f>'Presupuesto Ventas'!V48</f>
        <v>138.05000000000001</v>
      </c>
      <c r="P10" s="156">
        <f>'Presupuesto Ventas'!X48</f>
        <v>138.05000000000001</v>
      </c>
    </row>
    <row r="11" spans="1:16" x14ac:dyDescent="0.25">
      <c r="A11" s="162" t="s">
        <v>80</v>
      </c>
      <c r="B11" s="165" t="s">
        <v>111</v>
      </c>
      <c r="C11" s="162" t="s">
        <v>60</v>
      </c>
      <c r="D11" s="162" t="s">
        <v>94</v>
      </c>
      <c r="E11" s="156">
        <f>'Presupuesto Ventas'!B53</f>
        <v>108</v>
      </c>
      <c r="F11" s="156">
        <f>'Presupuesto Ventas'!D53</f>
        <v>114</v>
      </c>
      <c r="G11" s="156">
        <f>'Presupuesto Ventas'!F53</f>
        <v>120</v>
      </c>
      <c r="H11" s="156">
        <f>'Presupuesto Ventas'!H53</f>
        <v>126</v>
      </c>
      <c r="I11" s="156">
        <f>'Presupuesto Ventas'!J53</f>
        <v>126</v>
      </c>
      <c r="J11" s="156">
        <f>'Presupuesto Ventas'!L53</f>
        <v>108</v>
      </c>
      <c r="K11" s="156">
        <f>'Presupuesto Ventas'!N53</f>
        <v>108</v>
      </c>
      <c r="L11" s="156">
        <f>'Presupuesto Ventas'!P53</f>
        <v>114</v>
      </c>
      <c r="M11" s="156">
        <f>'Presupuesto Ventas'!R53</f>
        <v>126</v>
      </c>
      <c r="N11" s="156">
        <f>'Presupuesto Ventas'!T53</f>
        <v>126</v>
      </c>
      <c r="O11" s="156">
        <f>'Presupuesto Ventas'!V53</f>
        <v>132</v>
      </c>
      <c r="P11" s="156">
        <f>'Presupuesto Ventas'!X53</f>
        <v>132</v>
      </c>
    </row>
    <row r="12" spans="1:16" x14ac:dyDescent="0.25">
      <c r="A12" s="162" t="s">
        <v>80</v>
      </c>
      <c r="B12" s="165" t="s">
        <v>112</v>
      </c>
      <c r="C12" s="162" t="s">
        <v>61</v>
      </c>
      <c r="D12" s="162" t="s">
        <v>94</v>
      </c>
      <c r="E12" s="156">
        <f>'Presupuesto Ventas'!B58</f>
        <v>86.4</v>
      </c>
      <c r="F12" s="156">
        <f>'Presupuesto Ventas'!D58</f>
        <v>91.199999999999989</v>
      </c>
      <c r="G12" s="156">
        <f>'Presupuesto Ventas'!F58</f>
        <v>96</v>
      </c>
      <c r="H12" s="156">
        <f>'Presupuesto Ventas'!H58</f>
        <v>100.80000000000001</v>
      </c>
      <c r="I12" s="156">
        <f>'Presupuesto Ventas'!J58</f>
        <v>100.80000000000001</v>
      </c>
      <c r="J12" s="156">
        <f>'Presupuesto Ventas'!L58</f>
        <v>86.4</v>
      </c>
      <c r="K12" s="156">
        <f>'Presupuesto Ventas'!N58</f>
        <v>86.4</v>
      </c>
      <c r="L12" s="156">
        <f>'Presupuesto Ventas'!P58</f>
        <v>91.199999999999989</v>
      </c>
      <c r="M12" s="156">
        <f>'Presupuesto Ventas'!R58</f>
        <v>100.80000000000001</v>
      </c>
      <c r="N12" s="156">
        <f>'Presupuesto Ventas'!T58</f>
        <v>100.80000000000001</v>
      </c>
      <c r="O12" s="156">
        <f>'Presupuesto Ventas'!V58</f>
        <v>105.60000000000001</v>
      </c>
      <c r="P12" s="156">
        <f>'Presupuesto Ventas'!X58</f>
        <v>105.60000000000001</v>
      </c>
    </row>
    <row r="13" spans="1:16" x14ac:dyDescent="0.25">
      <c r="A13" s="162" t="s">
        <v>80</v>
      </c>
      <c r="B13" s="165" t="s">
        <v>103</v>
      </c>
      <c r="C13" s="162" t="s">
        <v>62</v>
      </c>
      <c r="D13" s="162" t="s">
        <v>94</v>
      </c>
      <c r="E13" s="156">
        <f>'Presupuesto Ventas'!B63</f>
        <v>54</v>
      </c>
      <c r="F13" s="156">
        <f>'Presupuesto Ventas'!D63</f>
        <v>57</v>
      </c>
      <c r="G13" s="156">
        <f>'Presupuesto Ventas'!F63</f>
        <v>60</v>
      </c>
      <c r="H13" s="156">
        <f>'Presupuesto Ventas'!H63</f>
        <v>63</v>
      </c>
      <c r="I13" s="156">
        <f>'Presupuesto Ventas'!J63</f>
        <v>63</v>
      </c>
      <c r="J13" s="156">
        <f>'Presupuesto Ventas'!L63</f>
        <v>54</v>
      </c>
      <c r="K13" s="156">
        <f>'Presupuesto Ventas'!N63</f>
        <v>54</v>
      </c>
      <c r="L13" s="156">
        <f>'Presupuesto Ventas'!P63</f>
        <v>57</v>
      </c>
      <c r="M13" s="156">
        <f>'Presupuesto Ventas'!R63</f>
        <v>63</v>
      </c>
      <c r="N13" s="156">
        <f>'Presupuesto Ventas'!T63</f>
        <v>63</v>
      </c>
      <c r="O13" s="156">
        <f>'Presupuesto Ventas'!V63</f>
        <v>66</v>
      </c>
      <c r="P13" s="156">
        <f>'Presupuesto Ventas'!X63</f>
        <v>66</v>
      </c>
    </row>
    <row r="14" spans="1:16" x14ac:dyDescent="0.25">
      <c r="A14" s="162" t="s">
        <v>80</v>
      </c>
      <c r="B14" s="165" t="s">
        <v>113</v>
      </c>
      <c r="C14" s="162" t="s">
        <v>63</v>
      </c>
      <c r="D14" s="162" t="s">
        <v>94</v>
      </c>
      <c r="E14" s="156">
        <f>'Presupuesto Ventas'!B68</f>
        <v>54</v>
      </c>
      <c r="F14" s="156">
        <f>'Presupuesto Ventas'!D68</f>
        <v>57</v>
      </c>
      <c r="G14" s="156">
        <f>'Presupuesto Ventas'!F68</f>
        <v>60</v>
      </c>
      <c r="H14" s="156">
        <f>'Presupuesto Ventas'!H68</f>
        <v>63</v>
      </c>
      <c r="I14" s="156">
        <f>'Presupuesto Ventas'!J68</f>
        <v>63</v>
      </c>
      <c r="J14" s="156">
        <f>'Presupuesto Ventas'!L68</f>
        <v>54</v>
      </c>
      <c r="K14" s="156">
        <f>'Presupuesto Ventas'!N68</f>
        <v>54</v>
      </c>
      <c r="L14" s="156">
        <f>'Presupuesto Ventas'!P68</f>
        <v>57</v>
      </c>
      <c r="M14" s="156">
        <f>'Presupuesto Ventas'!R68</f>
        <v>63</v>
      </c>
      <c r="N14" s="156">
        <f>'Presupuesto Ventas'!T68</f>
        <v>63</v>
      </c>
      <c r="O14" s="156">
        <f>'Presupuesto Ventas'!V68</f>
        <v>66</v>
      </c>
      <c r="P14" s="156">
        <f>'Presupuesto Ventas'!X68</f>
        <v>66</v>
      </c>
    </row>
    <row r="15" spans="1:16" x14ac:dyDescent="0.25">
      <c r="A15" s="162" t="s">
        <v>80</v>
      </c>
      <c r="B15" s="165" t="s">
        <v>114</v>
      </c>
      <c r="C15" s="162" t="s">
        <v>85</v>
      </c>
      <c r="D15" s="162" t="s">
        <v>94</v>
      </c>
      <c r="E15" s="156">
        <f>'Presupuesto Ventas'!B73</f>
        <v>129.6</v>
      </c>
      <c r="F15" s="156">
        <f>'Presupuesto Ventas'!D73</f>
        <v>136.79999999999998</v>
      </c>
      <c r="G15" s="156">
        <f>'Presupuesto Ventas'!F73</f>
        <v>144</v>
      </c>
      <c r="H15" s="156">
        <f>'Presupuesto Ventas'!H73</f>
        <v>151.20000000000002</v>
      </c>
      <c r="I15" s="156">
        <f>'Presupuesto Ventas'!J73</f>
        <v>151.20000000000002</v>
      </c>
      <c r="J15" s="156">
        <f>'Presupuesto Ventas'!L73</f>
        <v>129.6</v>
      </c>
      <c r="K15" s="156">
        <f>'Presupuesto Ventas'!N73</f>
        <v>129.6</v>
      </c>
      <c r="L15" s="156">
        <f>'Presupuesto Ventas'!P73</f>
        <v>136.79999999999998</v>
      </c>
      <c r="M15" s="156">
        <f>'Presupuesto Ventas'!R73</f>
        <v>151.20000000000002</v>
      </c>
      <c r="N15" s="156">
        <f>'Presupuesto Ventas'!T73</f>
        <v>151.20000000000002</v>
      </c>
      <c r="O15" s="156">
        <f>'Presupuesto Ventas'!V73</f>
        <v>158.4</v>
      </c>
      <c r="P15" s="156">
        <f>'Presupuesto Ventas'!X73</f>
        <v>158.4</v>
      </c>
    </row>
    <row r="16" spans="1:16" x14ac:dyDescent="0.25">
      <c r="A16" s="162" t="s">
        <v>80</v>
      </c>
      <c r="B16" s="165" t="s">
        <v>117</v>
      </c>
      <c r="C16" s="162" t="s">
        <v>86</v>
      </c>
      <c r="D16" s="162" t="s">
        <v>94</v>
      </c>
      <c r="E16" s="156">
        <f>'Presupuesto Ventas'!B78</f>
        <v>64.8</v>
      </c>
      <c r="F16" s="156">
        <f>'Presupuesto Ventas'!D78</f>
        <v>68.399999999999991</v>
      </c>
      <c r="G16" s="156">
        <f>'Presupuesto Ventas'!F78</f>
        <v>72</v>
      </c>
      <c r="H16" s="156">
        <f>'Presupuesto Ventas'!H78</f>
        <v>75.600000000000009</v>
      </c>
      <c r="I16" s="156">
        <f>'Presupuesto Ventas'!J78</f>
        <v>75.600000000000009</v>
      </c>
      <c r="J16" s="156">
        <f>'Presupuesto Ventas'!L78</f>
        <v>64.8</v>
      </c>
      <c r="K16" s="156">
        <f>'Presupuesto Ventas'!N78</f>
        <v>64.8</v>
      </c>
      <c r="L16" s="156">
        <f>'Presupuesto Ventas'!P78</f>
        <v>68.399999999999991</v>
      </c>
      <c r="M16" s="156">
        <f>'Presupuesto Ventas'!R78</f>
        <v>75.600000000000009</v>
      </c>
      <c r="N16" s="156">
        <f>'Presupuesto Ventas'!T78</f>
        <v>75.600000000000009</v>
      </c>
      <c r="O16" s="156">
        <f>'Presupuesto Ventas'!V78</f>
        <v>79.2</v>
      </c>
      <c r="P16" s="156">
        <f>'Presupuesto Ventas'!X78</f>
        <v>79.2</v>
      </c>
    </row>
    <row r="17" spans="1:16" x14ac:dyDescent="0.25">
      <c r="A17" s="162" t="s">
        <v>80</v>
      </c>
      <c r="B17" s="165" t="s">
        <v>115</v>
      </c>
      <c r="C17" s="162" t="s">
        <v>66</v>
      </c>
      <c r="D17" s="162" t="s">
        <v>94</v>
      </c>
      <c r="E17" s="156">
        <f>'Presupuesto Ventas'!B83</f>
        <v>229.5</v>
      </c>
      <c r="F17" s="156">
        <f>'Presupuesto Ventas'!D83</f>
        <v>242.25</v>
      </c>
      <c r="G17" s="156">
        <f>'Presupuesto Ventas'!F83</f>
        <v>255</v>
      </c>
      <c r="H17" s="156">
        <f>'Presupuesto Ventas'!H83</f>
        <v>267.75</v>
      </c>
      <c r="I17" s="156">
        <f>'Presupuesto Ventas'!J83</f>
        <v>267.75</v>
      </c>
      <c r="J17" s="156">
        <f>'Presupuesto Ventas'!L83</f>
        <v>229.5</v>
      </c>
      <c r="K17" s="156">
        <f>'Presupuesto Ventas'!N83</f>
        <v>229.5</v>
      </c>
      <c r="L17" s="156">
        <f>'Presupuesto Ventas'!P83</f>
        <v>242.25</v>
      </c>
      <c r="M17" s="156">
        <f>'Presupuesto Ventas'!R83</f>
        <v>267.75</v>
      </c>
      <c r="N17" s="156">
        <f>'Presupuesto Ventas'!T83</f>
        <v>267.75</v>
      </c>
      <c r="O17" s="156">
        <f>'Presupuesto Ventas'!V83</f>
        <v>280.5</v>
      </c>
      <c r="P17" s="156">
        <f>'Presupuesto Ventas'!X83</f>
        <v>280.5</v>
      </c>
    </row>
    <row r="18" spans="1:16" x14ac:dyDescent="0.25">
      <c r="A18" s="161" t="s">
        <v>87</v>
      </c>
      <c r="B18" s="161" t="s">
        <v>102</v>
      </c>
      <c r="C18" s="161" t="s">
        <v>50</v>
      </c>
      <c r="D18" s="161" t="s">
        <v>94</v>
      </c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</row>
    <row r="19" spans="1:16" x14ac:dyDescent="0.25">
      <c r="A19" s="161" t="s">
        <v>87</v>
      </c>
      <c r="B19" s="161" t="s">
        <v>104</v>
      </c>
      <c r="C19" s="161" t="s">
        <v>116</v>
      </c>
      <c r="D19" s="161" t="s">
        <v>94</v>
      </c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</row>
    <row r="20" spans="1:16" x14ac:dyDescent="0.25">
      <c r="A20" s="161" t="s">
        <v>87</v>
      </c>
      <c r="B20" s="161" t="s">
        <v>105</v>
      </c>
      <c r="C20" s="161" t="s">
        <v>81</v>
      </c>
      <c r="D20" s="161" t="s">
        <v>94</v>
      </c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</row>
    <row r="21" spans="1:16" x14ac:dyDescent="0.25">
      <c r="A21" s="161" t="s">
        <v>87</v>
      </c>
      <c r="B21" s="161" t="s">
        <v>106</v>
      </c>
      <c r="C21" s="161" t="s">
        <v>82</v>
      </c>
      <c r="D21" s="161" t="s">
        <v>94</v>
      </c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</row>
    <row r="22" spans="1:16" x14ac:dyDescent="0.25">
      <c r="A22" s="161" t="s">
        <v>87</v>
      </c>
      <c r="B22" s="161" t="s">
        <v>107</v>
      </c>
      <c r="C22" s="161" t="s">
        <v>83</v>
      </c>
      <c r="D22" s="161" t="s">
        <v>94</v>
      </c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</row>
    <row r="23" spans="1:16" x14ac:dyDescent="0.25">
      <c r="A23" s="161" t="s">
        <v>87</v>
      </c>
      <c r="B23" s="161" t="s">
        <v>108</v>
      </c>
      <c r="C23" s="161" t="s">
        <v>84</v>
      </c>
      <c r="D23" s="161" t="s">
        <v>94</v>
      </c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</row>
    <row r="24" spans="1:16" x14ac:dyDescent="0.25">
      <c r="A24" s="161" t="s">
        <v>87</v>
      </c>
      <c r="B24" s="161" t="s">
        <v>109</v>
      </c>
      <c r="C24" s="161" t="s">
        <v>58</v>
      </c>
      <c r="D24" s="161" t="s">
        <v>94</v>
      </c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</row>
    <row r="25" spans="1:16" x14ac:dyDescent="0.25">
      <c r="A25" s="161" t="s">
        <v>87</v>
      </c>
      <c r="B25" s="161" t="s">
        <v>110</v>
      </c>
      <c r="C25" s="161" t="s">
        <v>59</v>
      </c>
      <c r="D25" s="161" t="s">
        <v>94</v>
      </c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</row>
    <row r="26" spans="1:16" x14ac:dyDescent="0.25">
      <c r="A26" s="161" t="s">
        <v>87</v>
      </c>
      <c r="B26" s="161" t="s">
        <v>111</v>
      </c>
      <c r="C26" s="161" t="s">
        <v>60</v>
      </c>
      <c r="D26" s="161" t="s">
        <v>94</v>
      </c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</row>
    <row r="27" spans="1:16" x14ac:dyDescent="0.25">
      <c r="A27" s="161" t="s">
        <v>87</v>
      </c>
      <c r="B27" s="161" t="s">
        <v>112</v>
      </c>
      <c r="C27" s="161" t="s">
        <v>61</v>
      </c>
      <c r="D27" s="161" t="s">
        <v>94</v>
      </c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</row>
    <row r="28" spans="1:16" x14ac:dyDescent="0.25">
      <c r="A28" s="161" t="s">
        <v>87</v>
      </c>
      <c r="B28" s="161" t="s">
        <v>103</v>
      </c>
      <c r="C28" s="161" t="s">
        <v>62</v>
      </c>
      <c r="D28" s="161" t="s">
        <v>94</v>
      </c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</row>
    <row r="29" spans="1:16" x14ac:dyDescent="0.25">
      <c r="A29" s="161" t="s">
        <v>87</v>
      </c>
      <c r="B29" s="161" t="s">
        <v>113</v>
      </c>
      <c r="C29" s="161" t="s">
        <v>63</v>
      </c>
      <c r="D29" s="161" t="s">
        <v>94</v>
      </c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</row>
    <row r="30" spans="1:16" x14ac:dyDescent="0.25">
      <c r="A30" s="161" t="s">
        <v>87</v>
      </c>
      <c r="B30" s="161" t="s">
        <v>114</v>
      </c>
      <c r="C30" s="161" t="s">
        <v>85</v>
      </c>
      <c r="D30" s="161" t="s">
        <v>94</v>
      </c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</row>
    <row r="31" spans="1:16" x14ac:dyDescent="0.25">
      <c r="A31" s="161" t="s">
        <v>87</v>
      </c>
      <c r="B31" s="161" t="s">
        <v>117</v>
      </c>
      <c r="C31" s="161" t="s">
        <v>86</v>
      </c>
      <c r="D31" s="161" t="s">
        <v>94</v>
      </c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</row>
    <row r="32" spans="1:16" x14ac:dyDescent="0.25">
      <c r="A32" s="161" t="s">
        <v>87</v>
      </c>
      <c r="B32" s="161" t="s">
        <v>115</v>
      </c>
      <c r="C32" s="161" t="s">
        <v>66</v>
      </c>
      <c r="D32" s="161" t="s">
        <v>94</v>
      </c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</row>
    <row r="33" spans="1:16" x14ac:dyDescent="0.25">
      <c r="A33" s="160" t="s">
        <v>80</v>
      </c>
      <c r="B33" s="160" t="s">
        <v>102</v>
      </c>
      <c r="C33" s="160" t="s">
        <v>50</v>
      </c>
      <c r="D33" s="160" t="s">
        <v>96</v>
      </c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</row>
    <row r="34" spans="1:16" x14ac:dyDescent="0.25">
      <c r="A34" s="160" t="s">
        <v>80</v>
      </c>
      <c r="B34" s="160" t="s">
        <v>104</v>
      </c>
      <c r="C34" s="160" t="s">
        <v>116</v>
      </c>
      <c r="D34" s="160" t="s">
        <v>96</v>
      </c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</row>
    <row r="35" spans="1:16" x14ac:dyDescent="0.25">
      <c r="A35" s="160" t="s">
        <v>80</v>
      </c>
      <c r="B35" s="160" t="s">
        <v>105</v>
      </c>
      <c r="C35" s="160" t="s">
        <v>81</v>
      </c>
      <c r="D35" s="160" t="s">
        <v>96</v>
      </c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</row>
    <row r="36" spans="1:16" x14ac:dyDescent="0.25">
      <c r="A36" s="160" t="s">
        <v>80</v>
      </c>
      <c r="B36" s="160" t="s">
        <v>106</v>
      </c>
      <c r="C36" s="160" t="s">
        <v>82</v>
      </c>
      <c r="D36" s="160" t="s">
        <v>96</v>
      </c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</row>
    <row r="37" spans="1:16" x14ac:dyDescent="0.25">
      <c r="A37" s="160" t="s">
        <v>80</v>
      </c>
      <c r="B37" s="160" t="s">
        <v>107</v>
      </c>
      <c r="C37" s="160" t="s">
        <v>83</v>
      </c>
      <c r="D37" s="160" t="s">
        <v>96</v>
      </c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</row>
    <row r="38" spans="1:16" x14ac:dyDescent="0.25">
      <c r="A38" s="160" t="s">
        <v>80</v>
      </c>
      <c r="B38" s="160" t="s">
        <v>108</v>
      </c>
      <c r="C38" s="160" t="s">
        <v>84</v>
      </c>
      <c r="D38" s="160" t="s">
        <v>96</v>
      </c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</row>
    <row r="39" spans="1:16" x14ac:dyDescent="0.25">
      <c r="A39" s="160" t="s">
        <v>80</v>
      </c>
      <c r="B39" s="160" t="s">
        <v>109</v>
      </c>
      <c r="C39" s="160" t="s">
        <v>58</v>
      </c>
      <c r="D39" s="160" t="s">
        <v>96</v>
      </c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</row>
    <row r="40" spans="1:16" x14ac:dyDescent="0.25">
      <c r="A40" s="160" t="s">
        <v>80</v>
      </c>
      <c r="B40" s="160" t="s">
        <v>110</v>
      </c>
      <c r="C40" s="160" t="s">
        <v>59</v>
      </c>
      <c r="D40" s="160" t="s">
        <v>96</v>
      </c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</row>
    <row r="41" spans="1:16" x14ac:dyDescent="0.25">
      <c r="A41" s="160" t="s">
        <v>80</v>
      </c>
      <c r="B41" s="160" t="s">
        <v>111</v>
      </c>
      <c r="C41" s="160" t="s">
        <v>60</v>
      </c>
      <c r="D41" s="160" t="s">
        <v>96</v>
      </c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</row>
    <row r="42" spans="1:16" x14ac:dyDescent="0.25">
      <c r="A42" s="160" t="s">
        <v>80</v>
      </c>
      <c r="B42" s="160" t="s">
        <v>112</v>
      </c>
      <c r="C42" s="160" t="s">
        <v>61</v>
      </c>
      <c r="D42" s="160" t="s">
        <v>96</v>
      </c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</row>
    <row r="43" spans="1:16" x14ac:dyDescent="0.25">
      <c r="A43" s="160" t="s">
        <v>80</v>
      </c>
      <c r="B43" s="160" t="s">
        <v>103</v>
      </c>
      <c r="C43" s="160" t="s">
        <v>62</v>
      </c>
      <c r="D43" s="160" t="s">
        <v>96</v>
      </c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</row>
    <row r="44" spans="1:16" x14ac:dyDescent="0.25">
      <c r="A44" s="160" t="s">
        <v>80</v>
      </c>
      <c r="B44" s="160" t="s">
        <v>113</v>
      </c>
      <c r="C44" s="160" t="s">
        <v>63</v>
      </c>
      <c r="D44" s="160" t="s">
        <v>96</v>
      </c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</row>
    <row r="45" spans="1:16" x14ac:dyDescent="0.25">
      <c r="A45" s="160" t="s">
        <v>80</v>
      </c>
      <c r="B45" s="160" t="s">
        <v>114</v>
      </c>
      <c r="C45" s="160" t="s">
        <v>85</v>
      </c>
      <c r="D45" s="160" t="s">
        <v>96</v>
      </c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</row>
    <row r="46" spans="1:16" x14ac:dyDescent="0.25">
      <c r="A46" s="160" t="s">
        <v>80</v>
      </c>
      <c r="B46" s="160" t="s">
        <v>117</v>
      </c>
      <c r="C46" s="160" t="s">
        <v>86</v>
      </c>
      <c r="D46" s="160" t="s">
        <v>96</v>
      </c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</row>
    <row r="47" spans="1:16" x14ac:dyDescent="0.25">
      <c r="A47" s="160" t="s">
        <v>80</v>
      </c>
      <c r="B47" s="160" t="s">
        <v>115</v>
      </c>
      <c r="C47" s="160" t="s">
        <v>66</v>
      </c>
      <c r="D47" s="160" t="s">
        <v>96</v>
      </c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</row>
    <row r="48" spans="1:16" x14ac:dyDescent="0.25">
      <c r="A48" s="159" t="s">
        <v>87</v>
      </c>
      <c r="B48" s="159" t="s">
        <v>102</v>
      </c>
      <c r="C48" s="159" t="s">
        <v>50</v>
      </c>
      <c r="D48" s="159" t="s">
        <v>96</v>
      </c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</row>
    <row r="49" spans="1:16" x14ac:dyDescent="0.25">
      <c r="A49" s="159" t="s">
        <v>87</v>
      </c>
      <c r="B49" s="159" t="s">
        <v>104</v>
      </c>
      <c r="C49" s="159" t="s">
        <v>116</v>
      </c>
      <c r="D49" s="159" t="s">
        <v>96</v>
      </c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</row>
    <row r="50" spans="1:16" x14ac:dyDescent="0.25">
      <c r="A50" s="159" t="s">
        <v>87</v>
      </c>
      <c r="B50" s="159" t="s">
        <v>105</v>
      </c>
      <c r="C50" s="159" t="s">
        <v>81</v>
      </c>
      <c r="D50" s="159" t="s">
        <v>96</v>
      </c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</row>
    <row r="51" spans="1:16" x14ac:dyDescent="0.25">
      <c r="A51" s="159" t="s">
        <v>87</v>
      </c>
      <c r="B51" s="159" t="s">
        <v>106</v>
      </c>
      <c r="C51" s="159" t="s">
        <v>82</v>
      </c>
      <c r="D51" s="159" t="s">
        <v>96</v>
      </c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</row>
    <row r="52" spans="1:16" x14ac:dyDescent="0.25">
      <c r="A52" s="159" t="s">
        <v>87</v>
      </c>
      <c r="B52" s="159" t="s">
        <v>107</v>
      </c>
      <c r="C52" s="159" t="s">
        <v>83</v>
      </c>
      <c r="D52" s="159" t="s">
        <v>96</v>
      </c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</row>
    <row r="53" spans="1:16" x14ac:dyDescent="0.25">
      <c r="A53" s="159" t="s">
        <v>87</v>
      </c>
      <c r="B53" s="159" t="s">
        <v>108</v>
      </c>
      <c r="C53" s="159" t="s">
        <v>84</v>
      </c>
      <c r="D53" s="159" t="s">
        <v>96</v>
      </c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</row>
    <row r="54" spans="1:16" x14ac:dyDescent="0.25">
      <c r="A54" s="159" t="s">
        <v>87</v>
      </c>
      <c r="B54" s="159" t="s">
        <v>109</v>
      </c>
      <c r="C54" s="159" t="s">
        <v>58</v>
      </c>
      <c r="D54" s="159" t="s">
        <v>96</v>
      </c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</row>
    <row r="55" spans="1:16" x14ac:dyDescent="0.25">
      <c r="A55" s="159" t="s">
        <v>87</v>
      </c>
      <c r="B55" s="159" t="s">
        <v>110</v>
      </c>
      <c r="C55" s="159" t="s">
        <v>59</v>
      </c>
      <c r="D55" s="159" t="s">
        <v>96</v>
      </c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</row>
    <row r="56" spans="1:16" x14ac:dyDescent="0.25">
      <c r="A56" s="159" t="s">
        <v>87</v>
      </c>
      <c r="B56" s="159" t="s">
        <v>111</v>
      </c>
      <c r="C56" s="159" t="s">
        <v>60</v>
      </c>
      <c r="D56" s="159" t="s">
        <v>96</v>
      </c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</row>
    <row r="57" spans="1:16" x14ac:dyDescent="0.25">
      <c r="A57" s="159" t="s">
        <v>87</v>
      </c>
      <c r="B57" s="159" t="s">
        <v>112</v>
      </c>
      <c r="C57" s="159" t="s">
        <v>61</v>
      </c>
      <c r="D57" s="159" t="s">
        <v>96</v>
      </c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</row>
    <row r="58" spans="1:16" x14ac:dyDescent="0.25">
      <c r="A58" s="159" t="s">
        <v>87</v>
      </c>
      <c r="B58" s="159" t="s">
        <v>103</v>
      </c>
      <c r="C58" s="159" t="s">
        <v>62</v>
      </c>
      <c r="D58" s="159" t="s">
        <v>96</v>
      </c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</row>
    <row r="59" spans="1:16" x14ac:dyDescent="0.25">
      <c r="A59" s="159" t="s">
        <v>87</v>
      </c>
      <c r="B59" s="159" t="s">
        <v>113</v>
      </c>
      <c r="C59" s="159" t="s">
        <v>63</v>
      </c>
      <c r="D59" s="159" t="s">
        <v>96</v>
      </c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</row>
    <row r="60" spans="1:16" x14ac:dyDescent="0.25">
      <c r="A60" s="159" t="s">
        <v>87</v>
      </c>
      <c r="B60" s="159" t="s">
        <v>114</v>
      </c>
      <c r="C60" s="159" t="s">
        <v>85</v>
      </c>
      <c r="D60" s="159" t="s">
        <v>96</v>
      </c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</row>
    <row r="61" spans="1:16" x14ac:dyDescent="0.25">
      <c r="A61" s="159" t="s">
        <v>87</v>
      </c>
      <c r="B61" s="159" t="s">
        <v>117</v>
      </c>
      <c r="C61" s="159" t="s">
        <v>86</v>
      </c>
      <c r="D61" s="159" t="s">
        <v>96</v>
      </c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</row>
    <row r="62" spans="1:16" x14ac:dyDescent="0.25">
      <c r="A62" s="159" t="s">
        <v>87</v>
      </c>
      <c r="B62" s="159" t="s">
        <v>115</v>
      </c>
      <c r="C62" s="159" t="s">
        <v>66</v>
      </c>
      <c r="D62" s="159" t="s">
        <v>96</v>
      </c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</row>
  </sheetData>
  <mergeCells count="1">
    <mergeCell ref="E1:P1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zoomScale="85" zoomScaleNormal="85" workbookViewId="0"/>
  </sheetViews>
  <sheetFormatPr baseColWidth="10" defaultRowHeight="15" x14ac:dyDescent="0.25"/>
  <cols>
    <col min="1" max="1" width="17" bestFit="1" customWidth="1"/>
    <col min="2" max="2" width="17" style="163" customWidth="1"/>
    <col min="3" max="3" width="28" bestFit="1" customWidth="1"/>
    <col min="4" max="4" width="26.5703125" customWidth="1"/>
    <col min="5" max="5" width="23.85546875" bestFit="1" customWidth="1"/>
    <col min="6" max="17" width="7.140625" bestFit="1" customWidth="1"/>
  </cols>
  <sheetData>
    <row r="1" spans="1:17" x14ac:dyDescent="0.25">
      <c r="F1" s="167" t="s">
        <v>100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x14ac:dyDescent="0.25">
      <c r="A2" s="158" t="s">
        <v>97</v>
      </c>
      <c r="B2" s="164" t="s">
        <v>101</v>
      </c>
      <c r="C2" s="158" t="s">
        <v>98</v>
      </c>
      <c r="D2" s="158" t="s">
        <v>99</v>
      </c>
      <c r="E2" s="158" t="s">
        <v>88</v>
      </c>
      <c r="F2" s="158">
        <v>201507</v>
      </c>
      <c r="G2" s="158">
        <v>201508</v>
      </c>
      <c r="H2" s="158">
        <v>201509</v>
      </c>
      <c r="I2" s="158">
        <v>201510</v>
      </c>
      <c r="J2" s="158">
        <v>201511</v>
      </c>
      <c r="K2" s="158">
        <v>201512</v>
      </c>
      <c r="L2" s="158">
        <v>201601</v>
      </c>
      <c r="M2" s="158">
        <v>201602</v>
      </c>
      <c r="N2" s="158">
        <v>201603</v>
      </c>
      <c r="O2" s="158">
        <v>201604</v>
      </c>
      <c r="P2" s="158">
        <v>201605</v>
      </c>
      <c r="Q2" s="158">
        <v>201606</v>
      </c>
    </row>
    <row r="3" spans="1:17" x14ac:dyDescent="0.25">
      <c r="A3" s="160" t="s">
        <v>80</v>
      </c>
      <c r="B3" s="160" t="s">
        <v>102</v>
      </c>
      <c r="C3" s="160" t="s">
        <v>50</v>
      </c>
      <c r="D3" s="160" t="s">
        <v>89</v>
      </c>
      <c r="E3" s="160" t="s">
        <v>95</v>
      </c>
      <c r="F3" s="156">
        <f>'Presupuesto Planes '!C14</f>
        <v>107.88732394366197</v>
      </c>
      <c r="G3" s="156">
        <f>'Presupuesto Planes '!D14</f>
        <v>107.88732394366197</v>
      </c>
      <c r="H3" s="156">
        <f>'Presupuesto Planes '!E14</f>
        <v>107.88732394366197</v>
      </c>
      <c r="I3" s="156">
        <f>'Presupuesto Planes '!F14</f>
        <v>107.88732394366197</v>
      </c>
      <c r="J3" s="156">
        <f>'Presupuesto Planes '!G14</f>
        <v>102.49295774647887</v>
      </c>
      <c r="K3" s="156">
        <f>'Presupuesto Planes '!H14</f>
        <v>97.098591549295776</v>
      </c>
      <c r="L3" s="156">
        <f>'Presupuesto Planes '!I14</f>
        <v>97.098591549295776</v>
      </c>
      <c r="M3" s="156">
        <f>'Presupuesto Planes '!J14</f>
        <v>102.49295774647887</v>
      </c>
      <c r="N3" s="156">
        <f>'Presupuesto Planes '!K14</f>
        <v>113.28169014084507</v>
      </c>
      <c r="O3" s="156">
        <f>'Presupuesto Planes '!L14</f>
        <v>113.28169014084507</v>
      </c>
      <c r="P3" s="156">
        <f>'Presupuesto Planes '!M14</f>
        <v>118.67605633802819</v>
      </c>
      <c r="Q3" s="156">
        <f>'Presupuesto Planes '!N14</f>
        <v>118.67605633802819</v>
      </c>
    </row>
    <row r="4" spans="1:17" x14ac:dyDescent="0.25">
      <c r="A4" s="160" t="s">
        <v>80</v>
      </c>
      <c r="B4" s="160" t="s">
        <v>102</v>
      </c>
      <c r="C4" s="160" t="s">
        <v>50</v>
      </c>
      <c r="D4" s="160" t="s">
        <v>90</v>
      </c>
      <c r="E4" s="160" t="s">
        <v>95</v>
      </c>
      <c r="F4" s="156">
        <f>'Presupuesto Planes '!C15</f>
        <v>57.183098591549289</v>
      </c>
      <c r="G4" s="156">
        <f>'Presupuesto Planes '!D15</f>
        <v>57.183098591549289</v>
      </c>
      <c r="H4" s="156">
        <f>'Presupuesto Planes '!E15</f>
        <v>57.183098591549289</v>
      </c>
      <c r="I4" s="156">
        <f>'Presupuesto Planes '!F15</f>
        <v>57.183098591549289</v>
      </c>
      <c r="J4" s="156">
        <f>'Presupuesto Planes '!G15</f>
        <v>54.323943661971825</v>
      </c>
      <c r="K4" s="156">
        <f>'Presupuesto Planes '!H15</f>
        <v>51.464788732394361</v>
      </c>
      <c r="L4" s="156">
        <f>'Presupuesto Planes '!I15</f>
        <v>51.464788732394361</v>
      </c>
      <c r="M4" s="156">
        <f>'Presupuesto Planes '!J15</f>
        <v>54.323943661971825</v>
      </c>
      <c r="N4" s="156">
        <f>'Presupuesto Planes '!K15</f>
        <v>60.042253521126753</v>
      </c>
      <c r="O4" s="156">
        <f>'Presupuesto Planes '!L15</f>
        <v>60.042253521126753</v>
      </c>
      <c r="P4" s="156">
        <f>'Presupuesto Planes '!M15</f>
        <v>62.901408450704231</v>
      </c>
      <c r="Q4" s="156">
        <f>'Presupuesto Planes '!N15</f>
        <v>62.901408450704231</v>
      </c>
    </row>
    <row r="5" spans="1:17" x14ac:dyDescent="0.25">
      <c r="A5" s="160" t="s">
        <v>80</v>
      </c>
      <c r="B5" s="160" t="s">
        <v>102</v>
      </c>
      <c r="C5" s="160" t="s">
        <v>50</v>
      </c>
      <c r="D5" s="160" t="s">
        <v>91</v>
      </c>
      <c r="E5" s="160" t="s">
        <v>95</v>
      </c>
      <c r="F5" s="156">
        <f>'Presupuesto Planes '!C16</f>
        <v>8.169014084507042</v>
      </c>
      <c r="G5" s="156">
        <f>'Presupuesto Planes '!D16</f>
        <v>8.169014084507042</v>
      </c>
      <c r="H5" s="156">
        <f>'Presupuesto Planes '!E16</f>
        <v>8.169014084507042</v>
      </c>
      <c r="I5" s="156">
        <f>'Presupuesto Planes '!F16</f>
        <v>8.169014084507042</v>
      </c>
      <c r="J5" s="156">
        <f>'Presupuesto Planes '!G16</f>
        <v>7.7605633802816909</v>
      </c>
      <c r="K5" s="156">
        <f>'Presupuesto Planes '!H16</f>
        <v>7.3521126760563389</v>
      </c>
      <c r="L5" s="156">
        <f>'Presupuesto Planes '!I16</f>
        <v>7.3521126760563389</v>
      </c>
      <c r="M5" s="156">
        <f>'Presupuesto Planes '!J16</f>
        <v>7.7605633802816909</v>
      </c>
      <c r="N5" s="156">
        <f>'Presupuesto Planes '!K16</f>
        <v>8.577464788732394</v>
      </c>
      <c r="O5" s="156">
        <f>'Presupuesto Planes '!L16</f>
        <v>8.577464788732394</v>
      </c>
      <c r="P5" s="156">
        <f>'Presupuesto Planes '!M16</f>
        <v>8.9859154929577478</v>
      </c>
      <c r="Q5" s="156">
        <f>'Presupuesto Planes '!N16</f>
        <v>8.9859154929577478</v>
      </c>
    </row>
    <row r="6" spans="1:17" x14ac:dyDescent="0.25">
      <c r="A6" s="160" t="s">
        <v>80</v>
      </c>
      <c r="B6" s="160" t="s">
        <v>102</v>
      </c>
      <c r="C6" s="160" t="s">
        <v>50</v>
      </c>
      <c r="D6" s="160" t="s">
        <v>92</v>
      </c>
      <c r="E6" s="160" t="s">
        <v>95</v>
      </c>
      <c r="F6" s="156">
        <f>'Presupuesto Planes '!C17</f>
        <v>5.070422535211268</v>
      </c>
      <c r="G6" s="156">
        <f>'Presupuesto Planes '!D17</f>
        <v>5.070422535211268</v>
      </c>
      <c r="H6" s="156">
        <f>'Presupuesto Planes '!E17</f>
        <v>5.070422535211268</v>
      </c>
      <c r="I6" s="156">
        <f>'Presupuesto Planes '!F17</f>
        <v>5.070422535211268</v>
      </c>
      <c r="J6" s="156">
        <f>'Presupuesto Planes '!G17</f>
        <v>4.816901408450704</v>
      </c>
      <c r="K6" s="156">
        <f>'Presupuesto Planes '!H17</f>
        <v>4.563380281690141</v>
      </c>
      <c r="L6" s="156">
        <f>'Presupuesto Planes '!I17</f>
        <v>4.563380281690141</v>
      </c>
      <c r="M6" s="156">
        <f>'Presupuesto Planes '!J17</f>
        <v>4.816901408450704</v>
      </c>
      <c r="N6" s="156">
        <f>'Presupuesto Planes '!K17</f>
        <v>5.323943661971831</v>
      </c>
      <c r="O6" s="156">
        <f>'Presupuesto Planes '!L17</f>
        <v>5.323943661971831</v>
      </c>
      <c r="P6" s="156">
        <f>'Presupuesto Planes '!M17</f>
        <v>5.5774647887323949</v>
      </c>
      <c r="Q6" s="156">
        <f>'Presupuesto Planes '!N17</f>
        <v>5.5774647887323949</v>
      </c>
    </row>
    <row r="7" spans="1:17" x14ac:dyDescent="0.25">
      <c r="A7" s="160" t="s">
        <v>80</v>
      </c>
      <c r="B7" s="160" t="s">
        <v>102</v>
      </c>
      <c r="C7" s="160" t="s">
        <v>50</v>
      </c>
      <c r="D7" s="160" t="s">
        <v>93</v>
      </c>
      <c r="E7" s="160" t="s">
        <v>95</v>
      </c>
      <c r="F7" s="156">
        <f>'Presupuesto Planes '!C18</f>
        <v>1.6901408450704225</v>
      </c>
      <c r="G7" s="156">
        <f>'Presupuesto Planes '!D18</f>
        <v>1.6901408450704225</v>
      </c>
      <c r="H7" s="156">
        <f>'Presupuesto Planes '!E18</f>
        <v>1.6901408450704225</v>
      </c>
      <c r="I7" s="156">
        <f>'Presupuesto Planes '!F18</f>
        <v>1.6901408450704225</v>
      </c>
      <c r="J7" s="156">
        <f>'Presupuesto Planes '!G18</f>
        <v>1.6056338028169015</v>
      </c>
      <c r="K7" s="156">
        <f>'Presupuesto Planes '!H18</f>
        <v>1.5211267605633803</v>
      </c>
      <c r="L7" s="156">
        <f>'Presupuesto Planes '!I18</f>
        <v>1.5211267605633803</v>
      </c>
      <c r="M7" s="156">
        <f>'Presupuesto Planes '!J18</f>
        <v>1.6056338028169015</v>
      </c>
      <c r="N7" s="156">
        <f>'Presupuesto Planes '!K18</f>
        <v>1.7746478873239437</v>
      </c>
      <c r="O7" s="156">
        <f>'Presupuesto Planes '!L18</f>
        <v>1.7746478873239437</v>
      </c>
      <c r="P7" s="156">
        <f>'Presupuesto Planes '!M18</f>
        <v>1.8591549295774652</v>
      </c>
      <c r="Q7" s="156">
        <f>'Presupuesto Planes '!N18</f>
        <v>1.8591549295774652</v>
      </c>
    </row>
    <row r="8" spans="1:17" x14ac:dyDescent="0.25">
      <c r="A8" s="160" t="s">
        <v>80</v>
      </c>
      <c r="B8" s="160" t="s">
        <v>104</v>
      </c>
      <c r="C8" s="160" t="s">
        <v>116</v>
      </c>
      <c r="D8" s="160" t="s">
        <v>89</v>
      </c>
      <c r="E8" s="160" t="s">
        <v>95</v>
      </c>
      <c r="F8" s="156">
        <f>'Presupuesto Planes '!C20</f>
        <v>70.476843910806181</v>
      </c>
      <c r="G8" s="156">
        <f>'Presupuesto Planes '!D20</f>
        <v>70.476843910806181</v>
      </c>
      <c r="H8" s="156">
        <f>'Presupuesto Planes '!E20</f>
        <v>70.476843910806181</v>
      </c>
      <c r="I8" s="156">
        <f>'Presupuesto Planes '!F20</f>
        <v>70.476843910806181</v>
      </c>
      <c r="J8" s="156">
        <f>'Presupuesto Planes '!G20</f>
        <v>66.953001715265856</v>
      </c>
      <c r="K8" s="156">
        <f>'Presupuesto Planes '!H20</f>
        <v>63.429159519725566</v>
      </c>
      <c r="L8" s="156">
        <f>'Presupuesto Planes '!I20</f>
        <v>63.429159519725566</v>
      </c>
      <c r="M8" s="156">
        <f>'Presupuesto Planes '!J20</f>
        <v>66.953001715265856</v>
      </c>
      <c r="N8" s="156">
        <f>'Presupuesto Planes '!K20</f>
        <v>74.000686106346492</v>
      </c>
      <c r="O8" s="156">
        <f>'Presupuesto Planes '!L20</f>
        <v>74.000686106346492</v>
      </c>
      <c r="P8" s="156">
        <f>'Presupuesto Planes '!M20</f>
        <v>77.524528301886804</v>
      </c>
      <c r="Q8" s="156">
        <f>'Presupuesto Planes '!N20</f>
        <v>77.524528301886804</v>
      </c>
    </row>
    <row r="9" spans="1:17" x14ac:dyDescent="0.25">
      <c r="A9" s="160" t="s">
        <v>80</v>
      </c>
      <c r="B9" s="160" t="s">
        <v>104</v>
      </c>
      <c r="C9" s="160" t="s">
        <v>116</v>
      </c>
      <c r="D9" s="160" t="s">
        <v>90</v>
      </c>
      <c r="E9" s="160" t="s">
        <v>95</v>
      </c>
      <c r="F9" s="156">
        <f>'Presupuesto Planes '!C21</f>
        <v>2.4699828473413379</v>
      </c>
      <c r="G9" s="156">
        <f>'Presupuesto Planes '!D21</f>
        <v>2.4699828473413379</v>
      </c>
      <c r="H9" s="156">
        <f>'Presupuesto Planes '!E21</f>
        <v>2.4699828473413379</v>
      </c>
      <c r="I9" s="156">
        <f>'Presupuesto Planes '!F21</f>
        <v>2.4699828473413379</v>
      </c>
      <c r="J9" s="156">
        <f>'Presupuesto Planes '!G21</f>
        <v>2.3464837049742706</v>
      </c>
      <c r="K9" s="156">
        <f>'Presupuesto Planes '!H21</f>
        <v>2.2229845626072042</v>
      </c>
      <c r="L9" s="156">
        <f>'Presupuesto Planes '!I21</f>
        <v>2.2229845626072042</v>
      </c>
      <c r="M9" s="156">
        <f>'Presupuesto Planes '!J21</f>
        <v>2.3464837049742706</v>
      </c>
      <c r="N9" s="156">
        <f>'Presupuesto Planes '!K21</f>
        <v>2.5934819897084052</v>
      </c>
      <c r="O9" s="156">
        <f>'Presupuesto Planes '!L21</f>
        <v>2.5934819897084052</v>
      </c>
      <c r="P9" s="156">
        <f>'Presupuesto Planes '!M21</f>
        <v>2.716981132075472</v>
      </c>
      <c r="Q9" s="156">
        <f>'Presupuesto Planes '!N21</f>
        <v>2.716981132075472</v>
      </c>
    </row>
    <row r="10" spans="1:17" x14ac:dyDescent="0.25">
      <c r="A10" s="160" t="s">
        <v>80</v>
      </c>
      <c r="B10" s="160" t="s">
        <v>104</v>
      </c>
      <c r="C10" s="160" t="s">
        <v>116</v>
      </c>
      <c r="D10" s="160" t="s">
        <v>91</v>
      </c>
      <c r="E10" s="160" t="s">
        <v>95</v>
      </c>
      <c r="F10" s="156">
        <f>'Presupuesto Planes '!C22</f>
        <v>19.430531732418526</v>
      </c>
      <c r="G10" s="156">
        <f>'Presupuesto Planes '!D22</f>
        <v>19.430531732418526</v>
      </c>
      <c r="H10" s="156">
        <f>'Presupuesto Planes '!E22</f>
        <v>19.430531732418526</v>
      </c>
      <c r="I10" s="156">
        <f>'Presupuesto Planes '!F22</f>
        <v>19.430531732418526</v>
      </c>
      <c r="J10" s="156">
        <f>'Presupuesto Planes '!G22</f>
        <v>18.459005145797597</v>
      </c>
      <c r="K10" s="156">
        <f>'Presupuesto Planes '!H22</f>
        <v>17.487478559176672</v>
      </c>
      <c r="L10" s="156">
        <f>'Presupuesto Planes '!I22</f>
        <v>17.487478559176672</v>
      </c>
      <c r="M10" s="156">
        <f>'Presupuesto Planes '!J22</f>
        <v>18.459005145797597</v>
      </c>
      <c r="N10" s="156">
        <f>'Presupuesto Planes '!K22</f>
        <v>20.402058319039455</v>
      </c>
      <c r="O10" s="156">
        <f>'Presupuesto Planes '!L22</f>
        <v>20.402058319039455</v>
      </c>
      <c r="P10" s="156">
        <f>'Presupuesto Planes '!M22</f>
        <v>21.37358490566038</v>
      </c>
      <c r="Q10" s="156">
        <f>'Presupuesto Planes '!N22</f>
        <v>21.37358490566038</v>
      </c>
    </row>
    <row r="11" spans="1:17" x14ac:dyDescent="0.25">
      <c r="A11" s="160" t="s">
        <v>80</v>
      </c>
      <c r="B11" s="160" t="s">
        <v>104</v>
      </c>
      <c r="C11" s="160" t="s">
        <v>116</v>
      </c>
      <c r="D11" s="160" t="s">
        <v>92</v>
      </c>
      <c r="E11" s="160" t="s">
        <v>95</v>
      </c>
      <c r="F11" s="156">
        <f>'Presupuesto Planes '!C23</f>
        <v>2.1406518010291595</v>
      </c>
      <c r="G11" s="156">
        <f>'Presupuesto Planes '!D23</f>
        <v>2.1406518010291595</v>
      </c>
      <c r="H11" s="156">
        <f>'Presupuesto Planes '!E23</f>
        <v>2.1406518010291595</v>
      </c>
      <c r="I11" s="156">
        <f>'Presupuesto Planes '!F23</f>
        <v>2.1406518010291595</v>
      </c>
      <c r="J11" s="156">
        <f>'Presupuesto Planes '!G23</f>
        <v>2.0336192109777014</v>
      </c>
      <c r="K11" s="156">
        <f>'Presupuesto Planes '!H23</f>
        <v>1.9265866209262437</v>
      </c>
      <c r="L11" s="156">
        <f>'Presupuesto Planes '!I23</f>
        <v>1.9265866209262437</v>
      </c>
      <c r="M11" s="156">
        <f>'Presupuesto Planes '!J23</f>
        <v>2.0336192109777014</v>
      </c>
      <c r="N11" s="156">
        <f>'Presupuesto Planes '!K23</f>
        <v>2.2476843910806177</v>
      </c>
      <c r="O11" s="156">
        <f>'Presupuesto Planes '!L23</f>
        <v>2.2476843910806177</v>
      </c>
      <c r="P11" s="156">
        <f>'Presupuesto Planes '!M23</f>
        <v>2.3547169811320758</v>
      </c>
      <c r="Q11" s="156">
        <f>'Presupuesto Planes '!N23</f>
        <v>2.3547169811320758</v>
      </c>
    </row>
    <row r="12" spans="1:17" x14ac:dyDescent="0.25">
      <c r="A12" s="160" t="s">
        <v>80</v>
      </c>
      <c r="B12" s="160" t="s">
        <v>104</v>
      </c>
      <c r="C12" s="160" t="s">
        <v>116</v>
      </c>
      <c r="D12" s="160" t="s">
        <v>93</v>
      </c>
      <c r="E12" s="160" t="s">
        <v>95</v>
      </c>
      <c r="F12" s="156">
        <f>'Presupuesto Planes '!C24</f>
        <v>1.4819897084048028</v>
      </c>
      <c r="G12" s="156">
        <f>'Presupuesto Planes '!D24</f>
        <v>1.4819897084048028</v>
      </c>
      <c r="H12" s="156">
        <f>'Presupuesto Planes '!E24</f>
        <v>1.4819897084048028</v>
      </c>
      <c r="I12" s="156">
        <f>'Presupuesto Planes '!F24</f>
        <v>1.4819897084048028</v>
      </c>
      <c r="J12" s="156">
        <f>'Presupuesto Planes '!G24</f>
        <v>1.4078902229845625</v>
      </c>
      <c r="K12" s="156">
        <f>'Presupuesto Planes '!H24</f>
        <v>1.3337907375643225</v>
      </c>
      <c r="L12" s="156">
        <f>'Presupuesto Planes '!I24</f>
        <v>1.3337907375643225</v>
      </c>
      <c r="M12" s="156">
        <f>'Presupuesto Planes '!J24</f>
        <v>1.4078902229845625</v>
      </c>
      <c r="N12" s="156">
        <f>'Presupuesto Planes '!K24</f>
        <v>1.5560891938250432</v>
      </c>
      <c r="O12" s="156">
        <f>'Presupuesto Planes '!L24</f>
        <v>1.5560891938250432</v>
      </c>
      <c r="P12" s="156">
        <f>'Presupuesto Planes '!M24</f>
        <v>1.6301886792452831</v>
      </c>
      <c r="Q12" s="156">
        <f>'Presupuesto Planes '!N24</f>
        <v>1.6301886792452831</v>
      </c>
    </row>
    <row r="13" spans="1:17" x14ac:dyDescent="0.25">
      <c r="A13" s="160" t="s">
        <v>80</v>
      </c>
      <c r="B13" s="160" t="s">
        <v>105</v>
      </c>
      <c r="C13" s="160" t="s">
        <v>81</v>
      </c>
      <c r="D13" s="160" t="s">
        <v>89</v>
      </c>
      <c r="E13" s="160" t="s">
        <v>95</v>
      </c>
      <c r="F13" s="156">
        <f>'Presupuesto Planes '!C26</f>
        <v>45.271828665568364</v>
      </c>
      <c r="G13" s="156">
        <f>'Presupuesto Planes '!D26</f>
        <v>45.271828665568364</v>
      </c>
      <c r="H13" s="156">
        <f>'Presupuesto Planes '!E26</f>
        <v>45.271828665568364</v>
      </c>
      <c r="I13" s="156">
        <f>'Presupuesto Planes '!F26</f>
        <v>45.271828665568364</v>
      </c>
      <c r="J13" s="156">
        <f>'Presupuesto Planes '!G26</f>
        <v>43.00823723228995</v>
      </c>
      <c r="K13" s="156">
        <f>'Presupuesto Planes '!H26</f>
        <v>40.744645799011529</v>
      </c>
      <c r="L13" s="156">
        <f>'Presupuesto Planes '!I26</f>
        <v>40.744645799011529</v>
      </c>
      <c r="M13" s="156">
        <f>'Presupuesto Planes '!J26</f>
        <v>43.00823723228995</v>
      </c>
      <c r="N13" s="156">
        <f>'Presupuesto Planes '!K26</f>
        <v>47.535420098846785</v>
      </c>
      <c r="O13" s="156">
        <f>'Presupuesto Planes '!L26</f>
        <v>47.535420098846785</v>
      </c>
      <c r="P13" s="156">
        <f>'Presupuesto Planes '!M26</f>
        <v>49.799011532125206</v>
      </c>
      <c r="Q13" s="156">
        <f>'Presupuesto Planes '!N26</f>
        <v>49.799011532125206</v>
      </c>
    </row>
    <row r="14" spans="1:17" x14ac:dyDescent="0.25">
      <c r="A14" s="160" t="s">
        <v>80</v>
      </c>
      <c r="B14" s="160" t="s">
        <v>105</v>
      </c>
      <c r="C14" s="160" t="s">
        <v>81</v>
      </c>
      <c r="D14" s="160" t="s">
        <v>90</v>
      </c>
      <c r="E14" s="160" t="s">
        <v>95</v>
      </c>
      <c r="F14" s="156">
        <f>'Presupuesto Planes '!C27</f>
        <v>23.525535420098848</v>
      </c>
      <c r="G14" s="156">
        <f>'Presupuesto Planes '!D27</f>
        <v>23.525535420098848</v>
      </c>
      <c r="H14" s="156">
        <f>'Presupuesto Planes '!E27</f>
        <v>23.525535420098848</v>
      </c>
      <c r="I14" s="156">
        <f>'Presupuesto Planes '!F27</f>
        <v>23.525535420098848</v>
      </c>
      <c r="J14" s="156">
        <f>'Presupuesto Planes '!G27</f>
        <v>22.349258649093905</v>
      </c>
      <c r="K14" s="156">
        <f>'Presupuesto Planes '!H27</f>
        <v>21.172981878088962</v>
      </c>
      <c r="L14" s="156">
        <f>'Presupuesto Planes '!I27</f>
        <v>21.172981878088962</v>
      </c>
      <c r="M14" s="156">
        <f>'Presupuesto Planes '!J27</f>
        <v>22.349258649093905</v>
      </c>
      <c r="N14" s="156">
        <f>'Presupuesto Planes '!K27</f>
        <v>24.701812191103791</v>
      </c>
      <c r="O14" s="156">
        <f>'Presupuesto Planes '!L27</f>
        <v>24.701812191103791</v>
      </c>
      <c r="P14" s="156">
        <f>'Presupuesto Planes '!M27</f>
        <v>25.878088962108734</v>
      </c>
      <c r="Q14" s="156">
        <f>'Presupuesto Planes '!N27</f>
        <v>25.878088962108734</v>
      </c>
    </row>
    <row r="15" spans="1:17" x14ac:dyDescent="0.25">
      <c r="A15" s="160" t="s">
        <v>80</v>
      </c>
      <c r="B15" s="160" t="s">
        <v>105</v>
      </c>
      <c r="C15" s="160" t="s">
        <v>81</v>
      </c>
      <c r="D15" s="160" t="s">
        <v>91</v>
      </c>
      <c r="E15" s="160" t="s">
        <v>95</v>
      </c>
      <c r="F15" s="156">
        <f>'Presupuesto Planes '!C28</f>
        <v>41.713344316309723</v>
      </c>
      <c r="G15" s="156">
        <f>'Presupuesto Planes '!D28</f>
        <v>41.713344316309723</v>
      </c>
      <c r="H15" s="156">
        <f>'Presupuesto Planes '!E28</f>
        <v>41.713344316309723</v>
      </c>
      <c r="I15" s="156">
        <f>'Presupuesto Planes '!F28</f>
        <v>41.713344316309723</v>
      </c>
      <c r="J15" s="156">
        <f>'Presupuesto Planes '!G28</f>
        <v>39.627677100494232</v>
      </c>
      <c r="K15" s="156">
        <f>'Presupuesto Planes '!H28</f>
        <v>37.542009884678748</v>
      </c>
      <c r="L15" s="156">
        <f>'Presupuesto Planes '!I28</f>
        <v>37.542009884678748</v>
      </c>
      <c r="M15" s="156">
        <f>'Presupuesto Planes '!J28</f>
        <v>39.627677100494232</v>
      </c>
      <c r="N15" s="156">
        <f>'Presupuesto Planes '!K28</f>
        <v>43.799011532125206</v>
      </c>
      <c r="O15" s="156">
        <f>'Presupuesto Planes '!L28</f>
        <v>43.799011532125206</v>
      </c>
      <c r="P15" s="156">
        <f>'Presupuesto Planes '!M28</f>
        <v>45.88467874794069</v>
      </c>
      <c r="Q15" s="156">
        <f>'Presupuesto Planes '!N28</f>
        <v>45.88467874794069</v>
      </c>
    </row>
    <row r="16" spans="1:17" x14ac:dyDescent="0.25">
      <c r="A16" s="160" t="s">
        <v>80</v>
      </c>
      <c r="B16" s="160" t="s">
        <v>105</v>
      </c>
      <c r="C16" s="160" t="s">
        <v>81</v>
      </c>
      <c r="D16" s="160" t="s">
        <v>92</v>
      </c>
      <c r="E16" s="160" t="s">
        <v>95</v>
      </c>
      <c r="F16" s="156">
        <f>'Presupuesto Planes '!C29</f>
        <v>5.3377265238879739</v>
      </c>
      <c r="G16" s="156">
        <f>'Presupuesto Planes '!D29</f>
        <v>5.3377265238879739</v>
      </c>
      <c r="H16" s="156">
        <f>'Presupuesto Planes '!E29</f>
        <v>5.3377265238879739</v>
      </c>
      <c r="I16" s="156">
        <f>'Presupuesto Planes '!F29</f>
        <v>5.3377265238879739</v>
      </c>
      <c r="J16" s="156">
        <f>'Presupuesto Planes '!G29</f>
        <v>5.0708401976935749</v>
      </c>
      <c r="K16" s="156">
        <f>'Presupuesto Planes '!H29</f>
        <v>4.8039538714991767</v>
      </c>
      <c r="L16" s="156">
        <f>'Presupuesto Planes '!I29</f>
        <v>4.8039538714991767</v>
      </c>
      <c r="M16" s="156">
        <f>'Presupuesto Planes '!J29</f>
        <v>5.0708401976935749</v>
      </c>
      <c r="N16" s="156">
        <f>'Presupuesto Planes '!K29</f>
        <v>5.6046128500823729</v>
      </c>
      <c r="O16" s="156">
        <f>'Presupuesto Planes '!L29</f>
        <v>5.6046128500823729</v>
      </c>
      <c r="P16" s="156">
        <f>'Presupuesto Planes '!M29</f>
        <v>5.871499176276771</v>
      </c>
      <c r="Q16" s="156">
        <f>'Presupuesto Planes '!N29</f>
        <v>5.871499176276771</v>
      </c>
    </row>
    <row r="17" spans="1:17" x14ac:dyDescent="0.25">
      <c r="A17" s="160" t="s">
        <v>80</v>
      </c>
      <c r="B17" s="160" t="s">
        <v>105</v>
      </c>
      <c r="C17" s="160" t="s">
        <v>81</v>
      </c>
      <c r="D17" s="160" t="s">
        <v>93</v>
      </c>
      <c r="E17" s="160" t="s">
        <v>95</v>
      </c>
      <c r="F17" s="156">
        <f>'Presupuesto Planes '!C30</f>
        <v>4.1515650741350907</v>
      </c>
      <c r="G17" s="156">
        <f>'Presupuesto Planes '!D30</f>
        <v>4.1515650741350907</v>
      </c>
      <c r="H17" s="156">
        <f>'Presupuesto Planes '!E30</f>
        <v>4.1515650741350907</v>
      </c>
      <c r="I17" s="156">
        <f>'Presupuesto Planes '!F30</f>
        <v>4.1515650741350907</v>
      </c>
      <c r="J17" s="156">
        <f>'Presupuesto Planes '!G30</f>
        <v>3.9439868204283357</v>
      </c>
      <c r="K17" s="156">
        <f>'Presupuesto Planes '!H30</f>
        <v>3.7364085667215812</v>
      </c>
      <c r="L17" s="156">
        <f>'Presupuesto Planes '!I30</f>
        <v>3.7364085667215812</v>
      </c>
      <c r="M17" s="156">
        <f>'Presupuesto Planes '!J30</f>
        <v>3.9439868204283357</v>
      </c>
      <c r="N17" s="156">
        <f>'Presupuesto Planes '!K30</f>
        <v>4.3591433278418448</v>
      </c>
      <c r="O17" s="156">
        <f>'Presupuesto Planes '!L30</f>
        <v>4.3591433278418448</v>
      </c>
      <c r="P17" s="156">
        <f>'Presupuesto Planes '!M30</f>
        <v>4.5667215815485998</v>
      </c>
      <c r="Q17" s="156">
        <f>'Presupuesto Planes '!N30</f>
        <v>4.5667215815485998</v>
      </c>
    </row>
    <row r="18" spans="1:17" x14ac:dyDescent="0.25">
      <c r="A18" s="160" t="s">
        <v>80</v>
      </c>
      <c r="B18" s="160" t="s">
        <v>106</v>
      </c>
      <c r="C18" s="160" t="s">
        <v>82</v>
      </c>
      <c r="D18" s="160" t="s">
        <v>89</v>
      </c>
      <c r="E18" s="160" t="s">
        <v>95</v>
      </c>
      <c r="F18" s="156">
        <f>'Presupuesto Planes '!C32</f>
        <v>55.557954545454542</v>
      </c>
      <c r="G18" s="156">
        <f>'Presupuesto Planes '!D32</f>
        <v>55.557954545454542</v>
      </c>
      <c r="H18" s="156">
        <f>'Presupuesto Planes '!E32</f>
        <v>55.557954545454542</v>
      </c>
      <c r="I18" s="156">
        <f>'Presupuesto Planes '!F32</f>
        <v>55.557954545454542</v>
      </c>
      <c r="J18" s="156">
        <f>'Presupuesto Planes '!G32</f>
        <v>52.780056818181812</v>
      </c>
      <c r="K18" s="156">
        <f>'Presupuesto Planes '!H32</f>
        <v>50.002159090909089</v>
      </c>
      <c r="L18" s="156">
        <f>'Presupuesto Planes '!I32</f>
        <v>50.002159090909089</v>
      </c>
      <c r="M18" s="156">
        <f>'Presupuesto Planes '!J32</f>
        <v>52.780056818181812</v>
      </c>
      <c r="N18" s="156">
        <f>'Presupuesto Planes '!K32</f>
        <v>58.335852272727266</v>
      </c>
      <c r="O18" s="156">
        <f>'Presupuesto Planes '!L32</f>
        <v>58.335852272727266</v>
      </c>
      <c r="P18" s="156">
        <f>'Presupuesto Planes '!M32</f>
        <v>61.113749999999996</v>
      </c>
      <c r="Q18" s="156">
        <f>'Presupuesto Planes '!N32</f>
        <v>61.113749999999996</v>
      </c>
    </row>
    <row r="19" spans="1:17" x14ac:dyDescent="0.25">
      <c r="A19" s="160" t="s">
        <v>80</v>
      </c>
      <c r="B19" s="160" t="s">
        <v>106</v>
      </c>
      <c r="C19" s="160" t="s">
        <v>82</v>
      </c>
      <c r="D19" s="160" t="s">
        <v>90</v>
      </c>
      <c r="E19" s="160" t="s">
        <v>95</v>
      </c>
      <c r="F19" s="156">
        <f>'Presupuesto Planes '!C33</f>
        <v>9.9056818181818169</v>
      </c>
      <c r="G19" s="156">
        <f>'Presupuesto Planes '!D33</f>
        <v>9.9056818181818169</v>
      </c>
      <c r="H19" s="156">
        <f>'Presupuesto Planes '!E33</f>
        <v>9.9056818181818169</v>
      </c>
      <c r="I19" s="156">
        <f>'Presupuesto Planes '!F33</f>
        <v>9.9056818181818169</v>
      </c>
      <c r="J19" s="156">
        <f>'Presupuesto Planes '!G33</f>
        <v>9.4103977272727271</v>
      </c>
      <c r="K19" s="156">
        <f>'Presupuesto Planes '!H33</f>
        <v>8.9151136363636372</v>
      </c>
      <c r="L19" s="156">
        <f>'Presupuesto Planes '!I33</f>
        <v>8.9151136363636372</v>
      </c>
      <c r="M19" s="156">
        <f>'Presupuesto Planes '!J33</f>
        <v>9.4103977272727271</v>
      </c>
      <c r="N19" s="156">
        <f>'Presupuesto Planes '!K33</f>
        <v>10.400965909090909</v>
      </c>
      <c r="O19" s="156">
        <f>'Presupuesto Planes '!L33</f>
        <v>10.400965909090909</v>
      </c>
      <c r="P19" s="156">
        <f>'Presupuesto Planes '!M33</f>
        <v>10.89625</v>
      </c>
      <c r="Q19" s="156">
        <f>'Presupuesto Planes '!N33</f>
        <v>10.89625</v>
      </c>
    </row>
    <row r="20" spans="1:17" x14ac:dyDescent="0.25">
      <c r="A20" s="160" t="s">
        <v>80</v>
      </c>
      <c r="B20" s="160" t="s">
        <v>106</v>
      </c>
      <c r="C20" s="160" t="s">
        <v>82</v>
      </c>
      <c r="D20" s="160" t="s">
        <v>91</v>
      </c>
      <c r="E20" s="160" t="s">
        <v>95</v>
      </c>
      <c r="F20" s="156">
        <f>'Presupuesto Planes '!C34</f>
        <v>26.271590909090911</v>
      </c>
      <c r="G20" s="156">
        <f>'Presupuesto Planes '!D34</f>
        <v>26.271590909090911</v>
      </c>
      <c r="H20" s="156">
        <f>'Presupuesto Planes '!E34</f>
        <v>26.271590909090911</v>
      </c>
      <c r="I20" s="156">
        <f>'Presupuesto Planes '!F34</f>
        <v>26.271590909090911</v>
      </c>
      <c r="J20" s="156">
        <f>'Presupuesto Planes '!G34</f>
        <v>24.958011363636366</v>
      </c>
      <c r="K20" s="156">
        <f>'Presupuesto Planes '!H34</f>
        <v>23.644431818181822</v>
      </c>
      <c r="L20" s="156">
        <f>'Presupuesto Planes '!I34</f>
        <v>23.644431818181822</v>
      </c>
      <c r="M20" s="156">
        <f>'Presupuesto Planes '!J34</f>
        <v>24.958011363636366</v>
      </c>
      <c r="N20" s="156">
        <f>'Presupuesto Planes '!K34</f>
        <v>27.585170454545455</v>
      </c>
      <c r="O20" s="156">
        <f>'Presupuesto Planes '!L34</f>
        <v>27.585170454545455</v>
      </c>
      <c r="P20" s="156">
        <f>'Presupuesto Planes '!M34</f>
        <v>28.898750000000003</v>
      </c>
      <c r="Q20" s="156">
        <f>'Presupuesto Planes '!N34</f>
        <v>28.898750000000003</v>
      </c>
    </row>
    <row r="21" spans="1:17" x14ac:dyDescent="0.25">
      <c r="A21" s="160" t="s">
        <v>80</v>
      </c>
      <c r="B21" s="160" t="s">
        <v>106</v>
      </c>
      <c r="C21" s="160" t="s">
        <v>82</v>
      </c>
      <c r="D21" s="160" t="s">
        <v>92</v>
      </c>
      <c r="E21" s="160" t="s">
        <v>95</v>
      </c>
      <c r="F21" s="156">
        <f>'Presupuesto Planes '!C35</f>
        <v>0</v>
      </c>
      <c r="G21" s="156">
        <f>'Presupuesto Planes '!D35</f>
        <v>0</v>
      </c>
      <c r="H21" s="156">
        <f>'Presupuesto Planes '!E35</f>
        <v>0</v>
      </c>
      <c r="I21" s="156">
        <f>'Presupuesto Planes '!F35</f>
        <v>0</v>
      </c>
      <c r="J21" s="156">
        <f>'Presupuesto Planes '!G35</f>
        <v>0</v>
      </c>
      <c r="K21" s="156">
        <f>'Presupuesto Planes '!H35</f>
        <v>0</v>
      </c>
      <c r="L21" s="156">
        <f>'Presupuesto Planes '!I35</f>
        <v>0</v>
      </c>
      <c r="M21" s="156">
        <f>'Presupuesto Planes '!J35</f>
        <v>0</v>
      </c>
      <c r="N21" s="156">
        <f>'Presupuesto Planes '!K35</f>
        <v>0</v>
      </c>
      <c r="O21" s="156">
        <f>'Presupuesto Planes '!L35</f>
        <v>0</v>
      </c>
      <c r="P21" s="156">
        <f>'Presupuesto Planes '!M35</f>
        <v>0</v>
      </c>
      <c r="Q21" s="156">
        <f>'Presupuesto Planes '!N35</f>
        <v>0</v>
      </c>
    </row>
    <row r="22" spans="1:17" x14ac:dyDescent="0.25">
      <c r="A22" s="160" t="s">
        <v>80</v>
      </c>
      <c r="B22" s="160" t="s">
        <v>106</v>
      </c>
      <c r="C22" s="160" t="s">
        <v>82</v>
      </c>
      <c r="D22" s="160" t="s">
        <v>93</v>
      </c>
      <c r="E22" s="160" t="s">
        <v>95</v>
      </c>
      <c r="F22" s="156">
        <f>'Presupuesto Planes '!C36</f>
        <v>3.0147727272727272</v>
      </c>
      <c r="G22" s="156">
        <f>'Presupuesto Planes '!D36</f>
        <v>3.0147727272727272</v>
      </c>
      <c r="H22" s="156">
        <f>'Presupuesto Planes '!E36</f>
        <v>3.0147727272727272</v>
      </c>
      <c r="I22" s="156">
        <f>'Presupuesto Planes '!F36</f>
        <v>3.0147727272727272</v>
      </c>
      <c r="J22" s="156">
        <f>'Presupuesto Planes '!G36</f>
        <v>2.8640340909090907</v>
      </c>
      <c r="K22" s="156">
        <f>'Presupuesto Planes '!H36</f>
        <v>2.7132954545454546</v>
      </c>
      <c r="L22" s="156">
        <f>'Presupuesto Planes '!I36</f>
        <v>2.7132954545454546</v>
      </c>
      <c r="M22" s="156">
        <f>'Presupuesto Planes '!J36</f>
        <v>2.8640340909090907</v>
      </c>
      <c r="N22" s="156">
        <f>'Presupuesto Planes '!K36</f>
        <v>3.1655113636363632</v>
      </c>
      <c r="O22" s="156">
        <f>'Presupuesto Planes '!L36</f>
        <v>3.1655113636363632</v>
      </c>
      <c r="P22" s="156">
        <f>'Presupuesto Planes '!M36</f>
        <v>3.3162500000000001</v>
      </c>
      <c r="Q22" s="156">
        <f>'Presupuesto Planes '!N36</f>
        <v>3.3162500000000001</v>
      </c>
    </row>
    <row r="23" spans="1:17" x14ac:dyDescent="0.25">
      <c r="A23" s="160" t="s">
        <v>80</v>
      </c>
      <c r="B23" s="160" t="s">
        <v>107</v>
      </c>
      <c r="C23" s="160" t="s">
        <v>83</v>
      </c>
      <c r="D23" s="160" t="s">
        <v>89</v>
      </c>
      <c r="E23" s="160" t="s">
        <v>95</v>
      </c>
      <c r="F23" s="156">
        <f>'Presupuesto Planes '!C38</f>
        <v>85.957446808510639</v>
      </c>
      <c r="G23" s="156">
        <f>'Presupuesto Planes '!D38</f>
        <v>85.957446808510639</v>
      </c>
      <c r="H23" s="156">
        <f>'Presupuesto Planes '!E38</f>
        <v>85.957446808510639</v>
      </c>
      <c r="I23" s="156">
        <f>'Presupuesto Planes '!F38</f>
        <v>85.957446808510639</v>
      </c>
      <c r="J23" s="156">
        <f>'Presupuesto Planes '!G38</f>
        <v>81.659574468085111</v>
      </c>
      <c r="K23" s="156">
        <f>'Presupuesto Planes '!H38</f>
        <v>77.361702127659584</v>
      </c>
      <c r="L23" s="156">
        <f>'Presupuesto Planes '!I38</f>
        <v>77.361702127659584</v>
      </c>
      <c r="M23" s="156">
        <f>'Presupuesto Planes '!J38</f>
        <v>81.659574468085111</v>
      </c>
      <c r="N23" s="156">
        <f>'Presupuesto Planes '!K38</f>
        <v>90.255319148936181</v>
      </c>
      <c r="O23" s="156">
        <f>'Presupuesto Planes '!L38</f>
        <v>90.255319148936181</v>
      </c>
      <c r="P23" s="156">
        <f>'Presupuesto Planes '!M38</f>
        <v>94.553191489361708</v>
      </c>
      <c r="Q23" s="156">
        <f>'Presupuesto Planes '!N38</f>
        <v>94.553191489361708</v>
      </c>
    </row>
    <row r="24" spans="1:17" x14ac:dyDescent="0.25">
      <c r="A24" s="160" t="s">
        <v>80</v>
      </c>
      <c r="B24" s="160" t="s">
        <v>107</v>
      </c>
      <c r="C24" s="160" t="s">
        <v>83</v>
      </c>
      <c r="D24" s="160" t="s">
        <v>90</v>
      </c>
      <c r="E24" s="160" t="s">
        <v>95</v>
      </c>
      <c r="F24" s="156">
        <f>'Presupuesto Planes '!C39</f>
        <v>3.1205673758865249</v>
      </c>
      <c r="G24" s="156">
        <f>'Presupuesto Planes '!D39</f>
        <v>3.1205673758865249</v>
      </c>
      <c r="H24" s="156">
        <f>'Presupuesto Planes '!E39</f>
        <v>3.1205673758865249</v>
      </c>
      <c r="I24" s="156">
        <f>'Presupuesto Planes '!F39</f>
        <v>3.1205673758865249</v>
      </c>
      <c r="J24" s="156">
        <f>'Presupuesto Planes '!G39</f>
        <v>2.9645390070921986</v>
      </c>
      <c r="K24" s="156">
        <f>'Presupuesto Planes '!H39</f>
        <v>2.8085106382978724</v>
      </c>
      <c r="L24" s="156">
        <f>'Presupuesto Planes '!I39</f>
        <v>2.8085106382978724</v>
      </c>
      <c r="M24" s="156">
        <f>'Presupuesto Planes '!J39</f>
        <v>2.9645390070921986</v>
      </c>
      <c r="N24" s="156">
        <f>'Presupuesto Planes '!K39</f>
        <v>3.2765957446808511</v>
      </c>
      <c r="O24" s="156">
        <f>'Presupuesto Planes '!L39</f>
        <v>3.2765957446808511</v>
      </c>
      <c r="P24" s="156">
        <f>'Presupuesto Planes '!M39</f>
        <v>3.4326241134751774</v>
      </c>
      <c r="Q24" s="156">
        <f>'Presupuesto Planes '!N39</f>
        <v>3.4326241134751774</v>
      </c>
    </row>
    <row r="25" spans="1:17" x14ac:dyDescent="0.25">
      <c r="A25" s="160" t="s">
        <v>80</v>
      </c>
      <c r="B25" s="160" t="s">
        <v>107</v>
      </c>
      <c r="C25" s="160" t="s">
        <v>83</v>
      </c>
      <c r="D25" s="160" t="s">
        <v>91</v>
      </c>
      <c r="E25" s="160" t="s">
        <v>95</v>
      </c>
      <c r="F25" s="156">
        <f>'Presupuesto Planes '!C40</f>
        <v>27.23404255319149</v>
      </c>
      <c r="G25" s="156">
        <f>'Presupuesto Planes '!D40</f>
        <v>27.23404255319149</v>
      </c>
      <c r="H25" s="156">
        <f>'Presupuesto Planes '!E40</f>
        <v>27.23404255319149</v>
      </c>
      <c r="I25" s="156">
        <f>'Presupuesto Planes '!F40</f>
        <v>27.23404255319149</v>
      </c>
      <c r="J25" s="156">
        <f>'Presupuesto Planes '!G40</f>
        <v>25.872340425531913</v>
      </c>
      <c r="K25" s="156">
        <f>'Presupuesto Planes '!H40</f>
        <v>24.51063829787234</v>
      </c>
      <c r="L25" s="156">
        <f>'Presupuesto Planes '!I40</f>
        <v>24.51063829787234</v>
      </c>
      <c r="M25" s="156">
        <f>'Presupuesto Planes '!J40</f>
        <v>25.872340425531913</v>
      </c>
      <c r="N25" s="156">
        <f>'Presupuesto Planes '!K40</f>
        <v>28.595744680851062</v>
      </c>
      <c r="O25" s="156">
        <f>'Presupuesto Planes '!L40</f>
        <v>28.595744680851062</v>
      </c>
      <c r="P25" s="156">
        <f>'Presupuesto Planes '!M40</f>
        <v>29.957446808510639</v>
      </c>
      <c r="Q25" s="156">
        <f>'Presupuesto Planes '!N40</f>
        <v>29.957446808510639</v>
      </c>
    </row>
    <row r="26" spans="1:17" x14ac:dyDescent="0.25">
      <c r="A26" s="160" t="s">
        <v>80</v>
      </c>
      <c r="B26" s="160" t="s">
        <v>107</v>
      </c>
      <c r="C26" s="160" t="s">
        <v>83</v>
      </c>
      <c r="D26" s="160" t="s">
        <v>92</v>
      </c>
      <c r="E26" s="160" t="s">
        <v>95</v>
      </c>
      <c r="F26" s="156">
        <f>'Presupuesto Planes '!C41</f>
        <v>2.8368794326241136</v>
      </c>
      <c r="G26" s="156">
        <f>'Presupuesto Planes '!D41</f>
        <v>2.8368794326241136</v>
      </c>
      <c r="H26" s="156">
        <f>'Presupuesto Planes '!E41</f>
        <v>2.8368794326241136</v>
      </c>
      <c r="I26" s="156">
        <f>'Presupuesto Planes '!F41</f>
        <v>2.8368794326241136</v>
      </c>
      <c r="J26" s="156">
        <f>'Presupuesto Planes '!G41</f>
        <v>2.6950354609929077</v>
      </c>
      <c r="K26" s="156">
        <f>'Presupuesto Planes '!H41</f>
        <v>2.5531914893617023</v>
      </c>
      <c r="L26" s="156">
        <f>'Presupuesto Planes '!I41</f>
        <v>2.5531914893617023</v>
      </c>
      <c r="M26" s="156">
        <f>'Presupuesto Planes '!J41</f>
        <v>2.6950354609929077</v>
      </c>
      <c r="N26" s="156">
        <f>'Presupuesto Planes '!K41</f>
        <v>2.978723404255319</v>
      </c>
      <c r="O26" s="156">
        <f>'Presupuesto Planes '!L41</f>
        <v>2.978723404255319</v>
      </c>
      <c r="P26" s="156">
        <f>'Presupuesto Planes '!M41</f>
        <v>3.1205673758865249</v>
      </c>
      <c r="Q26" s="156">
        <f>'Presupuesto Planes '!N41</f>
        <v>3.1205673758865249</v>
      </c>
    </row>
    <row r="27" spans="1:17" x14ac:dyDescent="0.25">
      <c r="A27" s="160" t="s">
        <v>80</v>
      </c>
      <c r="B27" s="160" t="s">
        <v>107</v>
      </c>
      <c r="C27" s="160" t="s">
        <v>83</v>
      </c>
      <c r="D27" s="160" t="s">
        <v>93</v>
      </c>
      <c r="E27" s="160" t="s">
        <v>95</v>
      </c>
      <c r="F27" s="156">
        <f>'Presupuesto Planes '!C42</f>
        <v>0.85106382978723405</v>
      </c>
      <c r="G27" s="156">
        <f>'Presupuesto Planes '!D42</f>
        <v>0.85106382978723405</v>
      </c>
      <c r="H27" s="156">
        <f>'Presupuesto Planes '!E42</f>
        <v>0.85106382978723405</v>
      </c>
      <c r="I27" s="156">
        <f>'Presupuesto Planes '!F42</f>
        <v>0.85106382978723405</v>
      </c>
      <c r="J27" s="156">
        <f>'Presupuesto Planes '!G42</f>
        <v>0.80851063829787229</v>
      </c>
      <c r="K27" s="156">
        <f>'Presupuesto Planes '!H42</f>
        <v>0.76595744680851063</v>
      </c>
      <c r="L27" s="156">
        <f>'Presupuesto Planes '!I42</f>
        <v>0.76595744680851063</v>
      </c>
      <c r="M27" s="156">
        <f>'Presupuesto Planes '!J42</f>
        <v>0.80851063829787229</v>
      </c>
      <c r="N27" s="156">
        <f>'Presupuesto Planes '!K42</f>
        <v>0.8936170212765957</v>
      </c>
      <c r="O27" s="156">
        <f>'Presupuesto Planes '!L42</f>
        <v>0.8936170212765957</v>
      </c>
      <c r="P27" s="156">
        <f>'Presupuesto Planes '!M42</f>
        <v>0.93617021276595747</v>
      </c>
      <c r="Q27" s="156">
        <f>'Presupuesto Planes '!N42</f>
        <v>0.93617021276595747</v>
      </c>
    </row>
    <row r="28" spans="1:17" x14ac:dyDescent="0.25">
      <c r="A28" s="160" t="s">
        <v>80</v>
      </c>
      <c r="B28" s="160" t="s">
        <v>108</v>
      </c>
      <c r="C28" s="160" t="s">
        <v>84</v>
      </c>
      <c r="D28" s="160" t="s">
        <v>89</v>
      </c>
      <c r="E28" s="160" t="s">
        <v>95</v>
      </c>
      <c r="F28" s="156">
        <f>'Presupuesto Planes '!C44</f>
        <v>62.656367041198507</v>
      </c>
      <c r="G28" s="156">
        <f>'Presupuesto Planes '!D44</f>
        <v>62.656367041198507</v>
      </c>
      <c r="H28" s="156">
        <f>'Presupuesto Planes '!E44</f>
        <v>62.656367041198507</v>
      </c>
      <c r="I28" s="156">
        <f>'Presupuesto Planes '!F44</f>
        <v>62.656367041198507</v>
      </c>
      <c r="J28" s="156">
        <f>'Presupuesto Planes '!G44</f>
        <v>59.523548689138593</v>
      </c>
      <c r="K28" s="156">
        <f>'Presupuesto Planes '!H44</f>
        <v>56.390730337078679</v>
      </c>
      <c r="L28" s="156">
        <f>'Presupuesto Planes '!I44</f>
        <v>56.390730337078679</v>
      </c>
      <c r="M28" s="156">
        <f>'Presupuesto Planes '!J44</f>
        <v>59.523548689138593</v>
      </c>
      <c r="N28" s="156">
        <f>'Presupuesto Planes '!K44</f>
        <v>65.78918539325845</v>
      </c>
      <c r="O28" s="156">
        <f>'Presupuesto Planes '!L44</f>
        <v>65.78918539325845</v>
      </c>
      <c r="P28" s="156">
        <f>'Presupuesto Planes '!M44</f>
        <v>68.922003745318378</v>
      </c>
      <c r="Q28" s="156">
        <f>'Presupuesto Planes '!N44</f>
        <v>68.922003745318378</v>
      </c>
    </row>
    <row r="29" spans="1:17" x14ac:dyDescent="0.25">
      <c r="A29" s="160" t="s">
        <v>80</v>
      </c>
      <c r="B29" s="160" t="s">
        <v>108</v>
      </c>
      <c r="C29" s="160" t="s">
        <v>84</v>
      </c>
      <c r="D29" s="160" t="s">
        <v>90</v>
      </c>
      <c r="E29" s="160" t="s">
        <v>95</v>
      </c>
      <c r="F29" s="156">
        <f>'Presupuesto Planes '!C45</f>
        <v>14.380149812734082</v>
      </c>
      <c r="G29" s="156">
        <f>'Presupuesto Planes '!D45</f>
        <v>14.380149812734082</v>
      </c>
      <c r="H29" s="156">
        <f>'Presupuesto Planes '!E45</f>
        <v>14.380149812734082</v>
      </c>
      <c r="I29" s="156">
        <f>'Presupuesto Planes '!F45</f>
        <v>14.380149812734082</v>
      </c>
      <c r="J29" s="156">
        <f>'Presupuesto Planes '!G45</f>
        <v>13.661142322097382</v>
      </c>
      <c r="K29" s="156">
        <f>'Presupuesto Planes '!H45</f>
        <v>12.942134831460679</v>
      </c>
      <c r="L29" s="156">
        <f>'Presupuesto Planes '!I45</f>
        <v>12.942134831460679</v>
      </c>
      <c r="M29" s="156">
        <f>'Presupuesto Planes '!J45</f>
        <v>13.661142322097382</v>
      </c>
      <c r="N29" s="156">
        <f>'Presupuesto Planes '!K45</f>
        <v>15.099157303370792</v>
      </c>
      <c r="O29" s="156">
        <f>'Presupuesto Planes '!L45</f>
        <v>15.099157303370792</v>
      </c>
      <c r="P29" s="156">
        <f>'Presupuesto Planes '!M45</f>
        <v>15.818164794007497</v>
      </c>
      <c r="Q29" s="156">
        <f>'Presupuesto Planes '!N45</f>
        <v>15.818164794007497</v>
      </c>
    </row>
    <row r="30" spans="1:17" x14ac:dyDescent="0.25">
      <c r="A30" s="160" t="s">
        <v>80</v>
      </c>
      <c r="B30" s="160" t="s">
        <v>108</v>
      </c>
      <c r="C30" s="160" t="s">
        <v>84</v>
      </c>
      <c r="D30" s="160" t="s">
        <v>91</v>
      </c>
      <c r="E30" s="160" t="s">
        <v>95</v>
      </c>
      <c r="F30" s="156">
        <f>'Presupuesto Planes '!C46</f>
        <v>13.866573033707867</v>
      </c>
      <c r="G30" s="156">
        <f>'Presupuesto Planes '!D46</f>
        <v>13.866573033707867</v>
      </c>
      <c r="H30" s="156">
        <f>'Presupuesto Planes '!E46</f>
        <v>13.866573033707867</v>
      </c>
      <c r="I30" s="156">
        <f>'Presupuesto Planes '!F46</f>
        <v>13.866573033707867</v>
      </c>
      <c r="J30" s="156">
        <f>'Presupuesto Planes '!G46</f>
        <v>13.173244382022476</v>
      </c>
      <c r="K30" s="156">
        <f>'Presupuesto Planes '!H46</f>
        <v>12.479915730337085</v>
      </c>
      <c r="L30" s="156">
        <f>'Presupuesto Planes '!I46</f>
        <v>12.479915730337085</v>
      </c>
      <c r="M30" s="156">
        <f>'Presupuesto Planes '!J46</f>
        <v>13.173244382022476</v>
      </c>
      <c r="N30" s="156">
        <f>'Presupuesto Planes '!K46</f>
        <v>14.559901685393266</v>
      </c>
      <c r="O30" s="156">
        <f>'Presupuesto Planes '!L46</f>
        <v>14.559901685393266</v>
      </c>
      <c r="P30" s="156">
        <f>'Presupuesto Planes '!M46</f>
        <v>15.25323033707866</v>
      </c>
      <c r="Q30" s="156">
        <f>'Presupuesto Planes '!N46</f>
        <v>15.25323033707866</v>
      </c>
    </row>
    <row r="31" spans="1:17" x14ac:dyDescent="0.25">
      <c r="A31" s="160" t="s">
        <v>80</v>
      </c>
      <c r="B31" s="160" t="s">
        <v>108</v>
      </c>
      <c r="C31" s="160" t="s">
        <v>84</v>
      </c>
      <c r="D31" s="160" t="s">
        <v>92</v>
      </c>
      <c r="E31" s="160" t="s">
        <v>95</v>
      </c>
      <c r="F31" s="156">
        <f>'Presupuesto Planes '!C47</f>
        <v>0</v>
      </c>
      <c r="G31" s="156">
        <f>'Presupuesto Planes '!D47</f>
        <v>0</v>
      </c>
      <c r="H31" s="156">
        <f>'Presupuesto Planes '!E47</f>
        <v>0</v>
      </c>
      <c r="I31" s="156">
        <f>'Presupuesto Planes '!F47</f>
        <v>0</v>
      </c>
      <c r="J31" s="156">
        <f>'Presupuesto Planes '!G47</f>
        <v>0</v>
      </c>
      <c r="K31" s="156">
        <f>'Presupuesto Planes '!H47</f>
        <v>0</v>
      </c>
      <c r="L31" s="156">
        <f>'Presupuesto Planes '!I47</f>
        <v>0</v>
      </c>
      <c r="M31" s="156">
        <f>'Presupuesto Planes '!J47</f>
        <v>0</v>
      </c>
      <c r="N31" s="156">
        <f>'Presupuesto Planes '!K47</f>
        <v>0</v>
      </c>
      <c r="O31" s="156">
        <f>'Presupuesto Planes '!L47</f>
        <v>0</v>
      </c>
      <c r="P31" s="156">
        <f>'Presupuesto Planes '!M47</f>
        <v>0</v>
      </c>
      <c r="Q31" s="156">
        <f>'Presupuesto Planes '!N47</f>
        <v>0</v>
      </c>
    </row>
    <row r="32" spans="1:17" x14ac:dyDescent="0.25">
      <c r="A32" s="160" t="s">
        <v>80</v>
      </c>
      <c r="B32" s="160" t="s">
        <v>108</v>
      </c>
      <c r="C32" s="160" t="s">
        <v>84</v>
      </c>
      <c r="D32" s="160" t="s">
        <v>93</v>
      </c>
      <c r="E32" s="160" t="s">
        <v>95</v>
      </c>
      <c r="F32" s="156">
        <f>'Presupuesto Planes '!C48</f>
        <v>0.51357677902621723</v>
      </c>
      <c r="G32" s="156">
        <f>'Presupuesto Planes '!D48</f>
        <v>0.51357677902621723</v>
      </c>
      <c r="H32" s="156">
        <f>'Presupuesto Planes '!E48</f>
        <v>0.51357677902621723</v>
      </c>
      <c r="I32" s="156">
        <f>'Presupuesto Planes '!F48</f>
        <v>0.51357677902621723</v>
      </c>
      <c r="J32" s="156">
        <f>'Presupuesto Planes '!G48</f>
        <v>0.4878979400749065</v>
      </c>
      <c r="K32" s="156">
        <f>'Presupuesto Planes '!H48</f>
        <v>0.46221910112359571</v>
      </c>
      <c r="L32" s="156">
        <f>'Presupuesto Planes '!I48</f>
        <v>0.46221910112359571</v>
      </c>
      <c r="M32" s="156">
        <f>'Presupuesto Planes '!J48</f>
        <v>0.4878979400749065</v>
      </c>
      <c r="N32" s="156">
        <f>'Presupuesto Planes '!K48</f>
        <v>0.5392556179775283</v>
      </c>
      <c r="O32" s="156">
        <f>'Presupuesto Planes '!L48</f>
        <v>0.5392556179775283</v>
      </c>
      <c r="P32" s="156">
        <f>'Presupuesto Planes '!M48</f>
        <v>0.56493445692883915</v>
      </c>
      <c r="Q32" s="156">
        <f>'Presupuesto Planes '!N48</f>
        <v>0.56493445692883915</v>
      </c>
    </row>
    <row r="33" spans="1:17" x14ac:dyDescent="0.25">
      <c r="A33" s="160" t="s">
        <v>80</v>
      </c>
      <c r="B33" s="160" t="s">
        <v>109</v>
      </c>
      <c r="C33" s="160" t="s">
        <v>58</v>
      </c>
      <c r="D33" s="160" t="s">
        <v>89</v>
      </c>
      <c r="E33" s="160" t="s">
        <v>95</v>
      </c>
      <c r="F33" s="156">
        <f>'Presupuesto Planes '!C50</f>
        <v>28.444444444444443</v>
      </c>
      <c r="G33" s="156">
        <f>'Presupuesto Planes '!D50</f>
        <v>28.444444444444443</v>
      </c>
      <c r="H33" s="156">
        <f>'Presupuesto Planes '!E50</f>
        <v>28.444444444444443</v>
      </c>
      <c r="I33" s="156">
        <f>'Presupuesto Planes '!F50</f>
        <v>28.444444444444443</v>
      </c>
      <c r="J33" s="156">
        <f>'Presupuesto Planes '!G50</f>
        <v>27.022222222222219</v>
      </c>
      <c r="K33" s="156">
        <f>'Presupuesto Planes '!H50</f>
        <v>25.6</v>
      </c>
      <c r="L33" s="156">
        <f>'Presupuesto Planes '!I50</f>
        <v>25.6</v>
      </c>
      <c r="M33" s="156">
        <f>'Presupuesto Planes '!J50</f>
        <v>27.022222222222219</v>
      </c>
      <c r="N33" s="156">
        <f>'Presupuesto Planes '!K50</f>
        <v>29.866666666666667</v>
      </c>
      <c r="O33" s="156">
        <f>'Presupuesto Planes '!L50</f>
        <v>29.866666666666667</v>
      </c>
      <c r="P33" s="156">
        <f>'Presupuesto Planes '!M50</f>
        <v>31.288888888888891</v>
      </c>
      <c r="Q33" s="156">
        <f>'Presupuesto Planes '!N50</f>
        <v>31.288888888888891</v>
      </c>
    </row>
    <row r="34" spans="1:17" x14ac:dyDescent="0.25">
      <c r="A34" s="160" t="s">
        <v>80</v>
      </c>
      <c r="B34" s="160" t="s">
        <v>109</v>
      </c>
      <c r="C34" s="160" t="s">
        <v>58</v>
      </c>
      <c r="D34" s="160" t="s">
        <v>90</v>
      </c>
      <c r="E34" s="160" t="s">
        <v>95</v>
      </c>
      <c r="F34" s="156">
        <f>'Presupuesto Planes '!C51</f>
        <v>4.2666666666666666</v>
      </c>
      <c r="G34" s="156">
        <f>'Presupuesto Planes '!D51</f>
        <v>4.2666666666666666</v>
      </c>
      <c r="H34" s="156">
        <f>'Presupuesto Planes '!E51</f>
        <v>4.2666666666666666</v>
      </c>
      <c r="I34" s="156">
        <f>'Presupuesto Planes '!F51</f>
        <v>4.2666666666666666</v>
      </c>
      <c r="J34" s="156">
        <f>'Presupuesto Planes '!G51</f>
        <v>4.0533333333333328</v>
      </c>
      <c r="K34" s="156">
        <f>'Presupuesto Planes '!H51</f>
        <v>3.8400000000000003</v>
      </c>
      <c r="L34" s="156">
        <f>'Presupuesto Planes '!I51</f>
        <v>3.8400000000000003</v>
      </c>
      <c r="M34" s="156">
        <f>'Presupuesto Planes '!J51</f>
        <v>4.0533333333333328</v>
      </c>
      <c r="N34" s="156">
        <f>'Presupuesto Planes '!K51</f>
        <v>4.4800000000000004</v>
      </c>
      <c r="O34" s="156">
        <f>'Presupuesto Planes '!L51</f>
        <v>4.4800000000000004</v>
      </c>
      <c r="P34" s="156">
        <f>'Presupuesto Planes '!M51</f>
        <v>4.6933333333333342</v>
      </c>
      <c r="Q34" s="156">
        <f>'Presupuesto Planes '!N51</f>
        <v>4.6933333333333342</v>
      </c>
    </row>
    <row r="35" spans="1:17" x14ac:dyDescent="0.25">
      <c r="A35" s="160" t="s">
        <v>80</v>
      </c>
      <c r="B35" s="160" t="s">
        <v>109</v>
      </c>
      <c r="C35" s="160" t="s">
        <v>58</v>
      </c>
      <c r="D35" s="160" t="s">
        <v>91</v>
      </c>
      <c r="E35" s="160" t="s">
        <v>95</v>
      </c>
      <c r="F35" s="156">
        <f>'Presupuesto Planes '!C52</f>
        <v>14.577777777777778</v>
      </c>
      <c r="G35" s="156">
        <f>'Presupuesto Planes '!D52</f>
        <v>14.577777777777778</v>
      </c>
      <c r="H35" s="156">
        <f>'Presupuesto Planes '!E52</f>
        <v>14.577777777777778</v>
      </c>
      <c r="I35" s="156">
        <f>'Presupuesto Planes '!F52</f>
        <v>14.577777777777778</v>
      </c>
      <c r="J35" s="156">
        <f>'Presupuesto Planes '!G52</f>
        <v>13.848888888888887</v>
      </c>
      <c r="K35" s="156">
        <f>'Presupuesto Planes '!H52</f>
        <v>13.120000000000001</v>
      </c>
      <c r="L35" s="156">
        <f>'Presupuesto Planes '!I52</f>
        <v>13.120000000000001</v>
      </c>
      <c r="M35" s="156">
        <f>'Presupuesto Planes '!J52</f>
        <v>13.848888888888887</v>
      </c>
      <c r="N35" s="156">
        <f>'Presupuesto Planes '!K52</f>
        <v>15.306666666666668</v>
      </c>
      <c r="O35" s="156">
        <f>'Presupuesto Planes '!L52</f>
        <v>15.306666666666668</v>
      </c>
      <c r="P35" s="156">
        <f>'Presupuesto Planes '!M52</f>
        <v>16.035555555555558</v>
      </c>
      <c r="Q35" s="156">
        <f>'Presupuesto Planes '!N52</f>
        <v>16.035555555555558</v>
      </c>
    </row>
    <row r="36" spans="1:17" x14ac:dyDescent="0.25">
      <c r="A36" s="160" t="s">
        <v>80</v>
      </c>
      <c r="B36" s="160" t="s">
        <v>109</v>
      </c>
      <c r="C36" s="160" t="s">
        <v>58</v>
      </c>
      <c r="D36" s="160" t="s">
        <v>92</v>
      </c>
      <c r="E36" s="160" t="s">
        <v>95</v>
      </c>
      <c r="F36" s="156">
        <f>'Presupuesto Planes '!C53</f>
        <v>0</v>
      </c>
      <c r="G36" s="156">
        <f>'Presupuesto Planes '!D53</f>
        <v>0</v>
      </c>
      <c r="H36" s="156">
        <f>'Presupuesto Planes '!E53</f>
        <v>0</v>
      </c>
      <c r="I36" s="156">
        <f>'Presupuesto Planes '!F53</f>
        <v>0</v>
      </c>
      <c r="J36" s="156">
        <f>'Presupuesto Planes '!G53</f>
        <v>0</v>
      </c>
      <c r="K36" s="156">
        <f>'Presupuesto Planes '!H53</f>
        <v>0</v>
      </c>
      <c r="L36" s="156">
        <f>'Presupuesto Planes '!I53</f>
        <v>0</v>
      </c>
      <c r="M36" s="156">
        <f>'Presupuesto Planes '!J53</f>
        <v>0</v>
      </c>
      <c r="N36" s="156">
        <f>'Presupuesto Planes '!K53</f>
        <v>0</v>
      </c>
      <c r="O36" s="156">
        <f>'Presupuesto Planes '!L53</f>
        <v>0</v>
      </c>
      <c r="P36" s="156">
        <f>'Presupuesto Planes '!M53</f>
        <v>0</v>
      </c>
      <c r="Q36" s="156">
        <f>'Presupuesto Planes '!N53</f>
        <v>0</v>
      </c>
    </row>
    <row r="37" spans="1:17" x14ac:dyDescent="0.25">
      <c r="A37" s="160" t="s">
        <v>80</v>
      </c>
      <c r="B37" s="160" t="s">
        <v>109</v>
      </c>
      <c r="C37" s="160" t="s">
        <v>58</v>
      </c>
      <c r="D37" s="160" t="s">
        <v>93</v>
      </c>
      <c r="E37" s="160" t="s">
        <v>95</v>
      </c>
      <c r="F37" s="156">
        <f>'Presupuesto Planes '!C54</f>
        <v>0.71111111111111114</v>
      </c>
      <c r="G37" s="156">
        <f>'Presupuesto Planes '!D54</f>
        <v>0.71111111111111114</v>
      </c>
      <c r="H37" s="156">
        <f>'Presupuesto Planes '!E54</f>
        <v>0.71111111111111114</v>
      </c>
      <c r="I37" s="156">
        <f>'Presupuesto Planes '!F54</f>
        <v>0.71111111111111114</v>
      </c>
      <c r="J37" s="156">
        <f>'Presupuesto Planes '!G54</f>
        <v>0.67555555555555546</v>
      </c>
      <c r="K37" s="156">
        <f>'Presupuesto Planes '!H54</f>
        <v>0.64</v>
      </c>
      <c r="L37" s="156">
        <f>'Presupuesto Planes '!I54</f>
        <v>0.64</v>
      </c>
      <c r="M37" s="156">
        <f>'Presupuesto Planes '!J54</f>
        <v>0.67555555555555546</v>
      </c>
      <c r="N37" s="156">
        <f>'Presupuesto Planes '!K54</f>
        <v>0.74666666666666681</v>
      </c>
      <c r="O37" s="156">
        <f>'Presupuesto Planes '!L54</f>
        <v>0.74666666666666681</v>
      </c>
      <c r="P37" s="156">
        <f>'Presupuesto Planes '!M54</f>
        <v>0.78222222222222226</v>
      </c>
      <c r="Q37" s="156">
        <f>'Presupuesto Planes '!N54</f>
        <v>0.78222222222222226</v>
      </c>
    </row>
    <row r="38" spans="1:17" x14ac:dyDescent="0.25">
      <c r="A38" s="160" t="s">
        <v>80</v>
      </c>
      <c r="B38" s="160" t="s">
        <v>110</v>
      </c>
      <c r="C38" s="160" t="s">
        <v>59</v>
      </c>
      <c r="D38" s="160" t="s">
        <v>89</v>
      </c>
      <c r="E38" s="160" t="s">
        <v>95</v>
      </c>
      <c r="F38" s="156">
        <f>'Presupuesto Planes '!C56</f>
        <v>89.232474964234626</v>
      </c>
      <c r="G38" s="156">
        <f>'Presupuesto Planes '!D56</f>
        <v>89.232474964234626</v>
      </c>
      <c r="H38" s="156">
        <f>'Presupuesto Planes '!E56</f>
        <v>89.232474964234626</v>
      </c>
      <c r="I38" s="156">
        <f>'Presupuesto Planes '!F56</f>
        <v>89.232474964234626</v>
      </c>
      <c r="J38" s="156">
        <f>'Presupuesto Planes '!G56</f>
        <v>84.770851216022891</v>
      </c>
      <c r="K38" s="156">
        <f>'Presupuesto Planes '!H56</f>
        <v>80.309227467811155</v>
      </c>
      <c r="L38" s="156">
        <f>'Presupuesto Planes '!I56</f>
        <v>80.309227467811155</v>
      </c>
      <c r="M38" s="156">
        <f>'Presupuesto Planes '!J56</f>
        <v>84.770851216022891</v>
      </c>
      <c r="N38" s="156">
        <f>'Presupuesto Planes '!K56</f>
        <v>93.694098712446362</v>
      </c>
      <c r="O38" s="156">
        <f>'Presupuesto Planes '!L56</f>
        <v>93.694098712446362</v>
      </c>
      <c r="P38" s="156">
        <f>'Presupuesto Planes '!M56</f>
        <v>98.155722460658097</v>
      </c>
      <c r="Q38" s="156">
        <f>'Presupuesto Planes '!N56</f>
        <v>98.155722460658097</v>
      </c>
    </row>
    <row r="39" spans="1:17" x14ac:dyDescent="0.25">
      <c r="A39" s="160" t="s">
        <v>80</v>
      </c>
      <c r="B39" s="160" t="s">
        <v>110</v>
      </c>
      <c r="C39" s="160" t="s">
        <v>59</v>
      </c>
      <c r="D39" s="160" t="s">
        <v>90</v>
      </c>
      <c r="E39" s="160" t="s">
        <v>95</v>
      </c>
      <c r="F39" s="156">
        <f>'Presupuesto Planes '!C57</f>
        <v>25.135908440629471</v>
      </c>
      <c r="G39" s="156">
        <f>'Presupuesto Planes '!D57</f>
        <v>25.135908440629471</v>
      </c>
      <c r="H39" s="156">
        <f>'Presupuesto Planes '!E57</f>
        <v>25.135908440629471</v>
      </c>
      <c r="I39" s="156">
        <f>'Presupuesto Planes '!F57</f>
        <v>25.135908440629471</v>
      </c>
      <c r="J39" s="156">
        <f>'Presupuesto Planes '!G57</f>
        <v>23.879113018597998</v>
      </c>
      <c r="K39" s="156">
        <f>'Presupuesto Planes '!H57</f>
        <v>22.622317596566525</v>
      </c>
      <c r="L39" s="156">
        <f>'Presupuesto Planes '!I57</f>
        <v>22.622317596566525</v>
      </c>
      <c r="M39" s="156">
        <f>'Presupuesto Planes '!J57</f>
        <v>23.879113018597998</v>
      </c>
      <c r="N39" s="156">
        <f>'Presupuesto Planes '!K57</f>
        <v>26.392703862660948</v>
      </c>
      <c r="O39" s="156">
        <f>'Presupuesto Planes '!L57</f>
        <v>26.392703862660948</v>
      </c>
      <c r="P39" s="156">
        <f>'Presupuesto Planes '!M57</f>
        <v>27.649499284692421</v>
      </c>
      <c r="Q39" s="156">
        <f>'Presupuesto Planes '!N57</f>
        <v>27.649499284692421</v>
      </c>
    </row>
    <row r="40" spans="1:17" x14ac:dyDescent="0.25">
      <c r="A40" s="160" t="s">
        <v>80</v>
      </c>
      <c r="B40" s="160" t="s">
        <v>110</v>
      </c>
      <c r="C40" s="160" t="s">
        <v>59</v>
      </c>
      <c r="D40" s="160" t="s">
        <v>91</v>
      </c>
      <c r="E40" s="160" t="s">
        <v>95</v>
      </c>
      <c r="F40" s="156">
        <f>'Presupuesto Planes '!C58</f>
        <v>8.9771101573676688</v>
      </c>
      <c r="G40" s="156">
        <f>'Presupuesto Planes '!D58</f>
        <v>8.9771101573676688</v>
      </c>
      <c r="H40" s="156">
        <f>'Presupuesto Planes '!E58</f>
        <v>8.9771101573676688</v>
      </c>
      <c r="I40" s="156">
        <f>'Presupuesto Planes '!F58</f>
        <v>8.9771101573676688</v>
      </c>
      <c r="J40" s="156">
        <f>'Presupuesto Planes '!G58</f>
        <v>8.528254649499285</v>
      </c>
      <c r="K40" s="156">
        <f>'Presupuesto Planes '!H58</f>
        <v>8.079399141630903</v>
      </c>
      <c r="L40" s="156">
        <f>'Presupuesto Planes '!I58</f>
        <v>8.079399141630903</v>
      </c>
      <c r="M40" s="156">
        <f>'Presupuesto Planes '!J58</f>
        <v>8.528254649499285</v>
      </c>
      <c r="N40" s="156">
        <f>'Presupuesto Planes '!K58</f>
        <v>9.4259656652360526</v>
      </c>
      <c r="O40" s="156">
        <f>'Presupuesto Planes '!L58</f>
        <v>9.4259656652360526</v>
      </c>
      <c r="P40" s="156">
        <f>'Presupuesto Planes '!M58</f>
        <v>9.8748211731044364</v>
      </c>
      <c r="Q40" s="156">
        <f>'Presupuesto Planes '!N58</f>
        <v>9.8748211731044364</v>
      </c>
    </row>
    <row r="41" spans="1:17" x14ac:dyDescent="0.25">
      <c r="A41" s="160" t="s">
        <v>80</v>
      </c>
      <c r="B41" s="160" t="s">
        <v>110</v>
      </c>
      <c r="C41" s="160" t="s">
        <v>59</v>
      </c>
      <c r="D41" s="160" t="s">
        <v>92</v>
      </c>
      <c r="E41" s="160" t="s">
        <v>95</v>
      </c>
      <c r="F41" s="156">
        <f>'Presupuesto Planes '!C59</f>
        <v>1.2567954220314734</v>
      </c>
      <c r="G41" s="156">
        <f>'Presupuesto Planes '!D59</f>
        <v>1.2567954220314734</v>
      </c>
      <c r="H41" s="156">
        <f>'Presupuesto Planes '!E59</f>
        <v>1.2567954220314734</v>
      </c>
      <c r="I41" s="156">
        <f>'Presupuesto Planes '!F59</f>
        <v>1.2567954220314734</v>
      </c>
      <c r="J41" s="156">
        <f>'Presupuesto Planes '!G59</f>
        <v>1.1939556509298999</v>
      </c>
      <c r="K41" s="156">
        <f>'Presupuesto Planes '!H59</f>
        <v>1.1311158798283263</v>
      </c>
      <c r="L41" s="156">
        <f>'Presupuesto Planes '!I59</f>
        <v>1.1311158798283263</v>
      </c>
      <c r="M41" s="156">
        <f>'Presupuesto Planes '!J59</f>
        <v>1.1939556509298999</v>
      </c>
      <c r="N41" s="156">
        <f>'Presupuesto Planes '!K59</f>
        <v>1.3196351931330472</v>
      </c>
      <c r="O41" s="156">
        <f>'Presupuesto Planes '!L59</f>
        <v>1.3196351931330472</v>
      </c>
      <c r="P41" s="156">
        <f>'Presupuesto Planes '!M59</f>
        <v>1.382474964234621</v>
      </c>
      <c r="Q41" s="156">
        <f>'Presupuesto Planes '!N59</f>
        <v>1.382474964234621</v>
      </c>
    </row>
    <row r="42" spans="1:17" x14ac:dyDescent="0.25">
      <c r="A42" s="160" t="s">
        <v>80</v>
      </c>
      <c r="B42" s="160" t="s">
        <v>110</v>
      </c>
      <c r="C42" s="160" t="s">
        <v>59</v>
      </c>
      <c r="D42" s="160" t="s">
        <v>93</v>
      </c>
      <c r="E42" s="160" t="s">
        <v>95</v>
      </c>
      <c r="F42" s="156">
        <f>'Presupuesto Planes '!C60</f>
        <v>0.89771101573676682</v>
      </c>
      <c r="G42" s="156">
        <f>'Presupuesto Planes '!D60</f>
        <v>0.89771101573676682</v>
      </c>
      <c r="H42" s="156">
        <f>'Presupuesto Planes '!E60</f>
        <v>0.89771101573676682</v>
      </c>
      <c r="I42" s="156">
        <f>'Presupuesto Planes '!F60</f>
        <v>0.89771101573676682</v>
      </c>
      <c r="J42" s="156">
        <f>'Presupuesto Planes '!G60</f>
        <v>0.85282546494992839</v>
      </c>
      <c r="K42" s="156">
        <f>'Presupuesto Planes '!H60</f>
        <v>0.80793991416309019</v>
      </c>
      <c r="L42" s="156">
        <f>'Presupuesto Planes '!I60</f>
        <v>0.80793991416309019</v>
      </c>
      <c r="M42" s="156">
        <f>'Presupuesto Planes '!J60</f>
        <v>0.85282546494992839</v>
      </c>
      <c r="N42" s="156">
        <f>'Presupuesto Planes '!K60</f>
        <v>0.94259656652360524</v>
      </c>
      <c r="O42" s="156">
        <f>'Presupuesto Planes '!L60</f>
        <v>0.94259656652360524</v>
      </c>
      <c r="P42" s="156">
        <f>'Presupuesto Planes '!M60</f>
        <v>0.98748211731044355</v>
      </c>
      <c r="Q42" s="156">
        <f>'Presupuesto Planes '!N60</f>
        <v>0.98748211731044355</v>
      </c>
    </row>
    <row r="43" spans="1:17" x14ac:dyDescent="0.25">
      <c r="A43" s="160" t="s">
        <v>80</v>
      </c>
      <c r="B43" s="160" t="s">
        <v>111</v>
      </c>
      <c r="C43" s="160" t="s">
        <v>60</v>
      </c>
      <c r="D43" s="160" t="s">
        <v>89</v>
      </c>
      <c r="E43" s="160" t="s">
        <v>95</v>
      </c>
      <c r="F43" s="156">
        <f>'Presupuesto Planes '!C62</f>
        <v>92.406417112299465</v>
      </c>
      <c r="G43" s="156">
        <f>'Presupuesto Planes '!D62</f>
        <v>92.406417112299465</v>
      </c>
      <c r="H43" s="156">
        <f>'Presupuesto Planes '!E62</f>
        <v>92.406417112299465</v>
      </c>
      <c r="I43" s="156">
        <f>'Presupuesto Planes '!F62</f>
        <v>92.406417112299465</v>
      </c>
      <c r="J43" s="156">
        <f>'Presupuesto Planes '!G62</f>
        <v>87.786096256684488</v>
      </c>
      <c r="K43" s="156">
        <f>'Presupuesto Planes '!H62</f>
        <v>83.16577540106951</v>
      </c>
      <c r="L43" s="156">
        <f>'Presupuesto Planes '!I62</f>
        <v>83.16577540106951</v>
      </c>
      <c r="M43" s="156">
        <f>'Presupuesto Planes '!J62</f>
        <v>87.786096256684488</v>
      </c>
      <c r="N43" s="156">
        <f>'Presupuesto Planes '!K62</f>
        <v>97.026737967914428</v>
      </c>
      <c r="O43" s="156">
        <f>'Presupuesto Planes '!L62</f>
        <v>97.026737967914428</v>
      </c>
      <c r="P43" s="156">
        <f>'Presupuesto Planes '!M62</f>
        <v>101.64705882352941</v>
      </c>
      <c r="Q43" s="156">
        <f>'Presupuesto Planes '!N62</f>
        <v>101.64705882352941</v>
      </c>
    </row>
    <row r="44" spans="1:17" x14ac:dyDescent="0.25">
      <c r="A44" s="160" t="s">
        <v>80</v>
      </c>
      <c r="B44" s="160" t="s">
        <v>111</v>
      </c>
      <c r="C44" s="160" t="s">
        <v>60</v>
      </c>
      <c r="D44" s="160" t="s">
        <v>90</v>
      </c>
      <c r="E44" s="160" t="s">
        <v>95</v>
      </c>
      <c r="F44" s="156">
        <f>'Presupuesto Planes '!C63</f>
        <v>13.155080213903743</v>
      </c>
      <c r="G44" s="156">
        <f>'Presupuesto Planes '!D63</f>
        <v>13.155080213903743</v>
      </c>
      <c r="H44" s="156">
        <f>'Presupuesto Planes '!E63</f>
        <v>13.155080213903743</v>
      </c>
      <c r="I44" s="156">
        <f>'Presupuesto Planes '!F63</f>
        <v>13.155080213903743</v>
      </c>
      <c r="J44" s="156">
        <f>'Presupuesto Planes '!G63</f>
        <v>12.497326203208555</v>
      </c>
      <c r="K44" s="156">
        <f>'Presupuesto Planes '!H63</f>
        <v>11.839572192513369</v>
      </c>
      <c r="L44" s="156">
        <f>'Presupuesto Planes '!I63</f>
        <v>11.839572192513369</v>
      </c>
      <c r="M44" s="156">
        <f>'Presupuesto Planes '!J63</f>
        <v>12.497326203208555</v>
      </c>
      <c r="N44" s="156">
        <f>'Presupuesto Planes '!K63</f>
        <v>13.81283422459893</v>
      </c>
      <c r="O44" s="156">
        <f>'Presupuesto Planes '!L63</f>
        <v>13.81283422459893</v>
      </c>
      <c r="P44" s="156">
        <f>'Presupuesto Planes '!M63</f>
        <v>14.470588235294116</v>
      </c>
      <c r="Q44" s="156">
        <f>'Presupuesto Planes '!N63</f>
        <v>14.470588235294116</v>
      </c>
    </row>
    <row r="45" spans="1:17" x14ac:dyDescent="0.25">
      <c r="A45" s="160" t="s">
        <v>80</v>
      </c>
      <c r="B45" s="160" t="s">
        <v>111</v>
      </c>
      <c r="C45" s="160" t="s">
        <v>60</v>
      </c>
      <c r="D45" s="160" t="s">
        <v>91</v>
      </c>
      <c r="E45" s="160" t="s">
        <v>95</v>
      </c>
      <c r="F45" s="156">
        <f>'Presupuesto Planes '!C64</f>
        <v>5.1336898395721926</v>
      </c>
      <c r="G45" s="156">
        <f>'Presupuesto Planes '!D64</f>
        <v>5.1336898395721926</v>
      </c>
      <c r="H45" s="156">
        <f>'Presupuesto Planes '!E64</f>
        <v>5.1336898395721926</v>
      </c>
      <c r="I45" s="156">
        <f>'Presupuesto Planes '!F64</f>
        <v>5.1336898395721926</v>
      </c>
      <c r="J45" s="156">
        <f>'Presupuesto Planes '!G64</f>
        <v>4.8770053475935828</v>
      </c>
      <c r="K45" s="156">
        <f>'Presupuesto Planes '!H64</f>
        <v>4.6203208556149731</v>
      </c>
      <c r="L45" s="156">
        <f>'Presupuesto Planes '!I64</f>
        <v>4.6203208556149731</v>
      </c>
      <c r="M45" s="156">
        <f>'Presupuesto Planes '!J64</f>
        <v>4.8770053475935828</v>
      </c>
      <c r="N45" s="156">
        <f>'Presupuesto Planes '!K64</f>
        <v>5.3903743315508015</v>
      </c>
      <c r="O45" s="156">
        <f>'Presupuesto Planes '!L64</f>
        <v>5.3903743315508015</v>
      </c>
      <c r="P45" s="156">
        <f>'Presupuesto Planes '!M64</f>
        <v>5.6470588235294112</v>
      </c>
      <c r="Q45" s="156">
        <f>'Presupuesto Planes '!N64</f>
        <v>5.6470588235294112</v>
      </c>
    </row>
    <row r="46" spans="1:17" x14ac:dyDescent="0.25">
      <c r="A46" s="160" t="s">
        <v>80</v>
      </c>
      <c r="B46" s="160" t="s">
        <v>111</v>
      </c>
      <c r="C46" s="160" t="s">
        <v>60</v>
      </c>
      <c r="D46" s="160" t="s">
        <v>92</v>
      </c>
      <c r="E46" s="160" t="s">
        <v>95</v>
      </c>
      <c r="F46" s="156">
        <f>'Presupuesto Planes '!C65</f>
        <v>4.1711229946524062</v>
      </c>
      <c r="G46" s="156">
        <f>'Presupuesto Planes '!D65</f>
        <v>4.1711229946524062</v>
      </c>
      <c r="H46" s="156">
        <f>'Presupuesto Planes '!E65</f>
        <v>4.1711229946524062</v>
      </c>
      <c r="I46" s="156">
        <f>'Presupuesto Planes '!F65</f>
        <v>4.1711229946524062</v>
      </c>
      <c r="J46" s="156">
        <f>'Presupuesto Planes '!G65</f>
        <v>3.9625668449197859</v>
      </c>
      <c r="K46" s="156">
        <f>'Presupuesto Planes '!H65</f>
        <v>3.7540106951871657</v>
      </c>
      <c r="L46" s="156">
        <f>'Presupuesto Planes '!I65</f>
        <v>3.7540106951871657</v>
      </c>
      <c r="M46" s="156">
        <f>'Presupuesto Planes '!J65</f>
        <v>3.9625668449197859</v>
      </c>
      <c r="N46" s="156">
        <f>'Presupuesto Planes '!K65</f>
        <v>4.3796791443850269</v>
      </c>
      <c r="O46" s="156">
        <f>'Presupuesto Planes '!L65</f>
        <v>4.3796791443850269</v>
      </c>
      <c r="P46" s="156">
        <f>'Presupuesto Planes '!M65</f>
        <v>4.5882352941176467</v>
      </c>
      <c r="Q46" s="156">
        <f>'Presupuesto Planes '!N65</f>
        <v>4.5882352941176467</v>
      </c>
    </row>
    <row r="47" spans="1:17" x14ac:dyDescent="0.25">
      <c r="A47" s="160" t="s">
        <v>80</v>
      </c>
      <c r="B47" s="160" t="s">
        <v>111</v>
      </c>
      <c r="C47" s="160" t="s">
        <v>60</v>
      </c>
      <c r="D47" s="160" t="s">
        <v>93</v>
      </c>
      <c r="E47" s="160" t="s">
        <v>95</v>
      </c>
      <c r="F47" s="156">
        <f>'Presupuesto Planes '!C66</f>
        <v>5.1336898395721926</v>
      </c>
      <c r="G47" s="156">
        <f>'Presupuesto Planes '!D66</f>
        <v>5.1336898395721926</v>
      </c>
      <c r="H47" s="156">
        <f>'Presupuesto Planes '!E66</f>
        <v>5.1336898395721926</v>
      </c>
      <c r="I47" s="156">
        <f>'Presupuesto Planes '!F66</f>
        <v>5.1336898395721926</v>
      </c>
      <c r="J47" s="156">
        <f>'Presupuesto Planes '!G66</f>
        <v>4.8770053475935828</v>
      </c>
      <c r="K47" s="156">
        <f>'Presupuesto Planes '!H66</f>
        <v>4.6203208556149731</v>
      </c>
      <c r="L47" s="156">
        <f>'Presupuesto Planes '!I66</f>
        <v>4.6203208556149731</v>
      </c>
      <c r="M47" s="156">
        <f>'Presupuesto Planes '!J66</f>
        <v>4.8770053475935828</v>
      </c>
      <c r="N47" s="156">
        <f>'Presupuesto Planes '!K66</f>
        <v>5.3903743315508015</v>
      </c>
      <c r="O47" s="156">
        <f>'Presupuesto Planes '!L66</f>
        <v>5.3903743315508015</v>
      </c>
      <c r="P47" s="156">
        <f>'Presupuesto Planes '!M66</f>
        <v>5.6470588235294112</v>
      </c>
      <c r="Q47" s="156">
        <f>'Presupuesto Planes '!N66</f>
        <v>5.6470588235294112</v>
      </c>
    </row>
    <row r="48" spans="1:17" x14ac:dyDescent="0.25">
      <c r="A48" s="160" t="s">
        <v>80</v>
      </c>
      <c r="B48" s="160" t="s">
        <v>112</v>
      </c>
      <c r="C48" s="160" t="s">
        <v>61</v>
      </c>
      <c r="D48" s="160" t="s">
        <v>89</v>
      </c>
      <c r="E48" s="160" t="s">
        <v>95</v>
      </c>
      <c r="F48" s="156">
        <f>'Presupuesto Planes '!C68</f>
        <v>71.246930422919505</v>
      </c>
      <c r="G48" s="156">
        <f>'Presupuesto Planes '!D68</f>
        <v>71.246930422919505</v>
      </c>
      <c r="H48" s="156">
        <f>'Presupuesto Planes '!E68</f>
        <v>71.246930422919505</v>
      </c>
      <c r="I48" s="156">
        <f>'Presupuesto Planes '!F68</f>
        <v>71.246930422919505</v>
      </c>
      <c r="J48" s="156">
        <f>'Presupuesto Planes '!G68</f>
        <v>67.684583901773522</v>
      </c>
      <c r="K48" s="156">
        <f>'Presupuesto Planes '!H68</f>
        <v>64.122237380627553</v>
      </c>
      <c r="L48" s="156">
        <f>'Presupuesto Planes '!I68</f>
        <v>64.122237380627553</v>
      </c>
      <c r="M48" s="156">
        <f>'Presupuesto Planes '!J68</f>
        <v>67.684583901773522</v>
      </c>
      <c r="N48" s="156">
        <f>'Presupuesto Planes '!K68</f>
        <v>74.809276944065488</v>
      </c>
      <c r="O48" s="156">
        <f>'Presupuesto Planes '!L68</f>
        <v>74.809276944065488</v>
      </c>
      <c r="P48" s="156">
        <f>'Presupuesto Planes '!M68</f>
        <v>78.371623465211457</v>
      </c>
      <c r="Q48" s="156">
        <f>'Presupuesto Planes '!N68</f>
        <v>78.371623465211457</v>
      </c>
    </row>
    <row r="49" spans="1:17" x14ac:dyDescent="0.25">
      <c r="A49" s="160" t="s">
        <v>80</v>
      </c>
      <c r="B49" s="160" t="s">
        <v>112</v>
      </c>
      <c r="C49" s="160" t="s">
        <v>61</v>
      </c>
      <c r="D49" s="160" t="s">
        <v>90</v>
      </c>
      <c r="E49" s="160" t="s">
        <v>95</v>
      </c>
      <c r="F49" s="156">
        <f>'Presupuesto Planes '!C69</f>
        <v>3.9290586630286497</v>
      </c>
      <c r="G49" s="156">
        <f>'Presupuesto Planes '!D69</f>
        <v>3.9290586630286497</v>
      </c>
      <c r="H49" s="156">
        <f>'Presupuesto Planes '!E69</f>
        <v>3.9290586630286497</v>
      </c>
      <c r="I49" s="156">
        <f>'Presupuesto Planes '!F69</f>
        <v>3.9290586630286497</v>
      </c>
      <c r="J49" s="156">
        <f>'Presupuesto Planes '!G69</f>
        <v>3.7326057298772168</v>
      </c>
      <c r="K49" s="156">
        <f>'Presupuesto Planes '!H69</f>
        <v>3.5361527967257849</v>
      </c>
      <c r="L49" s="156">
        <f>'Presupuesto Planes '!I69</f>
        <v>3.5361527967257849</v>
      </c>
      <c r="M49" s="156">
        <f>'Presupuesto Planes '!J69</f>
        <v>3.7326057298772168</v>
      </c>
      <c r="N49" s="156">
        <f>'Presupuesto Planes '!K69</f>
        <v>4.1255115961800826</v>
      </c>
      <c r="O49" s="156">
        <f>'Presupuesto Planes '!L69</f>
        <v>4.1255115961800826</v>
      </c>
      <c r="P49" s="156">
        <f>'Presupuesto Planes '!M69</f>
        <v>4.321964529331515</v>
      </c>
      <c r="Q49" s="156">
        <f>'Presupuesto Planes '!N69</f>
        <v>4.321964529331515</v>
      </c>
    </row>
    <row r="50" spans="1:17" x14ac:dyDescent="0.25">
      <c r="A50" s="160" t="s">
        <v>80</v>
      </c>
      <c r="B50" s="160" t="s">
        <v>112</v>
      </c>
      <c r="C50" s="160" t="s">
        <v>61</v>
      </c>
      <c r="D50" s="160" t="s">
        <v>91</v>
      </c>
      <c r="E50" s="160" t="s">
        <v>95</v>
      </c>
      <c r="F50" s="156">
        <f>'Presupuesto Planes '!C70</f>
        <v>15.585266030013642</v>
      </c>
      <c r="G50" s="156">
        <f>'Presupuesto Planes '!D70</f>
        <v>15.585266030013642</v>
      </c>
      <c r="H50" s="156">
        <f>'Presupuesto Planes '!E70</f>
        <v>15.585266030013642</v>
      </c>
      <c r="I50" s="156">
        <f>'Presupuesto Planes '!F70</f>
        <v>15.585266030013642</v>
      </c>
      <c r="J50" s="156">
        <f>'Presupuesto Planes '!G70</f>
        <v>14.80600272851296</v>
      </c>
      <c r="K50" s="156">
        <f>'Presupuesto Planes '!H70</f>
        <v>14.026739427012279</v>
      </c>
      <c r="L50" s="156">
        <f>'Presupuesto Planes '!I70</f>
        <v>14.026739427012279</v>
      </c>
      <c r="M50" s="156">
        <f>'Presupuesto Planes '!J70</f>
        <v>14.80600272851296</v>
      </c>
      <c r="N50" s="156">
        <f>'Presupuesto Planes '!K70</f>
        <v>16.364529331514326</v>
      </c>
      <c r="O50" s="156">
        <f>'Presupuesto Planes '!L70</f>
        <v>16.364529331514326</v>
      </c>
      <c r="P50" s="156">
        <f>'Presupuesto Planes '!M70</f>
        <v>17.143792633015007</v>
      </c>
      <c r="Q50" s="156">
        <f>'Presupuesto Planes '!N70</f>
        <v>17.143792633015007</v>
      </c>
    </row>
    <row r="51" spans="1:17" x14ac:dyDescent="0.25">
      <c r="A51" s="160" t="s">
        <v>80</v>
      </c>
      <c r="B51" s="160" t="s">
        <v>112</v>
      </c>
      <c r="C51" s="160" t="s">
        <v>61</v>
      </c>
      <c r="D51" s="160" t="s">
        <v>92</v>
      </c>
      <c r="E51" s="160" t="s">
        <v>95</v>
      </c>
      <c r="F51" s="156">
        <f>'Presupuesto Planes '!C71</f>
        <v>3.5361527967257844</v>
      </c>
      <c r="G51" s="156">
        <f>'Presupuesto Planes '!D71</f>
        <v>3.5361527967257844</v>
      </c>
      <c r="H51" s="156">
        <f>'Presupuesto Planes '!E71</f>
        <v>3.5361527967257844</v>
      </c>
      <c r="I51" s="156">
        <f>'Presupuesto Planes '!F71</f>
        <v>3.5361527967257844</v>
      </c>
      <c r="J51" s="156">
        <f>'Presupuesto Planes '!G71</f>
        <v>3.3593451568894945</v>
      </c>
      <c r="K51" s="156">
        <f>'Presupuesto Planes '!H71</f>
        <v>3.182537517053206</v>
      </c>
      <c r="L51" s="156">
        <f>'Presupuesto Planes '!I71</f>
        <v>3.182537517053206</v>
      </c>
      <c r="M51" s="156">
        <f>'Presupuesto Planes '!J71</f>
        <v>3.3593451568894945</v>
      </c>
      <c r="N51" s="156">
        <f>'Presupuesto Planes '!K71</f>
        <v>3.7129604365620739</v>
      </c>
      <c r="O51" s="156">
        <f>'Presupuesto Planes '!L71</f>
        <v>3.7129604365620739</v>
      </c>
      <c r="P51" s="156">
        <f>'Presupuesto Planes '!M71</f>
        <v>3.8897680763983629</v>
      </c>
      <c r="Q51" s="156">
        <f>'Presupuesto Planes '!N71</f>
        <v>3.8897680763983629</v>
      </c>
    </row>
    <row r="52" spans="1:17" x14ac:dyDescent="0.25">
      <c r="A52" s="160" t="s">
        <v>80</v>
      </c>
      <c r="B52" s="160" t="s">
        <v>112</v>
      </c>
      <c r="C52" s="160" t="s">
        <v>61</v>
      </c>
      <c r="D52" s="160" t="s">
        <v>93</v>
      </c>
      <c r="E52" s="160" t="s">
        <v>95</v>
      </c>
      <c r="F52" s="156">
        <f>'Presupuesto Planes '!C72</f>
        <v>1.7025920873124147</v>
      </c>
      <c r="G52" s="156">
        <f>'Presupuesto Planes '!D72</f>
        <v>1.7025920873124147</v>
      </c>
      <c r="H52" s="156">
        <f>'Presupuesto Planes '!E72</f>
        <v>1.7025920873124147</v>
      </c>
      <c r="I52" s="156">
        <f>'Presupuesto Planes '!F72</f>
        <v>1.7025920873124147</v>
      </c>
      <c r="J52" s="156">
        <f>'Presupuesto Planes '!G72</f>
        <v>1.6174624829467938</v>
      </c>
      <c r="K52" s="156">
        <f>'Presupuesto Planes '!H72</f>
        <v>1.5323328785811734</v>
      </c>
      <c r="L52" s="156">
        <f>'Presupuesto Planes '!I72</f>
        <v>1.5323328785811734</v>
      </c>
      <c r="M52" s="156">
        <f>'Presupuesto Planes '!J72</f>
        <v>1.6174624829467938</v>
      </c>
      <c r="N52" s="156">
        <f>'Presupuesto Planes '!K72</f>
        <v>1.7877216916780359</v>
      </c>
      <c r="O52" s="156">
        <f>'Presupuesto Planes '!L72</f>
        <v>1.7877216916780359</v>
      </c>
      <c r="P52" s="156">
        <f>'Presupuesto Planes '!M72</f>
        <v>1.8728512960436565</v>
      </c>
      <c r="Q52" s="156">
        <f>'Presupuesto Planes '!N72</f>
        <v>1.8728512960436565</v>
      </c>
    </row>
    <row r="53" spans="1:17" x14ac:dyDescent="0.25">
      <c r="A53" s="160" t="s">
        <v>80</v>
      </c>
      <c r="B53" s="160" t="s">
        <v>103</v>
      </c>
      <c r="C53" s="160" t="s">
        <v>62</v>
      </c>
      <c r="D53" s="160" t="s">
        <v>89</v>
      </c>
      <c r="E53" s="160" t="s">
        <v>95</v>
      </c>
      <c r="F53" s="156">
        <f>'Presupuesto Planes '!C74</f>
        <v>38.82352941176471</v>
      </c>
      <c r="G53" s="156">
        <f>'Presupuesto Planes '!D74</f>
        <v>38.82352941176471</v>
      </c>
      <c r="H53" s="156">
        <f>'Presupuesto Planes '!E74</f>
        <v>38.82352941176471</v>
      </c>
      <c r="I53" s="156">
        <f>'Presupuesto Planes '!F74</f>
        <v>38.82352941176471</v>
      </c>
      <c r="J53" s="156">
        <f>'Presupuesto Planes '!G74</f>
        <v>36.882352941176471</v>
      </c>
      <c r="K53" s="156">
        <f>'Presupuesto Planes '!H74</f>
        <v>34.941176470588239</v>
      </c>
      <c r="L53" s="156">
        <f>'Presupuesto Planes '!I74</f>
        <v>34.941176470588239</v>
      </c>
      <c r="M53" s="156">
        <f>'Presupuesto Planes '!J74</f>
        <v>36.882352941176471</v>
      </c>
      <c r="N53" s="156">
        <f>'Presupuesto Planes '!K74</f>
        <v>40.764705882352942</v>
      </c>
      <c r="O53" s="156">
        <f>'Presupuesto Planes '!L74</f>
        <v>40.764705882352942</v>
      </c>
      <c r="P53" s="156">
        <f>'Presupuesto Planes '!M74</f>
        <v>42.705882352941181</v>
      </c>
      <c r="Q53" s="156">
        <f>'Presupuesto Planes '!N74</f>
        <v>42.705882352941181</v>
      </c>
    </row>
    <row r="54" spans="1:17" x14ac:dyDescent="0.25">
      <c r="A54" s="160" t="s">
        <v>80</v>
      </c>
      <c r="B54" s="160" t="s">
        <v>103</v>
      </c>
      <c r="C54" s="160" t="s">
        <v>62</v>
      </c>
      <c r="D54" s="160" t="s">
        <v>90</v>
      </c>
      <c r="E54" s="160" t="s">
        <v>95</v>
      </c>
      <c r="F54" s="156">
        <f>'Presupuesto Planes '!C75</f>
        <v>3.8235294117647056</v>
      </c>
      <c r="G54" s="156">
        <f>'Presupuesto Planes '!D75</f>
        <v>3.8235294117647056</v>
      </c>
      <c r="H54" s="156">
        <f>'Presupuesto Planes '!E75</f>
        <v>3.8235294117647056</v>
      </c>
      <c r="I54" s="156">
        <f>'Presupuesto Planes '!F75</f>
        <v>3.8235294117647056</v>
      </c>
      <c r="J54" s="156">
        <f>'Presupuesto Planes '!G75</f>
        <v>3.6323529411764701</v>
      </c>
      <c r="K54" s="156">
        <f>'Presupuesto Planes '!H75</f>
        <v>3.4411764705882351</v>
      </c>
      <c r="L54" s="156">
        <f>'Presupuesto Planes '!I75</f>
        <v>3.4411764705882351</v>
      </c>
      <c r="M54" s="156">
        <f>'Presupuesto Planes '!J75</f>
        <v>3.6323529411764701</v>
      </c>
      <c r="N54" s="156">
        <f>'Presupuesto Planes '!K75</f>
        <v>4.0147058823529411</v>
      </c>
      <c r="O54" s="156">
        <f>'Presupuesto Planes '!L75</f>
        <v>4.0147058823529411</v>
      </c>
      <c r="P54" s="156">
        <f>'Presupuesto Planes '!M75</f>
        <v>4.2058823529411757</v>
      </c>
      <c r="Q54" s="156">
        <f>'Presupuesto Planes '!N75</f>
        <v>4.2058823529411757</v>
      </c>
    </row>
    <row r="55" spans="1:17" x14ac:dyDescent="0.25">
      <c r="A55" s="160" t="s">
        <v>80</v>
      </c>
      <c r="B55" s="160" t="s">
        <v>103</v>
      </c>
      <c r="C55" s="160" t="s">
        <v>62</v>
      </c>
      <c r="D55" s="160" t="s">
        <v>91</v>
      </c>
      <c r="E55" s="160" t="s">
        <v>95</v>
      </c>
      <c r="F55" s="156">
        <f>'Presupuesto Planes '!C76</f>
        <v>16.176470588235293</v>
      </c>
      <c r="G55" s="156">
        <f>'Presupuesto Planes '!D76</f>
        <v>16.176470588235293</v>
      </c>
      <c r="H55" s="156">
        <f>'Presupuesto Planes '!E76</f>
        <v>16.176470588235293</v>
      </c>
      <c r="I55" s="156">
        <f>'Presupuesto Planes '!F76</f>
        <v>16.176470588235293</v>
      </c>
      <c r="J55" s="156">
        <f>'Presupuesto Planes '!G76</f>
        <v>15.367647058823529</v>
      </c>
      <c r="K55" s="156">
        <f>'Presupuesto Planes '!H76</f>
        <v>14.558823529411764</v>
      </c>
      <c r="L55" s="156">
        <f>'Presupuesto Planes '!I76</f>
        <v>14.558823529411764</v>
      </c>
      <c r="M55" s="156">
        <f>'Presupuesto Planes '!J76</f>
        <v>15.367647058823529</v>
      </c>
      <c r="N55" s="156">
        <f>'Presupuesto Planes '!K76</f>
        <v>16.985294117647058</v>
      </c>
      <c r="O55" s="156">
        <f>'Presupuesto Planes '!L76</f>
        <v>16.985294117647058</v>
      </c>
      <c r="P55" s="156">
        <f>'Presupuesto Planes '!M76</f>
        <v>17.794117647058822</v>
      </c>
      <c r="Q55" s="156">
        <f>'Presupuesto Planes '!N76</f>
        <v>17.794117647058822</v>
      </c>
    </row>
    <row r="56" spans="1:17" x14ac:dyDescent="0.25">
      <c r="A56" s="160" t="s">
        <v>80</v>
      </c>
      <c r="B56" s="160" t="s">
        <v>103</v>
      </c>
      <c r="C56" s="160" t="s">
        <v>62</v>
      </c>
      <c r="D56" s="160" t="s">
        <v>92</v>
      </c>
      <c r="E56" s="160" t="s">
        <v>95</v>
      </c>
      <c r="F56" s="156">
        <f>'Presupuesto Planes '!C77</f>
        <v>1.1764705882352942</v>
      </c>
      <c r="G56" s="156">
        <f>'Presupuesto Planes '!D77</f>
        <v>1.1764705882352942</v>
      </c>
      <c r="H56" s="156">
        <f>'Presupuesto Planes '!E77</f>
        <v>1.1764705882352942</v>
      </c>
      <c r="I56" s="156">
        <f>'Presupuesto Planes '!F77</f>
        <v>1.1764705882352942</v>
      </c>
      <c r="J56" s="156">
        <f>'Presupuesto Planes '!G77</f>
        <v>1.1176470588235294</v>
      </c>
      <c r="K56" s="156">
        <f>'Presupuesto Planes '!H77</f>
        <v>1.0588235294117647</v>
      </c>
      <c r="L56" s="156">
        <f>'Presupuesto Planes '!I77</f>
        <v>1.0588235294117647</v>
      </c>
      <c r="M56" s="156">
        <f>'Presupuesto Planes '!J77</f>
        <v>1.1176470588235294</v>
      </c>
      <c r="N56" s="156">
        <f>'Presupuesto Planes '!K77</f>
        <v>1.2352941176470589</v>
      </c>
      <c r="O56" s="156">
        <f>'Presupuesto Planes '!L77</f>
        <v>1.2352941176470589</v>
      </c>
      <c r="P56" s="156">
        <f>'Presupuesto Planes '!M77</f>
        <v>1.2941176470588236</v>
      </c>
      <c r="Q56" s="156">
        <f>'Presupuesto Planes '!N77</f>
        <v>1.2941176470588236</v>
      </c>
    </row>
    <row r="57" spans="1:17" x14ac:dyDescent="0.25">
      <c r="A57" s="160" t="s">
        <v>80</v>
      </c>
      <c r="B57" s="160" t="s">
        <v>103</v>
      </c>
      <c r="C57" s="160" t="s">
        <v>62</v>
      </c>
      <c r="D57" s="160" t="s">
        <v>93</v>
      </c>
      <c r="E57" s="160" t="s">
        <v>95</v>
      </c>
      <c r="F57" s="156">
        <f>'Presupuesto Planes '!C78</f>
        <v>0</v>
      </c>
      <c r="G57" s="156">
        <f>'Presupuesto Planes '!D78</f>
        <v>0</v>
      </c>
      <c r="H57" s="156">
        <f>'Presupuesto Planes '!E78</f>
        <v>0</v>
      </c>
      <c r="I57" s="156">
        <f>'Presupuesto Planes '!F78</f>
        <v>0</v>
      </c>
      <c r="J57" s="156">
        <f>'Presupuesto Planes '!G78</f>
        <v>0</v>
      </c>
      <c r="K57" s="156">
        <f>'Presupuesto Planes '!H78</f>
        <v>0</v>
      </c>
      <c r="L57" s="156">
        <f>'Presupuesto Planes '!I78</f>
        <v>0</v>
      </c>
      <c r="M57" s="156">
        <f>'Presupuesto Planes '!J78</f>
        <v>0</v>
      </c>
      <c r="N57" s="156">
        <f>'Presupuesto Planes '!K78</f>
        <v>0</v>
      </c>
      <c r="O57" s="156">
        <f>'Presupuesto Planes '!L78</f>
        <v>0</v>
      </c>
      <c r="P57" s="156">
        <f>'Presupuesto Planes '!M78</f>
        <v>0</v>
      </c>
      <c r="Q57" s="156">
        <f>'Presupuesto Planes '!N78</f>
        <v>0</v>
      </c>
    </row>
    <row r="58" spans="1:17" x14ac:dyDescent="0.25">
      <c r="A58" s="160" t="s">
        <v>80</v>
      </c>
      <c r="B58" s="160" t="s">
        <v>113</v>
      </c>
      <c r="C58" s="160" t="s">
        <v>63</v>
      </c>
      <c r="D58" s="160" t="s">
        <v>89</v>
      </c>
      <c r="E58" s="160" t="s">
        <v>95</v>
      </c>
      <c r="F58" s="156">
        <f>'Presupuesto Planes '!C80</f>
        <v>40.453608247422686</v>
      </c>
      <c r="G58" s="156">
        <f>'Presupuesto Planes '!D80</f>
        <v>40.453608247422686</v>
      </c>
      <c r="H58" s="156">
        <f>'Presupuesto Planes '!E80</f>
        <v>40.453608247422686</v>
      </c>
      <c r="I58" s="156">
        <f>'Presupuesto Planes '!F80</f>
        <v>40.453608247422686</v>
      </c>
      <c r="J58" s="156">
        <f>'Presupuesto Planes '!G80</f>
        <v>38.430927835051548</v>
      </c>
      <c r="K58" s="156">
        <f>'Presupuesto Planes '!H80</f>
        <v>36.408247422680418</v>
      </c>
      <c r="L58" s="156">
        <f>'Presupuesto Planes '!I80</f>
        <v>36.408247422680418</v>
      </c>
      <c r="M58" s="156">
        <f>'Presupuesto Planes '!J80</f>
        <v>38.430927835051548</v>
      </c>
      <c r="N58" s="156">
        <f>'Presupuesto Planes '!K80</f>
        <v>42.476288659793816</v>
      </c>
      <c r="O58" s="156">
        <f>'Presupuesto Planes '!L80</f>
        <v>42.476288659793816</v>
      </c>
      <c r="P58" s="156">
        <f>'Presupuesto Planes '!M80</f>
        <v>44.498969072164954</v>
      </c>
      <c r="Q58" s="156">
        <f>'Presupuesto Planes '!N80</f>
        <v>44.498969072164954</v>
      </c>
    </row>
    <row r="59" spans="1:17" x14ac:dyDescent="0.25">
      <c r="A59" s="160" t="s">
        <v>80</v>
      </c>
      <c r="B59" s="160" t="s">
        <v>113</v>
      </c>
      <c r="C59" s="160" t="s">
        <v>63</v>
      </c>
      <c r="D59" s="160" t="s">
        <v>90</v>
      </c>
      <c r="E59" s="160" t="s">
        <v>95</v>
      </c>
      <c r="F59" s="156">
        <f>'Presupuesto Planes '!C81</f>
        <v>4.5773195876288666</v>
      </c>
      <c r="G59" s="156">
        <f>'Presupuesto Planes '!D81</f>
        <v>4.5773195876288666</v>
      </c>
      <c r="H59" s="156">
        <f>'Presupuesto Planes '!E81</f>
        <v>4.5773195876288666</v>
      </c>
      <c r="I59" s="156">
        <f>'Presupuesto Planes '!F81</f>
        <v>4.5773195876288666</v>
      </c>
      <c r="J59" s="156">
        <f>'Presupuesto Planes '!G81</f>
        <v>4.3484536082474232</v>
      </c>
      <c r="K59" s="156">
        <f>'Presupuesto Planes '!H81</f>
        <v>4.1195876288659798</v>
      </c>
      <c r="L59" s="156">
        <f>'Presupuesto Planes '!I81</f>
        <v>4.1195876288659798</v>
      </c>
      <c r="M59" s="156">
        <f>'Presupuesto Planes '!J81</f>
        <v>4.3484536082474232</v>
      </c>
      <c r="N59" s="156">
        <f>'Presupuesto Planes '!K81</f>
        <v>4.80618556701031</v>
      </c>
      <c r="O59" s="156">
        <f>'Presupuesto Planes '!L81</f>
        <v>4.80618556701031</v>
      </c>
      <c r="P59" s="156">
        <f>'Presupuesto Planes '!M81</f>
        <v>5.0350515463917533</v>
      </c>
      <c r="Q59" s="156">
        <f>'Presupuesto Planes '!N81</f>
        <v>5.0350515463917533</v>
      </c>
    </row>
    <row r="60" spans="1:17" x14ac:dyDescent="0.25">
      <c r="A60" s="160" t="s">
        <v>80</v>
      </c>
      <c r="B60" s="160" t="s">
        <v>113</v>
      </c>
      <c r="C60" s="160" t="s">
        <v>63</v>
      </c>
      <c r="D60" s="160" t="s">
        <v>91</v>
      </c>
      <c r="E60" s="160" t="s">
        <v>95</v>
      </c>
      <c r="F60" s="156">
        <f>'Presupuesto Planes '!C82</f>
        <v>12.494845360824742</v>
      </c>
      <c r="G60" s="156">
        <f>'Presupuesto Planes '!D82</f>
        <v>12.494845360824742</v>
      </c>
      <c r="H60" s="156">
        <f>'Presupuesto Planes '!E82</f>
        <v>12.494845360824742</v>
      </c>
      <c r="I60" s="156">
        <f>'Presupuesto Planes '!F82</f>
        <v>12.494845360824742</v>
      </c>
      <c r="J60" s="156">
        <f>'Presupuesto Planes '!G82</f>
        <v>11.870103092783506</v>
      </c>
      <c r="K60" s="156">
        <f>'Presupuesto Planes '!H82</f>
        <v>11.245360824742269</v>
      </c>
      <c r="L60" s="156">
        <f>'Presupuesto Planes '!I82</f>
        <v>11.245360824742269</v>
      </c>
      <c r="M60" s="156">
        <f>'Presupuesto Planes '!J82</f>
        <v>11.870103092783506</v>
      </c>
      <c r="N60" s="156">
        <f>'Presupuesto Planes '!K82</f>
        <v>13.119587628865981</v>
      </c>
      <c r="O60" s="156">
        <f>'Presupuesto Planes '!L82</f>
        <v>13.119587628865981</v>
      </c>
      <c r="P60" s="156">
        <f>'Presupuesto Planes '!M82</f>
        <v>13.744329896907217</v>
      </c>
      <c r="Q60" s="156">
        <f>'Presupuesto Planes '!N82</f>
        <v>13.744329896907217</v>
      </c>
    </row>
    <row r="61" spans="1:17" x14ac:dyDescent="0.25">
      <c r="A61" s="160" t="s">
        <v>80</v>
      </c>
      <c r="B61" s="160" t="s">
        <v>113</v>
      </c>
      <c r="C61" s="160" t="s">
        <v>63</v>
      </c>
      <c r="D61" s="160" t="s">
        <v>92</v>
      </c>
      <c r="E61" s="160" t="s">
        <v>95</v>
      </c>
      <c r="F61" s="156">
        <f>'Presupuesto Planes '!C83</f>
        <v>1.9793814432989691</v>
      </c>
      <c r="G61" s="156">
        <f>'Presupuesto Planes '!D83</f>
        <v>1.9793814432989691</v>
      </c>
      <c r="H61" s="156">
        <f>'Presupuesto Planes '!E83</f>
        <v>1.9793814432989691</v>
      </c>
      <c r="I61" s="156">
        <f>'Presupuesto Planes '!F83</f>
        <v>1.9793814432989691</v>
      </c>
      <c r="J61" s="156">
        <f>'Presupuesto Planes '!G83</f>
        <v>1.8804123711340206</v>
      </c>
      <c r="K61" s="156">
        <f>'Presupuesto Planes '!H83</f>
        <v>1.7814432989690723</v>
      </c>
      <c r="L61" s="156">
        <f>'Presupuesto Planes '!I83</f>
        <v>1.7814432989690723</v>
      </c>
      <c r="M61" s="156">
        <f>'Presupuesto Planes '!J83</f>
        <v>1.8804123711340206</v>
      </c>
      <c r="N61" s="156">
        <f>'Presupuesto Planes '!K83</f>
        <v>2.0783505154639177</v>
      </c>
      <c r="O61" s="156">
        <f>'Presupuesto Planes '!L83</f>
        <v>2.0783505154639177</v>
      </c>
      <c r="P61" s="156">
        <f>'Presupuesto Planes '!M83</f>
        <v>2.1773195876288662</v>
      </c>
      <c r="Q61" s="156">
        <f>'Presupuesto Planes '!N83</f>
        <v>2.1773195876288662</v>
      </c>
    </row>
    <row r="62" spans="1:17" x14ac:dyDescent="0.25">
      <c r="A62" s="160" t="s">
        <v>80</v>
      </c>
      <c r="B62" s="160" t="s">
        <v>113</v>
      </c>
      <c r="C62" s="160" t="s">
        <v>63</v>
      </c>
      <c r="D62" s="160" t="s">
        <v>93</v>
      </c>
      <c r="E62" s="160" t="s">
        <v>95</v>
      </c>
      <c r="F62" s="156">
        <f>'Presupuesto Planes '!C84</f>
        <v>0.49484536082474229</v>
      </c>
      <c r="G62" s="156">
        <f>'Presupuesto Planes '!D84</f>
        <v>0.49484536082474229</v>
      </c>
      <c r="H62" s="156">
        <f>'Presupuesto Planes '!E84</f>
        <v>0.49484536082474229</v>
      </c>
      <c r="I62" s="156">
        <f>'Presupuesto Planes '!F84</f>
        <v>0.49484536082474229</v>
      </c>
      <c r="J62" s="156">
        <f>'Presupuesto Planes '!G84</f>
        <v>0.47010309278350515</v>
      </c>
      <c r="K62" s="156">
        <f>'Presupuesto Planes '!H84</f>
        <v>0.44536082474226807</v>
      </c>
      <c r="L62" s="156">
        <f>'Presupuesto Planes '!I84</f>
        <v>0.44536082474226807</v>
      </c>
      <c r="M62" s="156">
        <f>'Presupuesto Planes '!J84</f>
        <v>0.47010309278350515</v>
      </c>
      <c r="N62" s="156">
        <f>'Presupuesto Planes '!K84</f>
        <v>0.51958762886597942</v>
      </c>
      <c r="O62" s="156">
        <f>'Presupuesto Planes '!L84</f>
        <v>0.51958762886597942</v>
      </c>
      <c r="P62" s="156">
        <f>'Presupuesto Planes '!M84</f>
        <v>0.54432989690721656</v>
      </c>
      <c r="Q62" s="156">
        <f>'Presupuesto Planes '!N84</f>
        <v>0.54432989690721656</v>
      </c>
    </row>
    <row r="63" spans="1:17" x14ac:dyDescent="0.25">
      <c r="A63" s="160" t="s">
        <v>80</v>
      </c>
      <c r="B63" s="160" t="s">
        <v>114</v>
      </c>
      <c r="C63" s="160" t="s">
        <v>85</v>
      </c>
      <c r="D63" s="160" t="s">
        <v>89</v>
      </c>
      <c r="E63" s="160" t="s">
        <v>95</v>
      </c>
      <c r="F63" s="156">
        <f>'Presupuesto Planes '!C86</f>
        <v>114.22269353128313</v>
      </c>
      <c r="G63" s="156">
        <f>'Presupuesto Planes '!D86</f>
        <v>114.22269353128313</v>
      </c>
      <c r="H63" s="156">
        <f>'Presupuesto Planes '!E86</f>
        <v>114.22269353128313</v>
      </c>
      <c r="I63" s="156">
        <f>'Presupuesto Planes '!F86</f>
        <v>114.22269353128313</v>
      </c>
      <c r="J63" s="156">
        <f>'Presupuesto Planes '!G86</f>
        <v>108.51155885471896</v>
      </c>
      <c r="K63" s="156">
        <f>'Presupuesto Planes '!H86</f>
        <v>102.80042417815481</v>
      </c>
      <c r="L63" s="156">
        <f>'Presupuesto Planes '!I86</f>
        <v>102.80042417815481</v>
      </c>
      <c r="M63" s="156">
        <f>'Presupuesto Planes '!J86</f>
        <v>108.51155885471896</v>
      </c>
      <c r="N63" s="156">
        <f>'Presupuesto Planes '!K86</f>
        <v>119.9338282078473</v>
      </c>
      <c r="O63" s="156">
        <f>'Presupuesto Planes '!L86</f>
        <v>119.9338282078473</v>
      </c>
      <c r="P63" s="156">
        <f>'Presupuesto Planes '!M86</f>
        <v>125.64496288441146</v>
      </c>
      <c r="Q63" s="156">
        <f>'Presupuesto Planes '!N86</f>
        <v>125.64496288441146</v>
      </c>
    </row>
    <row r="64" spans="1:17" x14ac:dyDescent="0.25">
      <c r="A64" s="160" t="s">
        <v>80</v>
      </c>
      <c r="B64" s="160" t="s">
        <v>114</v>
      </c>
      <c r="C64" s="160" t="s">
        <v>85</v>
      </c>
      <c r="D64" s="160" t="s">
        <v>90</v>
      </c>
      <c r="E64" s="160" t="s">
        <v>95</v>
      </c>
      <c r="F64" s="156">
        <f>'Presupuesto Planes '!C87</f>
        <v>0.91622481442205728</v>
      </c>
      <c r="G64" s="156">
        <f>'Presupuesto Planes '!D87</f>
        <v>0.91622481442205728</v>
      </c>
      <c r="H64" s="156">
        <f>'Presupuesto Planes '!E87</f>
        <v>0.91622481442205728</v>
      </c>
      <c r="I64" s="156">
        <f>'Presupuesto Planes '!F87</f>
        <v>0.91622481442205728</v>
      </c>
      <c r="J64" s="156">
        <f>'Presupuesto Planes '!G87</f>
        <v>0.87041357370095429</v>
      </c>
      <c r="K64" s="156">
        <f>'Presupuesto Planes '!H87</f>
        <v>0.82460233297985153</v>
      </c>
      <c r="L64" s="156">
        <f>'Presupuesto Planes '!I87</f>
        <v>0.82460233297985153</v>
      </c>
      <c r="M64" s="156">
        <f>'Presupuesto Planes '!J87</f>
        <v>0.87041357370095429</v>
      </c>
      <c r="N64" s="156">
        <f>'Presupuesto Planes '!K87</f>
        <v>0.96203605514316026</v>
      </c>
      <c r="O64" s="156">
        <f>'Presupuesto Planes '!L87</f>
        <v>0.96203605514316026</v>
      </c>
      <c r="P64" s="156">
        <f>'Presupuesto Planes '!M87</f>
        <v>1.007847295864263</v>
      </c>
      <c r="Q64" s="156">
        <f>'Presupuesto Planes '!N87</f>
        <v>1.007847295864263</v>
      </c>
    </row>
    <row r="65" spans="1:17" x14ac:dyDescent="0.25">
      <c r="A65" s="160" t="s">
        <v>80</v>
      </c>
      <c r="B65" s="160" t="s">
        <v>114</v>
      </c>
      <c r="C65" s="160" t="s">
        <v>85</v>
      </c>
      <c r="D65" s="160" t="s">
        <v>91</v>
      </c>
      <c r="E65" s="160" t="s">
        <v>95</v>
      </c>
      <c r="F65" s="156">
        <f>'Presupuesto Planes '!C88</f>
        <v>26.570519618239661</v>
      </c>
      <c r="G65" s="156">
        <f>'Presupuesto Planes '!D88</f>
        <v>26.570519618239661</v>
      </c>
      <c r="H65" s="156">
        <f>'Presupuesto Planes '!E88</f>
        <v>26.570519618239661</v>
      </c>
      <c r="I65" s="156">
        <f>'Presupuesto Planes '!F88</f>
        <v>26.570519618239661</v>
      </c>
      <c r="J65" s="156">
        <f>'Presupuesto Planes '!G88</f>
        <v>25.241993637327674</v>
      </c>
      <c r="K65" s="156">
        <f>'Presupuesto Planes '!H88</f>
        <v>23.913467656415694</v>
      </c>
      <c r="L65" s="156">
        <f>'Presupuesto Planes '!I88</f>
        <v>23.913467656415694</v>
      </c>
      <c r="M65" s="156">
        <f>'Presupuesto Planes '!J88</f>
        <v>25.241993637327674</v>
      </c>
      <c r="N65" s="156">
        <f>'Presupuesto Planes '!K88</f>
        <v>27.899045599151648</v>
      </c>
      <c r="O65" s="156">
        <f>'Presupuesto Planes '!L88</f>
        <v>27.899045599151648</v>
      </c>
      <c r="P65" s="156">
        <f>'Presupuesto Planes '!M88</f>
        <v>29.227571580063628</v>
      </c>
      <c r="Q65" s="156">
        <f>'Presupuesto Planes '!N88</f>
        <v>29.227571580063628</v>
      </c>
    </row>
    <row r="66" spans="1:17" x14ac:dyDescent="0.25">
      <c r="A66" s="160" t="s">
        <v>80</v>
      </c>
      <c r="B66" s="160" t="s">
        <v>114</v>
      </c>
      <c r="C66" s="160" t="s">
        <v>85</v>
      </c>
      <c r="D66" s="160" t="s">
        <v>92</v>
      </c>
      <c r="E66" s="160" t="s">
        <v>95</v>
      </c>
      <c r="F66" s="156">
        <f>'Presupuesto Planes '!C89</f>
        <v>1.374337221633086</v>
      </c>
      <c r="G66" s="156">
        <f>'Presupuesto Planes '!D89</f>
        <v>1.374337221633086</v>
      </c>
      <c r="H66" s="156">
        <f>'Presupuesto Planes '!E89</f>
        <v>1.374337221633086</v>
      </c>
      <c r="I66" s="156">
        <f>'Presupuesto Planes '!F89</f>
        <v>1.374337221633086</v>
      </c>
      <c r="J66" s="156">
        <f>'Presupuesto Planes '!G89</f>
        <v>1.3056203605514316</v>
      </c>
      <c r="K66" s="156">
        <f>'Presupuesto Planes '!H89</f>
        <v>1.2369034994697774</v>
      </c>
      <c r="L66" s="156">
        <f>'Presupuesto Planes '!I89</f>
        <v>1.2369034994697774</v>
      </c>
      <c r="M66" s="156">
        <f>'Presupuesto Planes '!J89</f>
        <v>1.3056203605514316</v>
      </c>
      <c r="N66" s="156">
        <f>'Presupuesto Planes '!K89</f>
        <v>1.4430540827147404</v>
      </c>
      <c r="O66" s="156">
        <f>'Presupuesto Planes '!L89</f>
        <v>1.4430540827147404</v>
      </c>
      <c r="P66" s="156">
        <f>'Presupuesto Planes '!M89</f>
        <v>1.5117709437963947</v>
      </c>
      <c r="Q66" s="156">
        <f>'Presupuesto Planes '!N89</f>
        <v>1.5117709437963947</v>
      </c>
    </row>
    <row r="67" spans="1:17" x14ac:dyDescent="0.25">
      <c r="A67" s="160" t="s">
        <v>80</v>
      </c>
      <c r="B67" s="160" t="s">
        <v>114</v>
      </c>
      <c r="C67" s="160" t="s">
        <v>85</v>
      </c>
      <c r="D67" s="160" t="s">
        <v>93</v>
      </c>
      <c r="E67" s="160" t="s">
        <v>95</v>
      </c>
      <c r="F67" s="156">
        <f>'Presupuesto Planes '!C90</f>
        <v>0.91622481442205728</v>
      </c>
      <c r="G67" s="156">
        <f>'Presupuesto Planes '!D90</f>
        <v>0.91622481442205728</v>
      </c>
      <c r="H67" s="156">
        <f>'Presupuesto Planes '!E90</f>
        <v>0.91622481442205728</v>
      </c>
      <c r="I67" s="156">
        <f>'Presupuesto Planes '!F90</f>
        <v>0.91622481442205728</v>
      </c>
      <c r="J67" s="156">
        <f>'Presupuesto Planes '!G90</f>
        <v>0.87041357370095429</v>
      </c>
      <c r="K67" s="156">
        <f>'Presupuesto Planes '!H90</f>
        <v>0.82460233297985153</v>
      </c>
      <c r="L67" s="156">
        <f>'Presupuesto Planes '!I90</f>
        <v>0.82460233297985153</v>
      </c>
      <c r="M67" s="156">
        <f>'Presupuesto Planes '!J90</f>
        <v>0.87041357370095429</v>
      </c>
      <c r="N67" s="156">
        <f>'Presupuesto Planes '!K90</f>
        <v>0.96203605514316026</v>
      </c>
      <c r="O67" s="156">
        <f>'Presupuesto Planes '!L90</f>
        <v>0.96203605514316026</v>
      </c>
      <c r="P67" s="156">
        <f>'Presupuesto Planes '!M90</f>
        <v>1.007847295864263</v>
      </c>
      <c r="Q67" s="156">
        <f>'Presupuesto Planes '!N90</f>
        <v>1.007847295864263</v>
      </c>
    </row>
    <row r="68" spans="1:17" x14ac:dyDescent="0.25">
      <c r="A68" s="160" t="s">
        <v>80</v>
      </c>
      <c r="B68" s="160" t="s">
        <v>117</v>
      </c>
      <c r="C68" s="160" t="s">
        <v>86</v>
      </c>
      <c r="D68" s="160" t="s">
        <v>89</v>
      </c>
      <c r="E68" s="160" t="s">
        <v>95</v>
      </c>
      <c r="F68" s="156">
        <f>'Presupuesto Planes '!C92</f>
        <v>55.236923076923077</v>
      </c>
      <c r="G68" s="156">
        <f>'Presupuesto Planes '!D92</f>
        <v>55.236923076923077</v>
      </c>
      <c r="H68" s="156">
        <f>'Presupuesto Planes '!E92</f>
        <v>55.236923076923077</v>
      </c>
      <c r="I68" s="156">
        <f>'Presupuesto Planes '!F92</f>
        <v>55.236923076923077</v>
      </c>
      <c r="J68" s="156">
        <f>'Presupuesto Planes '!G92</f>
        <v>52.475076923076912</v>
      </c>
      <c r="K68" s="156">
        <f>'Presupuesto Planes '!H92</f>
        <v>49.713230769230762</v>
      </c>
      <c r="L68" s="156">
        <f>'Presupuesto Planes '!I92</f>
        <v>49.713230769230762</v>
      </c>
      <c r="M68" s="156">
        <f>'Presupuesto Planes '!J92</f>
        <v>52.475076923076912</v>
      </c>
      <c r="N68" s="156">
        <f>'Presupuesto Planes '!K92</f>
        <v>57.998769230769234</v>
      </c>
      <c r="O68" s="156">
        <f>'Presupuesto Planes '!L92</f>
        <v>57.998769230769234</v>
      </c>
      <c r="P68" s="156">
        <f>'Presupuesto Planes '!M92</f>
        <v>60.760615384615384</v>
      </c>
      <c r="Q68" s="156">
        <f>'Presupuesto Planes '!N92</f>
        <v>60.760615384615384</v>
      </c>
    </row>
    <row r="69" spans="1:17" x14ac:dyDescent="0.25">
      <c r="A69" s="160" t="s">
        <v>80</v>
      </c>
      <c r="B69" s="160" t="s">
        <v>117</v>
      </c>
      <c r="C69" s="160" t="s">
        <v>86</v>
      </c>
      <c r="D69" s="160" t="s">
        <v>90</v>
      </c>
      <c r="E69" s="160" t="s">
        <v>95</v>
      </c>
      <c r="F69" s="156">
        <f>'Presupuesto Planes '!C93</f>
        <v>0.44307692307692309</v>
      </c>
      <c r="G69" s="156">
        <f>'Presupuesto Planes '!D93</f>
        <v>0.44307692307692309</v>
      </c>
      <c r="H69" s="156">
        <f>'Presupuesto Planes '!E93</f>
        <v>0.44307692307692309</v>
      </c>
      <c r="I69" s="156">
        <f>'Presupuesto Planes '!F93</f>
        <v>0.44307692307692309</v>
      </c>
      <c r="J69" s="156">
        <f>'Presupuesto Planes '!G93</f>
        <v>0.42092307692307684</v>
      </c>
      <c r="K69" s="156">
        <f>'Presupuesto Planes '!H93</f>
        <v>0.39876923076923076</v>
      </c>
      <c r="L69" s="156">
        <f>'Presupuesto Planes '!I93</f>
        <v>0.39876923076923076</v>
      </c>
      <c r="M69" s="156">
        <f>'Presupuesto Planes '!J93</f>
        <v>0.42092307692307684</v>
      </c>
      <c r="N69" s="156">
        <f>'Presupuesto Planes '!K93</f>
        <v>0.46523076923076928</v>
      </c>
      <c r="O69" s="156">
        <f>'Presupuesto Planes '!L93</f>
        <v>0.46523076923076928</v>
      </c>
      <c r="P69" s="156">
        <f>'Presupuesto Planes '!M93</f>
        <v>0.48738461538461542</v>
      </c>
      <c r="Q69" s="156">
        <f>'Presupuesto Planes '!N93</f>
        <v>0.48738461538461542</v>
      </c>
    </row>
    <row r="70" spans="1:17" x14ac:dyDescent="0.25">
      <c r="A70" s="160" t="s">
        <v>80</v>
      </c>
      <c r="B70" s="160" t="s">
        <v>117</v>
      </c>
      <c r="C70" s="160" t="s">
        <v>86</v>
      </c>
      <c r="D70" s="160" t="s">
        <v>91</v>
      </c>
      <c r="E70" s="160" t="s">
        <v>95</v>
      </c>
      <c r="F70" s="156">
        <f>'Presupuesto Planes '!C94</f>
        <v>12.849230769230768</v>
      </c>
      <c r="G70" s="156">
        <f>'Presupuesto Planes '!D94</f>
        <v>12.849230769230768</v>
      </c>
      <c r="H70" s="156">
        <f>'Presupuesto Planes '!E94</f>
        <v>12.849230769230768</v>
      </c>
      <c r="I70" s="156">
        <f>'Presupuesto Planes '!F94</f>
        <v>12.849230769230768</v>
      </c>
      <c r="J70" s="156">
        <f>'Presupuesto Planes '!G94</f>
        <v>12.206769230769229</v>
      </c>
      <c r="K70" s="156">
        <f>'Presupuesto Planes '!H94</f>
        <v>11.564307692307692</v>
      </c>
      <c r="L70" s="156">
        <f>'Presupuesto Planes '!I94</f>
        <v>11.564307692307692</v>
      </c>
      <c r="M70" s="156">
        <f>'Presupuesto Planes '!J94</f>
        <v>12.206769230769229</v>
      </c>
      <c r="N70" s="156">
        <f>'Presupuesto Planes '!K94</f>
        <v>13.491692307692308</v>
      </c>
      <c r="O70" s="156">
        <f>'Presupuesto Planes '!L94</f>
        <v>13.491692307692308</v>
      </c>
      <c r="P70" s="156">
        <f>'Presupuesto Planes '!M94</f>
        <v>14.134153846153845</v>
      </c>
      <c r="Q70" s="156">
        <f>'Presupuesto Planes '!N94</f>
        <v>14.134153846153845</v>
      </c>
    </row>
    <row r="71" spans="1:17" x14ac:dyDescent="0.25">
      <c r="A71" s="160" t="s">
        <v>80</v>
      </c>
      <c r="B71" s="160" t="s">
        <v>117</v>
      </c>
      <c r="C71" s="160" t="s">
        <v>86</v>
      </c>
      <c r="D71" s="160" t="s">
        <v>92</v>
      </c>
      <c r="E71" s="160" t="s">
        <v>95</v>
      </c>
      <c r="F71" s="156">
        <f>'Presupuesto Planes '!C95</f>
        <v>2.8061538461538462</v>
      </c>
      <c r="G71" s="156">
        <f>'Presupuesto Planes '!D95</f>
        <v>2.8061538461538462</v>
      </c>
      <c r="H71" s="156">
        <f>'Presupuesto Planes '!E95</f>
        <v>2.8061538461538462</v>
      </c>
      <c r="I71" s="156">
        <f>'Presupuesto Planes '!F95</f>
        <v>2.8061538461538462</v>
      </c>
      <c r="J71" s="156">
        <f>'Presupuesto Planes '!G95</f>
        <v>2.6658461538461538</v>
      </c>
      <c r="K71" s="156">
        <f>'Presupuesto Planes '!H95</f>
        <v>2.5255384615384617</v>
      </c>
      <c r="L71" s="156">
        <f>'Presupuesto Planes '!I95</f>
        <v>2.5255384615384617</v>
      </c>
      <c r="M71" s="156">
        <f>'Presupuesto Planes '!J95</f>
        <v>2.6658461538461538</v>
      </c>
      <c r="N71" s="156">
        <f>'Presupuesto Planes '!K95</f>
        <v>2.9464615384615391</v>
      </c>
      <c r="O71" s="156">
        <f>'Presupuesto Planes '!L95</f>
        <v>2.9464615384615391</v>
      </c>
      <c r="P71" s="156">
        <f>'Presupuesto Planes '!M95</f>
        <v>3.0867692307692312</v>
      </c>
      <c r="Q71" s="156">
        <f>'Presupuesto Planes '!N95</f>
        <v>3.0867692307692312</v>
      </c>
    </row>
    <row r="72" spans="1:17" x14ac:dyDescent="0.25">
      <c r="A72" s="160" t="s">
        <v>80</v>
      </c>
      <c r="B72" s="160" t="s">
        <v>117</v>
      </c>
      <c r="C72" s="160" t="s">
        <v>86</v>
      </c>
      <c r="D72" s="160" t="s">
        <v>93</v>
      </c>
      <c r="E72" s="160" t="s">
        <v>95</v>
      </c>
      <c r="F72" s="156">
        <f>'Presupuesto Planes '!C96</f>
        <v>0.66461538461538472</v>
      </c>
      <c r="G72" s="156">
        <f>'Presupuesto Planes '!D96</f>
        <v>0.66461538461538472</v>
      </c>
      <c r="H72" s="156">
        <f>'Presupuesto Planes '!E96</f>
        <v>0.66461538461538472</v>
      </c>
      <c r="I72" s="156">
        <f>'Presupuesto Planes '!F96</f>
        <v>0.66461538461538472</v>
      </c>
      <c r="J72" s="156">
        <f>'Presupuesto Planes '!G96</f>
        <v>0.63138461538461532</v>
      </c>
      <c r="K72" s="156">
        <f>'Presupuesto Planes '!H96</f>
        <v>0.59815384615384615</v>
      </c>
      <c r="L72" s="156">
        <f>'Presupuesto Planes '!I96</f>
        <v>0.59815384615384615</v>
      </c>
      <c r="M72" s="156">
        <f>'Presupuesto Planes '!J96</f>
        <v>0.63138461538461532</v>
      </c>
      <c r="N72" s="156">
        <f>'Presupuesto Planes '!K96</f>
        <v>0.697846153846154</v>
      </c>
      <c r="O72" s="156">
        <f>'Presupuesto Planes '!L96</f>
        <v>0.697846153846154</v>
      </c>
      <c r="P72" s="156">
        <f>'Presupuesto Planes '!M96</f>
        <v>0.73107692307692318</v>
      </c>
      <c r="Q72" s="156">
        <f>'Presupuesto Planes '!N96</f>
        <v>0.73107692307692318</v>
      </c>
    </row>
    <row r="73" spans="1:17" x14ac:dyDescent="0.25">
      <c r="A73" s="160" t="s">
        <v>80</v>
      </c>
      <c r="B73" s="160" t="s">
        <v>115</v>
      </c>
      <c r="C73" s="160" t="s">
        <v>66</v>
      </c>
      <c r="D73" s="160" t="s">
        <v>89</v>
      </c>
      <c r="E73" s="160" t="s">
        <v>95</v>
      </c>
      <c r="F73" s="156">
        <f>'Presupuesto Planes '!C98</f>
        <v>108.10857389056441</v>
      </c>
      <c r="G73" s="156">
        <f>'Presupuesto Planes '!D98</f>
        <v>108.10857389056441</v>
      </c>
      <c r="H73" s="156">
        <f>'Presupuesto Planes '!E98</f>
        <v>108.10857389056441</v>
      </c>
      <c r="I73" s="156">
        <f>'Presupuesto Planes '!F98</f>
        <v>108.10857389056441</v>
      </c>
      <c r="J73" s="156">
        <f>'Presupuesto Planes '!G98</f>
        <v>102.70314519603619</v>
      </c>
      <c r="K73" s="156">
        <f>'Presupuesto Planes '!H98</f>
        <v>97.297716501507963</v>
      </c>
      <c r="L73" s="156">
        <f>'Presupuesto Planes '!I98</f>
        <v>97.297716501507963</v>
      </c>
      <c r="M73" s="156">
        <f>'Presupuesto Planes '!J98</f>
        <v>102.70314519603619</v>
      </c>
      <c r="N73" s="156">
        <f>'Presupuesto Planes '!K98</f>
        <v>113.51400258509263</v>
      </c>
      <c r="O73" s="156">
        <f>'Presupuesto Planes '!L98</f>
        <v>113.51400258509263</v>
      </c>
      <c r="P73" s="156">
        <f>'Presupuesto Planes '!M98</f>
        <v>118.91943127962085</v>
      </c>
      <c r="Q73" s="156">
        <f>'Presupuesto Planes '!N98</f>
        <v>118.91943127962085</v>
      </c>
    </row>
    <row r="74" spans="1:17" x14ac:dyDescent="0.25">
      <c r="A74" s="160" t="s">
        <v>80</v>
      </c>
      <c r="B74" s="160" t="s">
        <v>115</v>
      </c>
      <c r="C74" s="160" t="s">
        <v>66</v>
      </c>
      <c r="D74" s="160" t="s">
        <v>90</v>
      </c>
      <c r="E74" s="160" t="s">
        <v>95</v>
      </c>
      <c r="F74" s="156">
        <f>'Presupuesto Planes '!C99</f>
        <v>26.69754416199914</v>
      </c>
      <c r="G74" s="156">
        <f>'Presupuesto Planes '!D99</f>
        <v>26.69754416199914</v>
      </c>
      <c r="H74" s="156">
        <f>'Presupuesto Planes '!E99</f>
        <v>26.69754416199914</v>
      </c>
      <c r="I74" s="156">
        <f>'Presupuesto Planes '!F99</f>
        <v>26.69754416199914</v>
      </c>
      <c r="J74" s="156">
        <f>'Presupuesto Planes '!G99</f>
        <v>25.362666953899183</v>
      </c>
      <c r="K74" s="156">
        <f>'Presupuesto Planes '!H99</f>
        <v>24.027789745799225</v>
      </c>
      <c r="L74" s="156">
        <f>'Presupuesto Planes '!I99</f>
        <v>24.027789745799225</v>
      </c>
      <c r="M74" s="156">
        <f>'Presupuesto Planes '!J99</f>
        <v>25.362666953899183</v>
      </c>
      <c r="N74" s="156">
        <f>'Presupuesto Planes '!K99</f>
        <v>28.032421370099097</v>
      </c>
      <c r="O74" s="156">
        <f>'Presupuesto Planes '!L99</f>
        <v>28.032421370099097</v>
      </c>
      <c r="P74" s="156">
        <f>'Presupuesto Planes '!M99</f>
        <v>29.367298578199051</v>
      </c>
      <c r="Q74" s="156">
        <f>'Presupuesto Planes '!N99</f>
        <v>29.367298578199051</v>
      </c>
    </row>
    <row r="75" spans="1:17" x14ac:dyDescent="0.25">
      <c r="A75" s="160" t="s">
        <v>80</v>
      </c>
      <c r="B75" s="160" t="s">
        <v>115</v>
      </c>
      <c r="C75" s="160" t="s">
        <v>66</v>
      </c>
      <c r="D75" s="160" t="s">
        <v>91</v>
      </c>
      <c r="E75" s="160" t="s">
        <v>95</v>
      </c>
      <c r="F75" s="156">
        <f>'Presupuesto Planes '!C100</f>
        <v>101.73632055148643</v>
      </c>
      <c r="G75" s="156">
        <f>'Presupuesto Planes '!D100</f>
        <v>101.73632055148643</v>
      </c>
      <c r="H75" s="156">
        <f>'Presupuesto Planes '!E100</f>
        <v>101.73632055148643</v>
      </c>
      <c r="I75" s="156">
        <f>'Presupuesto Planes '!F100</f>
        <v>101.73632055148643</v>
      </c>
      <c r="J75" s="156">
        <f>'Presupuesto Planes '!G100</f>
        <v>96.6495045239121</v>
      </c>
      <c r="K75" s="156">
        <f>'Presupuesto Planes '!H100</f>
        <v>91.562688496337785</v>
      </c>
      <c r="L75" s="156">
        <f>'Presupuesto Planes '!I100</f>
        <v>91.562688496337785</v>
      </c>
      <c r="M75" s="156">
        <f>'Presupuesto Planes '!J100</f>
        <v>96.6495045239121</v>
      </c>
      <c r="N75" s="156">
        <f>'Presupuesto Planes '!K100</f>
        <v>106.82313657906074</v>
      </c>
      <c r="O75" s="156">
        <f>'Presupuesto Planes '!L100</f>
        <v>106.82313657906074</v>
      </c>
      <c r="P75" s="156">
        <f>'Presupuesto Planes '!M100</f>
        <v>111.90995260663507</v>
      </c>
      <c r="Q75" s="156">
        <f>'Presupuesto Planes '!N100</f>
        <v>111.90995260663507</v>
      </c>
    </row>
    <row r="76" spans="1:17" x14ac:dyDescent="0.25">
      <c r="A76" s="160" t="s">
        <v>80</v>
      </c>
      <c r="B76" s="160" t="s">
        <v>115</v>
      </c>
      <c r="C76" s="160" t="s">
        <v>66</v>
      </c>
      <c r="D76" s="160" t="s">
        <v>92</v>
      </c>
      <c r="E76" s="160" t="s">
        <v>95</v>
      </c>
      <c r="F76" s="156">
        <f>'Presupuesto Planes '!C101</f>
        <v>13.623438173201206</v>
      </c>
      <c r="G76" s="156">
        <f>'Presupuesto Planes '!D101</f>
        <v>13.623438173201206</v>
      </c>
      <c r="H76" s="156">
        <f>'Presupuesto Planes '!E101</f>
        <v>13.623438173201206</v>
      </c>
      <c r="I76" s="156">
        <f>'Presupuesto Planes '!F101</f>
        <v>13.623438173201206</v>
      </c>
      <c r="J76" s="156">
        <f>'Presupuesto Planes '!G101</f>
        <v>12.942266264541146</v>
      </c>
      <c r="K76" s="156">
        <f>'Presupuesto Planes '!H101</f>
        <v>12.261094355881086</v>
      </c>
      <c r="L76" s="156">
        <f>'Presupuesto Planes '!I101</f>
        <v>12.261094355881086</v>
      </c>
      <c r="M76" s="156">
        <f>'Presupuesto Planes '!J101</f>
        <v>12.942266264541146</v>
      </c>
      <c r="N76" s="156">
        <f>'Presupuesto Planes '!K101</f>
        <v>14.304610081861266</v>
      </c>
      <c r="O76" s="156">
        <f>'Presupuesto Planes '!L101</f>
        <v>14.304610081861266</v>
      </c>
      <c r="P76" s="156">
        <f>'Presupuesto Planes '!M101</f>
        <v>14.985781990521327</v>
      </c>
      <c r="Q76" s="156">
        <f>'Presupuesto Planes '!N101</f>
        <v>14.985781990521327</v>
      </c>
    </row>
    <row r="77" spans="1:17" x14ac:dyDescent="0.25">
      <c r="A77" s="160" t="s">
        <v>80</v>
      </c>
      <c r="B77" s="160" t="s">
        <v>115</v>
      </c>
      <c r="C77" s="160" t="s">
        <v>66</v>
      </c>
      <c r="D77" s="160" t="s">
        <v>93</v>
      </c>
      <c r="E77" s="160" t="s">
        <v>95</v>
      </c>
      <c r="F77" s="156">
        <f>'Presupuesto Planes '!C102</f>
        <v>4.8341232227488158</v>
      </c>
      <c r="G77" s="156">
        <f>'Presupuesto Planes '!D102</f>
        <v>4.8341232227488158</v>
      </c>
      <c r="H77" s="156">
        <f>'Presupuesto Planes '!E102</f>
        <v>4.8341232227488158</v>
      </c>
      <c r="I77" s="156">
        <f>'Presupuesto Planes '!F102</f>
        <v>4.8341232227488158</v>
      </c>
      <c r="J77" s="156">
        <f>'Presupuesto Planes '!G102</f>
        <v>4.5924170616113749</v>
      </c>
      <c r="K77" s="156">
        <f>'Presupuesto Planes '!H102</f>
        <v>4.3507109004739339</v>
      </c>
      <c r="L77" s="156">
        <f>'Presupuesto Planes '!I102</f>
        <v>4.3507109004739339</v>
      </c>
      <c r="M77" s="156">
        <f>'Presupuesto Planes '!J102</f>
        <v>4.5924170616113749</v>
      </c>
      <c r="N77" s="156">
        <f>'Presupuesto Planes '!K102</f>
        <v>5.0758293838862567</v>
      </c>
      <c r="O77" s="156">
        <f>'Presupuesto Planes '!L102</f>
        <v>5.0758293838862567</v>
      </c>
      <c r="P77" s="156">
        <f>'Presupuesto Planes '!M102</f>
        <v>5.3175355450236967</v>
      </c>
      <c r="Q77" s="156">
        <f>'Presupuesto Planes '!N102</f>
        <v>5.3175355450236967</v>
      </c>
    </row>
    <row r="78" spans="1:17" x14ac:dyDescent="0.25">
      <c r="A78" s="159" t="s">
        <v>87</v>
      </c>
      <c r="B78" s="159" t="s">
        <v>102</v>
      </c>
      <c r="C78" s="159" t="s">
        <v>50</v>
      </c>
      <c r="D78" s="159" t="s">
        <v>89</v>
      </c>
      <c r="E78" s="159" t="s">
        <v>95</v>
      </c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</row>
    <row r="79" spans="1:17" x14ac:dyDescent="0.25">
      <c r="A79" s="159" t="s">
        <v>87</v>
      </c>
      <c r="B79" s="159" t="s">
        <v>102</v>
      </c>
      <c r="C79" s="159" t="s">
        <v>50</v>
      </c>
      <c r="D79" s="159" t="s">
        <v>90</v>
      </c>
      <c r="E79" s="159" t="s">
        <v>95</v>
      </c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</row>
    <row r="80" spans="1:17" x14ac:dyDescent="0.25">
      <c r="A80" s="159" t="s">
        <v>87</v>
      </c>
      <c r="B80" s="159" t="s">
        <v>102</v>
      </c>
      <c r="C80" s="159" t="s">
        <v>50</v>
      </c>
      <c r="D80" s="159" t="s">
        <v>91</v>
      </c>
      <c r="E80" s="159" t="s">
        <v>95</v>
      </c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</row>
    <row r="81" spans="1:17" x14ac:dyDescent="0.25">
      <c r="A81" s="159" t="s">
        <v>87</v>
      </c>
      <c r="B81" s="159" t="s">
        <v>102</v>
      </c>
      <c r="C81" s="159" t="s">
        <v>50</v>
      </c>
      <c r="D81" s="159" t="s">
        <v>92</v>
      </c>
      <c r="E81" s="159" t="s">
        <v>95</v>
      </c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</row>
    <row r="82" spans="1:17" x14ac:dyDescent="0.25">
      <c r="A82" s="159" t="s">
        <v>87</v>
      </c>
      <c r="B82" s="159" t="s">
        <v>102</v>
      </c>
      <c r="C82" s="159" t="s">
        <v>50</v>
      </c>
      <c r="D82" s="159" t="s">
        <v>93</v>
      </c>
      <c r="E82" s="159" t="s">
        <v>95</v>
      </c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</row>
    <row r="83" spans="1:17" x14ac:dyDescent="0.25">
      <c r="A83" s="159" t="s">
        <v>87</v>
      </c>
      <c r="B83" s="159" t="s">
        <v>104</v>
      </c>
      <c r="C83" s="159" t="s">
        <v>116</v>
      </c>
      <c r="D83" s="159" t="s">
        <v>89</v>
      </c>
      <c r="E83" s="159" t="s">
        <v>95</v>
      </c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5"/>
    </row>
    <row r="84" spans="1:17" x14ac:dyDescent="0.25">
      <c r="A84" s="159" t="s">
        <v>87</v>
      </c>
      <c r="B84" s="159" t="s">
        <v>104</v>
      </c>
      <c r="C84" s="159" t="s">
        <v>116</v>
      </c>
      <c r="D84" s="159" t="s">
        <v>90</v>
      </c>
      <c r="E84" s="159" t="s">
        <v>95</v>
      </c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5"/>
    </row>
    <row r="85" spans="1:17" x14ac:dyDescent="0.25">
      <c r="A85" s="159" t="s">
        <v>87</v>
      </c>
      <c r="B85" s="159" t="s">
        <v>104</v>
      </c>
      <c r="C85" s="159" t="s">
        <v>116</v>
      </c>
      <c r="D85" s="159" t="s">
        <v>91</v>
      </c>
      <c r="E85" s="159" t="s">
        <v>95</v>
      </c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5"/>
    </row>
    <row r="86" spans="1:17" x14ac:dyDescent="0.25">
      <c r="A86" s="159" t="s">
        <v>87</v>
      </c>
      <c r="B86" s="159" t="s">
        <v>104</v>
      </c>
      <c r="C86" s="159" t="s">
        <v>116</v>
      </c>
      <c r="D86" s="159" t="s">
        <v>92</v>
      </c>
      <c r="E86" s="159" t="s">
        <v>95</v>
      </c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5"/>
    </row>
    <row r="87" spans="1:17" x14ac:dyDescent="0.25">
      <c r="A87" s="159" t="s">
        <v>87</v>
      </c>
      <c r="B87" s="159" t="s">
        <v>104</v>
      </c>
      <c r="C87" s="159" t="s">
        <v>116</v>
      </c>
      <c r="D87" s="159" t="s">
        <v>93</v>
      </c>
      <c r="E87" s="159" t="s">
        <v>95</v>
      </c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5"/>
    </row>
    <row r="88" spans="1:17" x14ac:dyDescent="0.25">
      <c r="A88" s="159" t="s">
        <v>87</v>
      </c>
      <c r="B88" s="159" t="s">
        <v>105</v>
      </c>
      <c r="C88" s="159" t="s">
        <v>81</v>
      </c>
      <c r="D88" s="159" t="s">
        <v>89</v>
      </c>
      <c r="E88" s="159" t="s">
        <v>95</v>
      </c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5"/>
    </row>
    <row r="89" spans="1:17" x14ac:dyDescent="0.25">
      <c r="A89" s="159" t="s">
        <v>87</v>
      </c>
      <c r="B89" s="159" t="s">
        <v>105</v>
      </c>
      <c r="C89" s="159" t="s">
        <v>81</v>
      </c>
      <c r="D89" s="159" t="s">
        <v>90</v>
      </c>
      <c r="E89" s="159" t="s">
        <v>95</v>
      </c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5"/>
    </row>
    <row r="90" spans="1:17" x14ac:dyDescent="0.25">
      <c r="A90" s="159" t="s">
        <v>87</v>
      </c>
      <c r="B90" s="159" t="s">
        <v>105</v>
      </c>
      <c r="C90" s="159" t="s">
        <v>81</v>
      </c>
      <c r="D90" s="159" t="s">
        <v>91</v>
      </c>
      <c r="E90" s="159" t="s">
        <v>95</v>
      </c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5"/>
    </row>
    <row r="91" spans="1:17" x14ac:dyDescent="0.25">
      <c r="A91" s="159" t="s">
        <v>87</v>
      </c>
      <c r="B91" s="159" t="s">
        <v>105</v>
      </c>
      <c r="C91" s="159" t="s">
        <v>81</v>
      </c>
      <c r="D91" s="159" t="s">
        <v>92</v>
      </c>
      <c r="E91" s="159" t="s">
        <v>95</v>
      </c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5"/>
    </row>
    <row r="92" spans="1:17" x14ac:dyDescent="0.25">
      <c r="A92" s="159" t="s">
        <v>87</v>
      </c>
      <c r="B92" s="159" t="s">
        <v>105</v>
      </c>
      <c r="C92" s="159" t="s">
        <v>81</v>
      </c>
      <c r="D92" s="159" t="s">
        <v>93</v>
      </c>
      <c r="E92" s="159" t="s">
        <v>95</v>
      </c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5"/>
    </row>
    <row r="93" spans="1:17" x14ac:dyDescent="0.25">
      <c r="A93" s="159" t="s">
        <v>87</v>
      </c>
      <c r="B93" s="159" t="s">
        <v>106</v>
      </c>
      <c r="C93" s="159" t="s">
        <v>82</v>
      </c>
      <c r="D93" s="159" t="s">
        <v>89</v>
      </c>
      <c r="E93" s="159" t="s">
        <v>95</v>
      </c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5"/>
    </row>
    <row r="94" spans="1:17" x14ac:dyDescent="0.25">
      <c r="A94" s="159" t="s">
        <v>87</v>
      </c>
      <c r="B94" s="159" t="s">
        <v>106</v>
      </c>
      <c r="C94" s="159" t="s">
        <v>82</v>
      </c>
      <c r="D94" s="159" t="s">
        <v>90</v>
      </c>
      <c r="E94" s="159" t="s">
        <v>95</v>
      </c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5"/>
    </row>
    <row r="95" spans="1:17" x14ac:dyDescent="0.25">
      <c r="A95" s="159" t="s">
        <v>87</v>
      </c>
      <c r="B95" s="159" t="s">
        <v>106</v>
      </c>
      <c r="C95" s="159" t="s">
        <v>82</v>
      </c>
      <c r="D95" s="159" t="s">
        <v>91</v>
      </c>
      <c r="E95" s="159" t="s">
        <v>95</v>
      </c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5"/>
    </row>
    <row r="96" spans="1:17" x14ac:dyDescent="0.25">
      <c r="A96" s="159" t="s">
        <v>87</v>
      </c>
      <c r="B96" s="159" t="s">
        <v>106</v>
      </c>
      <c r="C96" s="159" t="s">
        <v>82</v>
      </c>
      <c r="D96" s="159" t="s">
        <v>92</v>
      </c>
      <c r="E96" s="159" t="s">
        <v>95</v>
      </c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5"/>
    </row>
    <row r="97" spans="1:17" x14ac:dyDescent="0.25">
      <c r="A97" s="159" t="s">
        <v>87</v>
      </c>
      <c r="B97" s="159" t="s">
        <v>106</v>
      </c>
      <c r="C97" s="159" t="s">
        <v>82</v>
      </c>
      <c r="D97" s="159" t="s">
        <v>93</v>
      </c>
      <c r="E97" s="159" t="s">
        <v>95</v>
      </c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5"/>
    </row>
    <row r="98" spans="1:17" x14ac:dyDescent="0.25">
      <c r="A98" s="159" t="s">
        <v>87</v>
      </c>
      <c r="B98" s="159" t="s">
        <v>107</v>
      </c>
      <c r="C98" s="159" t="s">
        <v>83</v>
      </c>
      <c r="D98" s="159" t="s">
        <v>89</v>
      </c>
      <c r="E98" s="159" t="s">
        <v>95</v>
      </c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5"/>
    </row>
    <row r="99" spans="1:17" x14ac:dyDescent="0.25">
      <c r="A99" s="159" t="s">
        <v>87</v>
      </c>
      <c r="B99" s="159" t="s">
        <v>107</v>
      </c>
      <c r="C99" s="159" t="s">
        <v>83</v>
      </c>
      <c r="D99" s="159" t="s">
        <v>90</v>
      </c>
      <c r="E99" s="159" t="s">
        <v>95</v>
      </c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5"/>
    </row>
    <row r="100" spans="1:17" x14ac:dyDescent="0.25">
      <c r="A100" s="159" t="s">
        <v>87</v>
      </c>
      <c r="B100" s="159" t="s">
        <v>107</v>
      </c>
      <c r="C100" s="159" t="s">
        <v>83</v>
      </c>
      <c r="D100" s="159" t="s">
        <v>91</v>
      </c>
      <c r="E100" s="159" t="s">
        <v>95</v>
      </c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5"/>
    </row>
    <row r="101" spans="1:17" x14ac:dyDescent="0.25">
      <c r="A101" s="159" t="s">
        <v>87</v>
      </c>
      <c r="B101" s="159" t="s">
        <v>107</v>
      </c>
      <c r="C101" s="159" t="s">
        <v>83</v>
      </c>
      <c r="D101" s="159" t="s">
        <v>92</v>
      </c>
      <c r="E101" s="159" t="s">
        <v>95</v>
      </c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5"/>
    </row>
    <row r="102" spans="1:17" x14ac:dyDescent="0.25">
      <c r="A102" s="159" t="s">
        <v>87</v>
      </c>
      <c r="B102" s="159" t="s">
        <v>107</v>
      </c>
      <c r="C102" s="159" t="s">
        <v>83</v>
      </c>
      <c r="D102" s="159" t="s">
        <v>93</v>
      </c>
      <c r="E102" s="159" t="s">
        <v>95</v>
      </c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5"/>
    </row>
    <row r="103" spans="1:17" x14ac:dyDescent="0.25">
      <c r="A103" s="159" t="s">
        <v>87</v>
      </c>
      <c r="B103" s="159" t="s">
        <v>108</v>
      </c>
      <c r="C103" s="159" t="s">
        <v>84</v>
      </c>
      <c r="D103" s="159" t="s">
        <v>89</v>
      </c>
      <c r="E103" s="159" t="s">
        <v>95</v>
      </c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5"/>
    </row>
    <row r="104" spans="1:17" x14ac:dyDescent="0.25">
      <c r="A104" s="159" t="s">
        <v>87</v>
      </c>
      <c r="B104" s="159" t="s">
        <v>108</v>
      </c>
      <c r="C104" s="159" t="s">
        <v>84</v>
      </c>
      <c r="D104" s="159" t="s">
        <v>90</v>
      </c>
      <c r="E104" s="159" t="s">
        <v>95</v>
      </c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5"/>
    </row>
    <row r="105" spans="1:17" x14ac:dyDescent="0.25">
      <c r="A105" s="159" t="s">
        <v>87</v>
      </c>
      <c r="B105" s="159" t="s">
        <v>108</v>
      </c>
      <c r="C105" s="159" t="s">
        <v>84</v>
      </c>
      <c r="D105" s="159" t="s">
        <v>91</v>
      </c>
      <c r="E105" s="159" t="s">
        <v>95</v>
      </c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5"/>
    </row>
    <row r="106" spans="1:17" x14ac:dyDescent="0.25">
      <c r="A106" s="159" t="s">
        <v>87</v>
      </c>
      <c r="B106" s="159" t="s">
        <v>108</v>
      </c>
      <c r="C106" s="159" t="s">
        <v>84</v>
      </c>
      <c r="D106" s="159" t="s">
        <v>92</v>
      </c>
      <c r="E106" s="159" t="s">
        <v>95</v>
      </c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5"/>
    </row>
    <row r="107" spans="1:17" x14ac:dyDescent="0.25">
      <c r="A107" s="159" t="s">
        <v>87</v>
      </c>
      <c r="B107" s="159" t="s">
        <v>108</v>
      </c>
      <c r="C107" s="159" t="s">
        <v>84</v>
      </c>
      <c r="D107" s="159" t="s">
        <v>93</v>
      </c>
      <c r="E107" s="159" t="s">
        <v>95</v>
      </c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5"/>
    </row>
    <row r="108" spans="1:17" x14ac:dyDescent="0.25">
      <c r="A108" s="159" t="s">
        <v>87</v>
      </c>
      <c r="B108" s="159" t="s">
        <v>109</v>
      </c>
      <c r="C108" s="159" t="s">
        <v>58</v>
      </c>
      <c r="D108" s="159" t="s">
        <v>89</v>
      </c>
      <c r="E108" s="159" t="s">
        <v>95</v>
      </c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5"/>
    </row>
    <row r="109" spans="1:17" x14ac:dyDescent="0.25">
      <c r="A109" s="159" t="s">
        <v>87</v>
      </c>
      <c r="B109" s="159" t="s">
        <v>109</v>
      </c>
      <c r="C109" s="159" t="s">
        <v>58</v>
      </c>
      <c r="D109" s="159" t="s">
        <v>90</v>
      </c>
      <c r="E109" s="159" t="s">
        <v>95</v>
      </c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5"/>
    </row>
    <row r="110" spans="1:17" x14ac:dyDescent="0.25">
      <c r="A110" s="159" t="s">
        <v>87</v>
      </c>
      <c r="B110" s="159" t="s">
        <v>109</v>
      </c>
      <c r="C110" s="159" t="s">
        <v>58</v>
      </c>
      <c r="D110" s="159" t="s">
        <v>91</v>
      </c>
      <c r="E110" s="159" t="s">
        <v>95</v>
      </c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5"/>
    </row>
    <row r="111" spans="1:17" x14ac:dyDescent="0.25">
      <c r="A111" s="159" t="s">
        <v>87</v>
      </c>
      <c r="B111" s="159" t="s">
        <v>109</v>
      </c>
      <c r="C111" s="159" t="s">
        <v>58</v>
      </c>
      <c r="D111" s="159" t="s">
        <v>92</v>
      </c>
      <c r="E111" s="159" t="s">
        <v>95</v>
      </c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5"/>
    </row>
    <row r="112" spans="1:17" x14ac:dyDescent="0.25">
      <c r="A112" s="159" t="s">
        <v>87</v>
      </c>
      <c r="B112" s="159" t="s">
        <v>109</v>
      </c>
      <c r="C112" s="159" t="s">
        <v>58</v>
      </c>
      <c r="D112" s="159" t="s">
        <v>93</v>
      </c>
      <c r="E112" s="159" t="s">
        <v>95</v>
      </c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5"/>
    </row>
    <row r="113" spans="1:17" x14ac:dyDescent="0.25">
      <c r="A113" s="159" t="s">
        <v>87</v>
      </c>
      <c r="B113" s="159" t="s">
        <v>110</v>
      </c>
      <c r="C113" s="159" t="s">
        <v>59</v>
      </c>
      <c r="D113" s="159" t="s">
        <v>89</v>
      </c>
      <c r="E113" s="159" t="s">
        <v>95</v>
      </c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5"/>
    </row>
    <row r="114" spans="1:17" x14ac:dyDescent="0.25">
      <c r="A114" s="159" t="s">
        <v>87</v>
      </c>
      <c r="B114" s="159" t="s">
        <v>110</v>
      </c>
      <c r="C114" s="159" t="s">
        <v>59</v>
      </c>
      <c r="D114" s="159" t="s">
        <v>90</v>
      </c>
      <c r="E114" s="159" t="s">
        <v>95</v>
      </c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5"/>
    </row>
    <row r="115" spans="1:17" x14ac:dyDescent="0.25">
      <c r="A115" s="159" t="s">
        <v>87</v>
      </c>
      <c r="B115" s="159" t="s">
        <v>110</v>
      </c>
      <c r="C115" s="159" t="s">
        <v>59</v>
      </c>
      <c r="D115" s="159" t="s">
        <v>91</v>
      </c>
      <c r="E115" s="159" t="s">
        <v>95</v>
      </c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5"/>
    </row>
    <row r="116" spans="1:17" x14ac:dyDescent="0.25">
      <c r="A116" s="159" t="s">
        <v>87</v>
      </c>
      <c r="B116" s="159" t="s">
        <v>110</v>
      </c>
      <c r="C116" s="159" t="s">
        <v>59</v>
      </c>
      <c r="D116" s="159" t="s">
        <v>92</v>
      </c>
      <c r="E116" s="159" t="s">
        <v>95</v>
      </c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5"/>
    </row>
    <row r="117" spans="1:17" x14ac:dyDescent="0.25">
      <c r="A117" s="159" t="s">
        <v>87</v>
      </c>
      <c r="B117" s="159" t="s">
        <v>110</v>
      </c>
      <c r="C117" s="159" t="s">
        <v>59</v>
      </c>
      <c r="D117" s="159" t="s">
        <v>93</v>
      </c>
      <c r="E117" s="159" t="s">
        <v>95</v>
      </c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5"/>
    </row>
    <row r="118" spans="1:17" x14ac:dyDescent="0.25">
      <c r="A118" s="159" t="s">
        <v>87</v>
      </c>
      <c r="B118" s="159" t="s">
        <v>111</v>
      </c>
      <c r="C118" s="159" t="s">
        <v>60</v>
      </c>
      <c r="D118" s="159" t="s">
        <v>89</v>
      </c>
      <c r="E118" s="159" t="s">
        <v>95</v>
      </c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5"/>
    </row>
    <row r="119" spans="1:17" x14ac:dyDescent="0.25">
      <c r="A119" s="159" t="s">
        <v>87</v>
      </c>
      <c r="B119" s="159" t="s">
        <v>111</v>
      </c>
      <c r="C119" s="159" t="s">
        <v>60</v>
      </c>
      <c r="D119" s="159" t="s">
        <v>90</v>
      </c>
      <c r="E119" s="159" t="s">
        <v>95</v>
      </c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5"/>
    </row>
    <row r="120" spans="1:17" x14ac:dyDescent="0.25">
      <c r="A120" s="159" t="s">
        <v>87</v>
      </c>
      <c r="B120" s="159" t="s">
        <v>111</v>
      </c>
      <c r="C120" s="159" t="s">
        <v>60</v>
      </c>
      <c r="D120" s="159" t="s">
        <v>91</v>
      </c>
      <c r="E120" s="159" t="s">
        <v>95</v>
      </c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5"/>
    </row>
    <row r="121" spans="1:17" x14ac:dyDescent="0.25">
      <c r="A121" s="159" t="s">
        <v>87</v>
      </c>
      <c r="B121" s="159" t="s">
        <v>111</v>
      </c>
      <c r="C121" s="159" t="s">
        <v>60</v>
      </c>
      <c r="D121" s="159" t="s">
        <v>92</v>
      </c>
      <c r="E121" s="159" t="s">
        <v>95</v>
      </c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5"/>
    </row>
    <row r="122" spans="1:17" x14ac:dyDescent="0.25">
      <c r="A122" s="159" t="s">
        <v>87</v>
      </c>
      <c r="B122" s="159" t="s">
        <v>111</v>
      </c>
      <c r="C122" s="159" t="s">
        <v>60</v>
      </c>
      <c r="D122" s="159" t="s">
        <v>93</v>
      </c>
      <c r="E122" s="159" t="s">
        <v>95</v>
      </c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5"/>
    </row>
    <row r="123" spans="1:17" x14ac:dyDescent="0.25">
      <c r="A123" s="159" t="s">
        <v>87</v>
      </c>
      <c r="B123" s="159" t="s">
        <v>112</v>
      </c>
      <c r="C123" s="159" t="s">
        <v>61</v>
      </c>
      <c r="D123" s="159" t="s">
        <v>89</v>
      </c>
      <c r="E123" s="159" t="s">
        <v>95</v>
      </c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5"/>
    </row>
    <row r="124" spans="1:17" x14ac:dyDescent="0.25">
      <c r="A124" s="159" t="s">
        <v>87</v>
      </c>
      <c r="B124" s="159" t="s">
        <v>112</v>
      </c>
      <c r="C124" s="159" t="s">
        <v>61</v>
      </c>
      <c r="D124" s="159" t="s">
        <v>90</v>
      </c>
      <c r="E124" s="159" t="s">
        <v>95</v>
      </c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5"/>
    </row>
    <row r="125" spans="1:17" x14ac:dyDescent="0.25">
      <c r="A125" s="159" t="s">
        <v>87</v>
      </c>
      <c r="B125" s="159" t="s">
        <v>112</v>
      </c>
      <c r="C125" s="159" t="s">
        <v>61</v>
      </c>
      <c r="D125" s="159" t="s">
        <v>91</v>
      </c>
      <c r="E125" s="159" t="s">
        <v>95</v>
      </c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5"/>
    </row>
    <row r="126" spans="1:17" x14ac:dyDescent="0.25">
      <c r="A126" s="159" t="s">
        <v>87</v>
      </c>
      <c r="B126" s="159" t="s">
        <v>112</v>
      </c>
      <c r="C126" s="159" t="s">
        <v>61</v>
      </c>
      <c r="D126" s="159" t="s">
        <v>92</v>
      </c>
      <c r="E126" s="159" t="s">
        <v>95</v>
      </c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5"/>
    </row>
    <row r="127" spans="1:17" x14ac:dyDescent="0.25">
      <c r="A127" s="159" t="s">
        <v>87</v>
      </c>
      <c r="B127" s="159" t="s">
        <v>112</v>
      </c>
      <c r="C127" s="159" t="s">
        <v>61</v>
      </c>
      <c r="D127" s="159" t="s">
        <v>93</v>
      </c>
      <c r="E127" s="159" t="s">
        <v>95</v>
      </c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5"/>
    </row>
    <row r="128" spans="1:17" x14ac:dyDescent="0.25">
      <c r="A128" s="159" t="s">
        <v>87</v>
      </c>
      <c r="B128" s="159" t="s">
        <v>103</v>
      </c>
      <c r="C128" s="159" t="s">
        <v>62</v>
      </c>
      <c r="D128" s="159" t="s">
        <v>89</v>
      </c>
      <c r="E128" s="159" t="s">
        <v>95</v>
      </c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5"/>
    </row>
    <row r="129" spans="1:17" x14ac:dyDescent="0.25">
      <c r="A129" s="159" t="s">
        <v>87</v>
      </c>
      <c r="B129" s="159" t="s">
        <v>103</v>
      </c>
      <c r="C129" s="159" t="s">
        <v>62</v>
      </c>
      <c r="D129" s="159" t="s">
        <v>90</v>
      </c>
      <c r="E129" s="159" t="s">
        <v>95</v>
      </c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5"/>
    </row>
    <row r="130" spans="1:17" x14ac:dyDescent="0.25">
      <c r="A130" s="159" t="s">
        <v>87</v>
      </c>
      <c r="B130" s="159" t="s">
        <v>103</v>
      </c>
      <c r="C130" s="159" t="s">
        <v>62</v>
      </c>
      <c r="D130" s="159" t="s">
        <v>91</v>
      </c>
      <c r="E130" s="159" t="s">
        <v>95</v>
      </c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5"/>
    </row>
    <row r="131" spans="1:17" x14ac:dyDescent="0.25">
      <c r="A131" s="159" t="s">
        <v>87</v>
      </c>
      <c r="B131" s="159" t="s">
        <v>103</v>
      </c>
      <c r="C131" s="159" t="s">
        <v>62</v>
      </c>
      <c r="D131" s="159" t="s">
        <v>92</v>
      </c>
      <c r="E131" s="159" t="s">
        <v>95</v>
      </c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5"/>
    </row>
    <row r="132" spans="1:17" x14ac:dyDescent="0.25">
      <c r="A132" s="159" t="s">
        <v>87</v>
      </c>
      <c r="B132" s="159" t="s">
        <v>103</v>
      </c>
      <c r="C132" s="159" t="s">
        <v>62</v>
      </c>
      <c r="D132" s="159" t="s">
        <v>93</v>
      </c>
      <c r="E132" s="159" t="s">
        <v>95</v>
      </c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5"/>
    </row>
    <row r="133" spans="1:17" x14ac:dyDescent="0.25">
      <c r="A133" s="159" t="s">
        <v>87</v>
      </c>
      <c r="B133" s="159" t="s">
        <v>113</v>
      </c>
      <c r="C133" s="159" t="s">
        <v>63</v>
      </c>
      <c r="D133" s="159" t="s">
        <v>89</v>
      </c>
      <c r="E133" s="159" t="s">
        <v>95</v>
      </c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5"/>
    </row>
    <row r="134" spans="1:17" x14ac:dyDescent="0.25">
      <c r="A134" s="159" t="s">
        <v>87</v>
      </c>
      <c r="B134" s="159" t="s">
        <v>113</v>
      </c>
      <c r="C134" s="159" t="s">
        <v>63</v>
      </c>
      <c r="D134" s="159" t="s">
        <v>90</v>
      </c>
      <c r="E134" s="159" t="s">
        <v>95</v>
      </c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5"/>
    </row>
    <row r="135" spans="1:17" x14ac:dyDescent="0.25">
      <c r="A135" s="159" t="s">
        <v>87</v>
      </c>
      <c r="B135" s="159" t="s">
        <v>113</v>
      </c>
      <c r="C135" s="159" t="s">
        <v>63</v>
      </c>
      <c r="D135" s="159" t="s">
        <v>91</v>
      </c>
      <c r="E135" s="159" t="s">
        <v>95</v>
      </c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5"/>
    </row>
    <row r="136" spans="1:17" x14ac:dyDescent="0.25">
      <c r="A136" s="159" t="s">
        <v>87</v>
      </c>
      <c r="B136" s="159" t="s">
        <v>113</v>
      </c>
      <c r="C136" s="159" t="s">
        <v>63</v>
      </c>
      <c r="D136" s="159" t="s">
        <v>92</v>
      </c>
      <c r="E136" s="159" t="s">
        <v>95</v>
      </c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5"/>
    </row>
    <row r="137" spans="1:17" x14ac:dyDescent="0.25">
      <c r="A137" s="159" t="s">
        <v>87</v>
      </c>
      <c r="B137" s="159" t="s">
        <v>113</v>
      </c>
      <c r="C137" s="159" t="s">
        <v>63</v>
      </c>
      <c r="D137" s="159" t="s">
        <v>93</v>
      </c>
      <c r="E137" s="159" t="s">
        <v>95</v>
      </c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5"/>
    </row>
    <row r="138" spans="1:17" x14ac:dyDescent="0.25">
      <c r="A138" s="159" t="s">
        <v>87</v>
      </c>
      <c r="B138" s="159" t="s">
        <v>114</v>
      </c>
      <c r="C138" s="159" t="s">
        <v>85</v>
      </c>
      <c r="D138" s="159" t="s">
        <v>89</v>
      </c>
      <c r="E138" s="159" t="s">
        <v>95</v>
      </c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5"/>
    </row>
    <row r="139" spans="1:17" x14ac:dyDescent="0.25">
      <c r="A139" s="159" t="s">
        <v>87</v>
      </c>
      <c r="B139" s="159" t="s">
        <v>114</v>
      </c>
      <c r="C139" s="159" t="s">
        <v>85</v>
      </c>
      <c r="D139" s="159" t="s">
        <v>90</v>
      </c>
      <c r="E139" s="159" t="s">
        <v>95</v>
      </c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5"/>
    </row>
    <row r="140" spans="1:17" x14ac:dyDescent="0.25">
      <c r="A140" s="159" t="s">
        <v>87</v>
      </c>
      <c r="B140" s="159" t="s">
        <v>114</v>
      </c>
      <c r="C140" s="159" t="s">
        <v>85</v>
      </c>
      <c r="D140" s="159" t="s">
        <v>91</v>
      </c>
      <c r="E140" s="159" t="s">
        <v>95</v>
      </c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5"/>
    </row>
    <row r="141" spans="1:17" x14ac:dyDescent="0.25">
      <c r="A141" s="159" t="s">
        <v>87</v>
      </c>
      <c r="B141" s="159" t="s">
        <v>114</v>
      </c>
      <c r="C141" s="159" t="s">
        <v>85</v>
      </c>
      <c r="D141" s="159" t="s">
        <v>92</v>
      </c>
      <c r="E141" s="159" t="s">
        <v>95</v>
      </c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5"/>
    </row>
    <row r="142" spans="1:17" x14ac:dyDescent="0.25">
      <c r="A142" s="159" t="s">
        <v>87</v>
      </c>
      <c r="B142" s="159" t="s">
        <v>114</v>
      </c>
      <c r="C142" s="159" t="s">
        <v>85</v>
      </c>
      <c r="D142" s="159" t="s">
        <v>93</v>
      </c>
      <c r="E142" s="159" t="s">
        <v>95</v>
      </c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5"/>
    </row>
    <row r="143" spans="1:17" x14ac:dyDescent="0.25">
      <c r="A143" s="159" t="s">
        <v>87</v>
      </c>
      <c r="B143" s="159" t="s">
        <v>117</v>
      </c>
      <c r="C143" s="159" t="s">
        <v>86</v>
      </c>
      <c r="D143" s="159" t="s">
        <v>89</v>
      </c>
      <c r="E143" s="159" t="s">
        <v>95</v>
      </c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5"/>
    </row>
    <row r="144" spans="1:17" x14ac:dyDescent="0.25">
      <c r="A144" s="159" t="s">
        <v>87</v>
      </c>
      <c r="B144" s="159" t="s">
        <v>117</v>
      </c>
      <c r="C144" s="159" t="s">
        <v>86</v>
      </c>
      <c r="D144" s="159" t="s">
        <v>90</v>
      </c>
      <c r="E144" s="159" t="s">
        <v>95</v>
      </c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5"/>
    </row>
    <row r="145" spans="1:17" x14ac:dyDescent="0.25">
      <c r="A145" s="159" t="s">
        <v>87</v>
      </c>
      <c r="B145" s="159" t="s">
        <v>117</v>
      </c>
      <c r="C145" s="159" t="s">
        <v>86</v>
      </c>
      <c r="D145" s="159" t="s">
        <v>91</v>
      </c>
      <c r="E145" s="159" t="s">
        <v>95</v>
      </c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5"/>
    </row>
    <row r="146" spans="1:17" x14ac:dyDescent="0.25">
      <c r="A146" s="159" t="s">
        <v>87</v>
      </c>
      <c r="B146" s="159" t="s">
        <v>117</v>
      </c>
      <c r="C146" s="159" t="s">
        <v>86</v>
      </c>
      <c r="D146" s="159" t="s">
        <v>92</v>
      </c>
      <c r="E146" s="159" t="s">
        <v>95</v>
      </c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5"/>
    </row>
    <row r="147" spans="1:17" x14ac:dyDescent="0.25">
      <c r="A147" s="159" t="s">
        <v>87</v>
      </c>
      <c r="B147" s="159" t="s">
        <v>117</v>
      </c>
      <c r="C147" s="159" t="s">
        <v>86</v>
      </c>
      <c r="D147" s="159" t="s">
        <v>93</v>
      </c>
      <c r="E147" s="159" t="s">
        <v>95</v>
      </c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5"/>
    </row>
    <row r="148" spans="1:17" x14ac:dyDescent="0.25">
      <c r="A148" s="159" t="s">
        <v>87</v>
      </c>
      <c r="B148" s="159" t="s">
        <v>115</v>
      </c>
      <c r="C148" s="159" t="s">
        <v>66</v>
      </c>
      <c r="D148" s="159" t="s">
        <v>89</v>
      </c>
      <c r="E148" s="159" t="s">
        <v>95</v>
      </c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5"/>
    </row>
    <row r="149" spans="1:17" x14ac:dyDescent="0.25">
      <c r="A149" s="159" t="s">
        <v>87</v>
      </c>
      <c r="B149" s="159" t="s">
        <v>115</v>
      </c>
      <c r="C149" s="159" t="s">
        <v>66</v>
      </c>
      <c r="D149" s="159" t="s">
        <v>90</v>
      </c>
      <c r="E149" s="159" t="s">
        <v>95</v>
      </c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5"/>
    </row>
    <row r="150" spans="1:17" x14ac:dyDescent="0.25">
      <c r="A150" s="159" t="s">
        <v>87</v>
      </c>
      <c r="B150" s="159" t="s">
        <v>115</v>
      </c>
      <c r="C150" s="159" t="s">
        <v>66</v>
      </c>
      <c r="D150" s="159" t="s">
        <v>91</v>
      </c>
      <c r="E150" s="159" t="s">
        <v>95</v>
      </c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5"/>
    </row>
    <row r="151" spans="1:17" x14ac:dyDescent="0.25">
      <c r="A151" s="159" t="s">
        <v>87</v>
      </c>
      <c r="B151" s="159" t="s">
        <v>115</v>
      </c>
      <c r="C151" s="159" t="s">
        <v>66</v>
      </c>
      <c r="D151" s="159" t="s">
        <v>92</v>
      </c>
      <c r="E151" s="159" t="s">
        <v>95</v>
      </c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5"/>
    </row>
    <row r="152" spans="1:17" x14ac:dyDescent="0.25">
      <c r="A152" s="159" t="s">
        <v>87</v>
      </c>
      <c r="B152" s="159" t="s">
        <v>115</v>
      </c>
      <c r="C152" s="159" t="s">
        <v>66</v>
      </c>
      <c r="D152" s="159" t="s">
        <v>93</v>
      </c>
      <c r="E152" s="159" t="s">
        <v>95</v>
      </c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5"/>
    </row>
  </sheetData>
  <mergeCells count="1">
    <mergeCell ref="F1:Q1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workbookViewId="0">
      <selection activeCell="A20" sqref="A20"/>
    </sheetView>
  </sheetViews>
  <sheetFormatPr baseColWidth="10" defaultRowHeight="15" x14ac:dyDescent="0.25"/>
  <cols>
    <col min="1" max="1" width="15.28515625" bestFit="1" customWidth="1"/>
  </cols>
  <sheetData>
    <row r="1" spans="1:17" ht="15.75" thickBot="1" x14ac:dyDescent="0.3"/>
    <row r="2" spans="1:17" ht="15.75" thickBot="1" x14ac:dyDescent="0.3">
      <c r="A2" s="5" t="s">
        <v>56</v>
      </c>
      <c r="B2" s="171" t="s">
        <v>50</v>
      </c>
      <c r="C2" s="172"/>
      <c r="D2" s="170" t="s">
        <v>52</v>
      </c>
      <c r="E2" s="170"/>
      <c r="F2" s="170" t="s">
        <v>53</v>
      </c>
      <c r="G2" s="170"/>
      <c r="H2" s="170" t="s">
        <v>54</v>
      </c>
      <c r="I2" s="170"/>
      <c r="J2" s="170" t="s">
        <v>55</v>
      </c>
      <c r="K2" s="170"/>
      <c r="L2" s="170" t="s">
        <v>57</v>
      </c>
      <c r="M2" s="170"/>
      <c r="N2" s="170" t="s">
        <v>58</v>
      </c>
      <c r="O2" s="170"/>
    </row>
    <row r="3" spans="1:17" ht="16.5" thickTop="1" thickBot="1" x14ac:dyDescent="0.3">
      <c r="A3" s="5" t="s">
        <v>45</v>
      </c>
      <c r="B3" s="6">
        <v>383</v>
      </c>
      <c r="C3" s="7">
        <f>+B3/$B$8</f>
        <v>0.59937402190923317</v>
      </c>
      <c r="D3" s="6">
        <v>428</v>
      </c>
      <c r="E3" s="7">
        <f>+D3/$D$8</f>
        <v>0.73413379073756435</v>
      </c>
      <c r="F3" s="6">
        <v>229</v>
      </c>
      <c r="G3" s="7">
        <f>+F3/$F$8</f>
        <v>0.3772652388797364</v>
      </c>
      <c r="H3" s="6">
        <v>258</v>
      </c>
      <c r="I3" s="7">
        <f>+H3/$H$8</f>
        <v>0.58636363636363631</v>
      </c>
      <c r="J3" s="6">
        <v>303</v>
      </c>
      <c r="K3" s="7">
        <f>+J3/$J$8</f>
        <v>0.71631205673758869</v>
      </c>
      <c r="L3" s="6">
        <v>122</v>
      </c>
      <c r="M3" s="7">
        <f>+L3/$L$8</f>
        <v>0.6853932584269663</v>
      </c>
      <c r="N3" s="6">
        <v>80</v>
      </c>
      <c r="O3" s="7">
        <f>+N3/$N$8</f>
        <v>0.59259259259259256</v>
      </c>
    </row>
    <row r="4" spans="1:17" ht="16.5" thickTop="1" thickBot="1" x14ac:dyDescent="0.3">
      <c r="A4" s="8" t="s">
        <v>46</v>
      </c>
      <c r="B4" s="4">
        <v>203</v>
      </c>
      <c r="C4" s="9">
        <f t="shared" ref="C4:C7" si="0">+B4/$B$8</f>
        <v>0.31768388106416273</v>
      </c>
      <c r="D4" s="4">
        <v>15</v>
      </c>
      <c r="E4" s="7">
        <f t="shared" ref="E4:E7" si="1">+D4/$D$8</f>
        <v>2.5728987993138937E-2</v>
      </c>
      <c r="F4" s="4">
        <v>119</v>
      </c>
      <c r="G4" s="7">
        <f t="shared" ref="G4:G7" si="2">+F4/$F$8</f>
        <v>0.19604612850082373</v>
      </c>
      <c r="H4" s="4">
        <v>46</v>
      </c>
      <c r="I4" s="7">
        <f t="shared" ref="I4:I8" si="3">+H4/$H$8</f>
        <v>0.10454545454545454</v>
      </c>
      <c r="J4" s="4">
        <v>11</v>
      </c>
      <c r="K4" s="7">
        <f t="shared" ref="K4:K8" si="4">+J4/$J$8</f>
        <v>2.6004728132387706E-2</v>
      </c>
      <c r="L4" s="4">
        <v>28</v>
      </c>
      <c r="M4" s="7">
        <f t="shared" ref="M4:M8" si="5">+L4/$L$8</f>
        <v>0.15730337078651685</v>
      </c>
      <c r="N4" s="4">
        <v>12</v>
      </c>
      <c r="O4" s="7">
        <f t="shared" ref="O4:O8" si="6">+N4/$N$8</f>
        <v>8.8888888888888892E-2</v>
      </c>
    </row>
    <row r="5" spans="1:17" ht="16.5" thickTop="1" thickBot="1" x14ac:dyDescent="0.3">
      <c r="A5" s="8" t="s">
        <v>47</v>
      </c>
      <c r="B5" s="4">
        <v>29</v>
      </c>
      <c r="C5" s="9">
        <f t="shared" si="0"/>
        <v>4.5383411580594682E-2</v>
      </c>
      <c r="D5" s="4">
        <v>118</v>
      </c>
      <c r="E5" s="7">
        <f t="shared" si="1"/>
        <v>0.20240137221269297</v>
      </c>
      <c r="F5" s="4">
        <v>211</v>
      </c>
      <c r="G5" s="7">
        <f t="shared" si="2"/>
        <v>0.34761120263591433</v>
      </c>
      <c r="H5" s="4">
        <v>122</v>
      </c>
      <c r="I5" s="7">
        <f t="shared" si="3"/>
        <v>0.27727272727272728</v>
      </c>
      <c r="J5" s="4">
        <v>96</v>
      </c>
      <c r="K5" s="7">
        <f t="shared" si="4"/>
        <v>0.22695035460992907</v>
      </c>
      <c r="L5" s="4">
        <v>27</v>
      </c>
      <c r="M5" s="7">
        <f t="shared" si="5"/>
        <v>0.15168539325842698</v>
      </c>
      <c r="N5" s="4">
        <v>41</v>
      </c>
      <c r="O5" s="7">
        <f t="shared" si="6"/>
        <v>0.3037037037037037</v>
      </c>
    </row>
    <row r="6" spans="1:17" ht="16.5" thickTop="1" thickBot="1" x14ac:dyDescent="0.3">
      <c r="A6" s="8" t="s">
        <v>48</v>
      </c>
      <c r="B6" s="4">
        <v>18</v>
      </c>
      <c r="C6" s="9">
        <f t="shared" si="0"/>
        <v>2.8169014084507043E-2</v>
      </c>
      <c r="D6" s="4">
        <v>13</v>
      </c>
      <c r="E6" s="7">
        <f t="shared" si="1"/>
        <v>2.2298456260720412E-2</v>
      </c>
      <c r="F6" s="4">
        <v>27</v>
      </c>
      <c r="G6" s="7">
        <f t="shared" si="2"/>
        <v>4.4481054365733116E-2</v>
      </c>
      <c r="H6" s="4">
        <v>0</v>
      </c>
      <c r="I6" s="7">
        <f t="shared" si="3"/>
        <v>0</v>
      </c>
      <c r="J6" s="4">
        <v>10</v>
      </c>
      <c r="K6" s="7">
        <f t="shared" si="4"/>
        <v>2.3640661938534278E-2</v>
      </c>
      <c r="L6" s="4"/>
      <c r="M6" s="7">
        <f t="shared" si="5"/>
        <v>0</v>
      </c>
      <c r="N6" s="4"/>
      <c r="O6" s="7">
        <f t="shared" si="6"/>
        <v>0</v>
      </c>
    </row>
    <row r="7" spans="1:17" ht="16.5" thickTop="1" thickBot="1" x14ac:dyDescent="0.3">
      <c r="A7" s="8" t="s">
        <v>49</v>
      </c>
      <c r="B7" s="4">
        <v>6</v>
      </c>
      <c r="C7" s="9">
        <f t="shared" si="0"/>
        <v>9.3896713615023476E-3</v>
      </c>
      <c r="D7" s="4">
        <v>9</v>
      </c>
      <c r="E7" s="7">
        <f t="shared" si="1"/>
        <v>1.5437392795883362E-2</v>
      </c>
      <c r="F7" s="4">
        <v>21</v>
      </c>
      <c r="G7" s="7">
        <f t="shared" si="2"/>
        <v>3.459637561779242E-2</v>
      </c>
      <c r="H7" s="4">
        <v>14</v>
      </c>
      <c r="I7" s="7">
        <f t="shared" si="3"/>
        <v>3.1818181818181815E-2</v>
      </c>
      <c r="J7" s="4">
        <v>3</v>
      </c>
      <c r="K7" s="7">
        <f t="shared" si="4"/>
        <v>7.0921985815602835E-3</v>
      </c>
      <c r="L7" s="4">
        <v>1</v>
      </c>
      <c r="M7" s="7">
        <f t="shared" si="5"/>
        <v>5.6179775280898875E-3</v>
      </c>
      <c r="N7" s="4">
        <v>2</v>
      </c>
      <c r="O7" s="7">
        <f t="shared" si="6"/>
        <v>1.4814814814814815E-2</v>
      </c>
    </row>
    <row r="8" spans="1:17" ht="16.5" thickTop="1" thickBot="1" x14ac:dyDescent="0.3">
      <c r="A8" s="12" t="s">
        <v>51</v>
      </c>
      <c r="B8" s="10">
        <f t="shared" ref="B8:H8" si="7">+SUM(B3:B7)</f>
        <v>639</v>
      </c>
      <c r="C8" s="11">
        <f t="shared" si="7"/>
        <v>0.99999999999999989</v>
      </c>
      <c r="D8" s="10">
        <f t="shared" si="7"/>
        <v>583</v>
      </c>
      <c r="E8" s="11">
        <f t="shared" si="7"/>
        <v>1</v>
      </c>
      <c r="F8" s="10">
        <f t="shared" si="7"/>
        <v>607</v>
      </c>
      <c r="G8" s="11">
        <f t="shared" si="7"/>
        <v>1</v>
      </c>
      <c r="H8" s="10">
        <f t="shared" si="7"/>
        <v>440</v>
      </c>
      <c r="I8" s="7">
        <f t="shared" si="3"/>
        <v>1</v>
      </c>
      <c r="J8" s="10">
        <f>+SUM(J3:J7)</f>
        <v>423</v>
      </c>
      <c r="K8" s="7">
        <f t="shared" si="4"/>
        <v>1</v>
      </c>
      <c r="L8" s="10">
        <f>+SUM(L3:L7)</f>
        <v>178</v>
      </c>
      <c r="M8" s="7">
        <f t="shared" si="5"/>
        <v>1</v>
      </c>
      <c r="N8" s="10">
        <f>+SUM(N3:N7)</f>
        <v>135</v>
      </c>
      <c r="O8" s="7">
        <f t="shared" si="6"/>
        <v>1</v>
      </c>
    </row>
    <row r="9" spans="1:17" ht="15.75" thickBot="1" x14ac:dyDescent="0.3"/>
    <row r="10" spans="1:17" ht="15.75" thickBot="1" x14ac:dyDescent="0.3">
      <c r="A10" s="5" t="s">
        <v>56</v>
      </c>
      <c r="B10" s="171" t="s">
        <v>59</v>
      </c>
      <c r="C10" s="172"/>
      <c r="D10" s="170" t="s">
        <v>60</v>
      </c>
      <c r="E10" s="170"/>
      <c r="F10" s="170" t="s">
        <v>61</v>
      </c>
      <c r="G10" s="170"/>
      <c r="H10" s="170" t="s">
        <v>62</v>
      </c>
      <c r="I10" s="170"/>
      <c r="J10" s="170" t="s">
        <v>63</v>
      </c>
      <c r="K10" s="170"/>
      <c r="L10" s="170" t="s">
        <v>64</v>
      </c>
      <c r="M10" s="170"/>
      <c r="N10" s="170" t="s">
        <v>65</v>
      </c>
      <c r="O10" s="170"/>
      <c r="P10" s="170" t="s">
        <v>66</v>
      </c>
      <c r="Q10" s="170"/>
    </row>
    <row r="11" spans="1:17" ht="16.5" thickTop="1" thickBot="1" x14ac:dyDescent="0.3">
      <c r="A11" s="5" t="s">
        <v>45</v>
      </c>
      <c r="B11" s="6">
        <v>497</v>
      </c>
      <c r="C11" s="7">
        <f>+B11/$B$16</f>
        <v>0.71101573676680974</v>
      </c>
      <c r="D11" s="6">
        <v>288</v>
      </c>
      <c r="E11" s="7">
        <f>+D11/$D$16</f>
        <v>0.77005347593582885</v>
      </c>
      <c r="F11" s="6">
        <v>544</v>
      </c>
      <c r="G11" s="7">
        <f>+F11/$F$16</f>
        <v>0.74215552523874484</v>
      </c>
      <c r="H11" s="6">
        <v>132</v>
      </c>
      <c r="I11" s="7">
        <f>+H11/$H$16</f>
        <v>0.6470588235294118</v>
      </c>
      <c r="J11" s="6">
        <v>327</v>
      </c>
      <c r="K11" s="7">
        <f>+J11/$J$16</f>
        <v>0.67422680412371139</v>
      </c>
      <c r="L11" s="6">
        <v>748</v>
      </c>
      <c r="M11" s="7">
        <f>+L11/$L$16</f>
        <v>0.79321314952279953</v>
      </c>
      <c r="N11" s="6">
        <v>748</v>
      </c>
      <c r="O11" s="7">
        <f>+N11/$N$16</f>
        <v>0.76717948717948714</v>
      </c>
      <c r="P11" s="6">
        <v>984</v>
      </c>
      <c r="Q11" s="7">
        <f>+P11/$P$16</f>
        <v>0.42395519172770357</v>
      </c>
    </row>
    <row r="12" spans="1:17" ht="16.5" thickTop="1" thickBot="1" x14ac:dyDescent="0.3">
      <c r="A12" s="8" t="s">
        <v>46</v>
      </c>
      <c r="B12" s="4">
        <v>140</v>
      </c>
      <c r="C12" s="7">
        <f t="shared" ref="C12:C15" si="8">+B12/$B$16</f>
        <v>0.20028612303290416</v>
      </c>
      <c r="D12" s="4">
        <v>41</v>
      </c>
      <c r="E12" s="7">
        <f t="shared" ref="E12:E16" si="9">+D12/$D$16</f>
        <v>0.10962566844919786</v>
      </c>
      <c r="F12" s="4">
        <v>30</v>
      </c>
      <c r="G12" s="7">
        <f t="shared" ref="G12:G16" si="10">+F12/$F$16</f>
        <v>4.0927694406548434E-2</v>
      </c>
      <c r="H12" s="4">
        <v>13</v>
      </c>
      <c r="I12" s="7">
        <f t="shared" ref="I12:I16" si="11">+H12/$H$16</f>
        <v>6.3725490196078427E-2</v>
      </c>
      <c r="J12" s="4">
        <v>37</v>
      </c>
      <c r="K12" s="7">
        <f t="shared" ref="K12:K16" si="12">+J12/$J$16</f>
        <v>7.628865979381444E-2</v>
      </c>
      <c r="L12" s="4">
        <v>6</v>
      </c>
      <c r="M12" s="7">
        <f t="shared" ref="M12:M16" si="13">+L12/$L$16</f>
        <v>6.3626723223753979E-3</v>
      </c>
      <c r="N12" s="4">
        <v>6</v>
      </c>
      <c r="O12" s="7">
        <f t="shared" ref="O12:O16" si="14">+N12/$N$16</f>
        <v>6.1538461538461538E-3</v>
      </c>
      <c r="P12" s="4">
        <v>243</v>
      </c>
      <c r="Q12" s="7">
        <f t="shared" ref="Q12:Q16" si="15">+P12/$P$16</f>
        <v>0.1046962516156829</v>
      </c>
    </row>
    <row r="13" spans="1:17" ht="16.5" thickTop="1" thickBot="1" x14ac:dyDescent="0.3">
      <c r="A13" s="8" t="s">
        <v>47</v>
      </c>
      <c r="B13" s="4">
        <v>50</v>
      </c>
      <c r="C13" s="7">
        <f t="shared" si="8"/>
        <v>7.1530758226037203E-2</v>
      </c>
      <c r="D13" s="4">
        <v>16</v>
      </c>
      <c r="E13" s="7">
        <f t="shared" si="9"/>
        <v>4.2780748663101602E-2</v>
      </c>
      <c r="F13" s="4">
        <v>119</v>
      </c>
      <c r="G13" s="7">
        <f t="shared" si="10"/>
        <v>0.16234652114597545</v>
      </c>
      <c r="H13" s="4">
        <v>55</v>
      </c>
      <c r="I13" s="7">
        <f t="shared" si="11"/>
        <v>0.26960784313725489</v>
      </c>
      <c r="J13" s="4">
        <v>101</v>
      </c>
      <c r="K13" s="7">
        <f t="shared" si="12"/>
        <v>0.20824742268041238</v>
      </c>
      <c r="L13" s="4">
        <v>174</v>
      </c>
      <c r="M13" s="7">
        <f t="shared" si="13"/>
        <v>0.18451749734888653</v>
      </c>
      <c r="N13" s="4">
        <v>174</v>
      </c>
      <c r="O13" s="7">
        <f t="shared" si="14"/>
        <v>0.17846153846153845</v>
      </c>
      <c r="P13" s="4">
        <v>926</v>
      </c>
      <c r="Q13" s="7">
        <f t="shared" si="15"/>
        <v>0.39896596294700559</v>
      </c>
    </row>
    <row r="14" spans="1:17" ht="16.5" thickTop="1" thickBot="1" x14ac:dyDescent="0.3">
      <c r="A14" s="8" t="s">
        <v>48</v>
      </c>
      <c r="B14" s="4">
        <v>7</v>
      </c>
      <c r="C14" s="7">
        <f t="shared" si="8"/>
        <v>1.0014306151645207E-2</v>
      </c>
      <c r="D14" s="4">
        <v>13</v>
      </c>
      <c r="E14" s="7">
        <f t="shared" si="9"/>
        <v>3.4759358288770054E-2</v>
      </c>
      <c r="F14" s="4">
        <v>27</v>
      </c>
      <c r="G14" s="7">
        <f t="shared" si="10"/>
        <v>3.6834924965893585E-2</v>
      </c>
      <c r="H14" s="4">
        <v>4</v>
      </c>
      <c r="I14" s="7">
        <f t="shared" si="11"/>
        <v>1.9607843137254902E-2</v>
      </c>
      <c r="J14" s="4">
        <v>16</v>
      </c>
      <c r="K14" s="7">
        <f t="shared" si="12"/>
        <v>3.2989690721649485E-2</v>
      </c>
      <c r="L14" s="4">
        <v>9</v>
      </c>
      <c r="M14" s="7">
        <f t="shared" si="13"/>
        <v>9.5440084835630972E-3</v>
      </c>
      <c r="N14" s="4">
        <v>38</v>
      </c>
      <c r="O14" s="7">
        <f t="shared" si="14"/>
        <v>3.8974358974358976E-2</v>
      </c>
      <c r="P14" s="4">
        <v>124</v>
      </c>
      <c r="Q14" s="7">
        <f t="shared" si="15"/>
        <v>5.3425247738043947E-2</v>
      </c>
    </row>
    <row r="15" spans="1:17" ht="16.5" thickTop="1" thickBot="1" x14ac:dyDescent="0.3">
      <c r="A15" s="8" t="s">
        <v>49</v>
      </c>
      <c r="B15" s="4">
        <v>5</v>
      </c>
      <c r="C15" s="7">
        <f t="shared" si="8"/>
        <v>7.1530758226037196E-3</v>
      </c>
      <c r="D15" s="4">
        <v>16</v>
      </c>
      <c r="E15" s="7">
        <f t="shared" si="9"/>
        <v>4.2780748663101602E-2</v>
      </c>
      <c r="F15" s="4">
        <v>13</v>
      </c>
      <c r="G15" s="7">
        <f t="shared" si="10"/>
        <v>1.7735334242837655E-2</v>
      </c>
      <c r="H15" s="4">
        <v>0</v>
      </c>
      <c r="I15" s="7">
        <f t="shared" si="11"/>
        <v>0</v>
      </c>
      <c r="J15" s="4">
        <v>4</v>
      </c>
      <c r="K15" s="7">
        <f t="shared" si="12"/>
        <v>8.2474226804123713E-3</v>
      </c>
      <c r="L15" s="4">
        <v>6</v>
      </c>
      <c r="M15" s="7">
        <f t="shared" si="13"/>
        <v>6.3626723223753979E-3</v>
      </c>
      <c r="N15" s="4">
        <v>9</v>
      </c>
      <c r="O15" s="7">
        <f t="shared" si="14"/>
        <v>9.2307692307692316E-3</v>
      </c>
      <c r="P15" s="4">
        <v>44</v>
      </c>
      <c r="Q15" s="7">
        <f t="shared" si="15"/>
        <v>1.8957345971563982E-2</v>
      </c>
    </row>
    <row r="16" spans="1:17" ht="16.5" thickTop="1" thickBot="1" x14ac:dyDescent="0.3">
      <c r="A16" s="12" t="s">
        <v>51</v>
      </c>
      <c r="B16" s="10">
        <f t="shared" ref="B16" si="16">+SUM(B11:B15)</f>
        <v>699</v>
      </c>
      <c r="C16" s="11">
        <f t="shared" ref="C16" si="17">+SUM(C11:C15)</f>
        <v>1</v>
      </c>
      <c r="D16" s="10">
        <f t="shared" ref="D16" si="18">+SUM(D11:D15)</f>
        <v>374</v>
      </c>
      <c r="E16" s="7">
        <f t="shared" si="9"/>
        <v>1</v>
      </c>
      <c r="F16" s="10">
        <f t="shared" ref="F16" si="19">+SUM(F11:F15)</f>
        <v>733</v>
      </c>
      <c r="G16" s="7">
        <f t="shared" si="10"/>
        <v>1</v>
      </c>
      <c r="H16" s="10">
        <f t="shared" ref="H16" si="20">+SUM(H11:H15)</f>
        <v>204</v>
      </c>
      <c r="I16" s="7">
        <f t="shared" si="11"/>
        <v>1</v>
      </c>
      <c r="J16" s="10">
        <f>+SUM(J11:J15)</f>
        <v>485</v>
      </c>
      <c r="K16" s="7">
        <f t="shared" si="12"/>
        <v>1</v>
      </c>
      <c r="L16" s="10">
        <f>+SUM(L11:L15)</f>
        <v>943</v>
      </c>
      <c r="M16" s="7">
        <f t="shared" si="13"/>
        <v>1</v>
      </c>
      <c r="N16" s="10">
        <f>+SUM(N11:N15)</f>
        <v>975</v>
      </c>
      <c r="O16" s="7">
        <f t="shared" si="14"/>
        <v>1</v>
      </c>
      <c r="P16" s="10">
        <f>+SUM(P11:P15)</f>
        <v>2321</v>
      </c>
      <c r="Q16" s="7">
        <f t="shared" si="15"/>
        <v>1</v>
      </c>
    </row>
    <row r="19" spans="1:3" s="13" customFormat="1" x14ac:dyDescent="0.25"/>
    <row r="20" spans="1:3" s="13" customFormat="1" x14ac:dyDescent="0.25">
      <c r="C20" s="15"/>
    </row>
    <row r="21" spans="1:3" s="13" customFormat="1" x14ac:dyDescent="0.25">
      <c r="A21" s="14"/>
      <c r="C21" s="15"/>
    </row>
    <row r="22" spans="1:3" s="13" customFormat="1" x14ac:dyDescent="0.25">
      <c r="A22" s="14"/>
      <c r="C22" s="15"/>
    </row>
    <row r="23" spans="1:3" s="13" customFormat="1" x14ac:dyDescent="0.25">
      <c r="A23" s="14"/>
      <c r="C23" s="15"/>
    </row>
    <row r="24" spans="1:3" s="13" customFormat="1" x14ac:dyDescent="0.25">
      <c r="A24" s="14"/>
      <c r="C24" s="15"/>
    </row>
    <row r="25" spans="1:3" s="13" customFormat="1" x14ac:dyDescent="0.25">
      <c r="A25" s="14"/>
      <c r="C25" s="15"/>
    </row>
    <row r="26" spans="1:3" s="13" customFormat="1" x14ac:dyDescent="0.25">
      <c r="A26" s="14"/>
      <c r="C26" s="15"/>
    </row>
    <row r="27" spans="1:3" s="13" customFormat="1" x14ac:dyDescent="0.25">
      <c r="A27" s="14"/>
      <c r="C27" s="15"/>
    </row>
    <row r="28" spans="1:3" s="13" customFormat="1" x14ac:dyDescent="0.25">
      <c r="A28" s="14"/>
      <c r="C28" s="15"/>
    </row>
    <row r="29" spans="1:3" s="13" customFormat="1" x14ac:dyDescent="0.25">
      <c r="A29" s="14"/>
      <c r="C29" s="15"/>
    </row>
    <row r="30" spans="1:3" s="13" customFormat="1" x14ac:dyDescent="0.25"/>
    <row r="31" spans="1:3" s="13" customFormat="1" x14ac:dyDescent="0.25"/>
  </sheetData>
  <mergeCells count="15">
    <mergeCell ref="P10:Q10"/>
    <mergeCell ref="L2:M2"/>
    <mergeCell ref="N2:O2"/>
    <mergeCell ref="B10:C10"/>
    <mergeCell ref="D10:E10"/>
    <mergeCell ref="F10:G10"/>
    <mergeCell ref="H10:I10"/>
    <mergeCell ref="J10:K10"/>
    <mergeCell ref="L10:M10"/>
    <mergeCell ref="N10:O10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 Global</vt:lpstr>
      <vt:lpstr>Presupuesto Ventas</vt:lpstr>
      <vt:lpstr>Presupuesto Planes </vt:lpstr>
      <vt:lpstr>PresupuestoVentasQlik</vt:lpstr>
      <vt:lpstr>PresupuestoPlanesQlik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garagona</dc:creator>
  <cp:lastModifiedBy>Usuario de Windows</cp:lastModifiedBy>
  <cp:lastPrinted>2016-07-07T14:26:24Z</cp:lastPrinted>
  <dcterms:created xsi:type="dcterms:W3CDTF">2016-07-06T18:22:37Z</dcterms:created>
  <dcterms:modified xsi:type="dcterms:W3CDTF">2016-09-08T17:28:08Z</dcterms:modified>
</cp:coreProperties>
</file>