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FD2165EC-4994-48BB-BF91-FB12C54B6749}" xr6:coauthVersionLast="45" xr6:coauthVersionMax="45" xr10:uidLastSave="{00000000-0000-0000-0000-000000000000}"/>
  <bookViews>
    <workbookView xWindow="-108" yWindow="-108" windowWidth="23256" windowHeight="12576" tabRatio="723" activeTab="6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DRP simul" sheetId="14" r:id="rId6"/>
    <sheet name="DRP simul YY" sheetId="7" r:id="rId7"/>
    <sheet name="Selectio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F50" i="7" l="1"/>
  <c r="P175" i="14" l="1"/>
  <c r="F172" i="14"/>
  <c r="F165" i="14"/>
  <c r="Q70" i="14" s="1"/>
  <c r="F163" i="14"/>
  <c r="F162" i="14"/>
  <c r="F161" i="14"/>
  <c r="P154" i="14"/>
  <c r="F151" i="14"/>
  <c r="F144" i="14"/>
  <c r="F142" i="14"/>
  <c r="F141" i="14"/>
  <c r="F140" i="14"/>
  <c r="P122" i="14"/>
  <c r="H122" i="14"/>
  <c r="P119" i="14"/>
  <c r="O119" i="14"/>
  <c r="N119" i="14"/>
  <c r="M119" i="14"/>
  <c r="L119" i="14"/>
  <c r="K119" i="14"/>
  <c r="J119" i="14"/>
  <c r="I119" i="14"/>
  <c r="H119" i="14"/>
  <c r="G119" i="14"/>
  <c r="P116" i="14"/>
  <c r="O116" i="14"/>
  <c r="N116" i="14"/>
  <c r="M116" i="14"/>
  <c r="L116" i="14"/>
  <c r="K116" i="14"/>
  <c r="J116" i="14"/>
  <c r="I116" i="14"/>
  <c r="H116" i="14"/>
  <c r="G116" i="14"/>
  <c r="F109" i="14"/>
  <c r="H108" i="14"/>
  <c r="G108" i="14"/>
  <c r="P106" i="14"/>
  <c r="O106" i="14"/>
  <c r="N106" i="14"/>
  <c r="M106" i="14"/>
  <c r="L106" i="14"/>
  <c r="K106" i="14"/>
  <c r="J106" i="14"/>
  <c r="I106" i="14"/>
  <c r="H106" i="14"/>
  <c r="G106" i="14"/>
  <c r="P105" i="14"/>
  <c r="O105" i="14"/>
  <c r="N105" i="14"/>
  <c r="M105" i="14"/>
  <c r="L105" i="14"/>
  <c r="K105" i="14"/>
  <c r="J105" i="14"/>
  <c r="I105" i="14"/>
  <c r="H105" i="14"/>
  <c r="G105" i="14"/>
  <c r="P104" i="14"/>
  <c r="O104" i="14"/>
  <c r="N104" i="14"/>
  <c r="M104" i="14"/>
  <c r="L104" i="14"/>
  <c r="K104" i="14"/>
  <c r="J104" i="14"/>
  <c r="I104" i="14"/>
  <c r="H104" i="14"/>
  <c r="G104" i="14"/>
  <c r="P103" i="14"/>
  <c r="P107" i="14" s="1"/>
  <c r="O103" i="14"/>
  <c r="O122" i="14" s="1"/>
  <c r="N103" i="14"/>
  <c r="N122" i="14" s="1"/>
  <c r="M103" i="14"/>
  <c r="L103" i="14"/>
  <c r="L122" i="14" s="1"/>
  <c r="K103" i="14"/>
  <c r="K122" i="14" s="1"/>
  <c r="J103" i="14"/>
  <c r="J122" i="14" s="1"/>
  <c r="I103" i="14"/>
  <c r="H103" i="14"/>
  <c r="H107" i="14" s="1"/>
  <c r="G103" i="14"/>
  <c r="G122" i="14" s="1"/>
  <c r="F101" i="14"/>
  <c r="F100" i="14"/>
  <c r="F99" i="14"/>
  <c r="F98" i="14"/>
  <c r="G97" i="14"/>
  <c r="F97" i="14"/>
  <c r="G96" i="14"/>
  <c r="F96" i="14"/>
  <c r="G95" i="14"/>
  <c r="F95" i="14"/>
  <c r="G94" i="14"/>
  <c r="F94" i="14"/>
  <c r="AI83" i="14"/>
  <c r="AH83" i="14"/>
  <c r="AG83" i="14"/>
  <c r="AF83" i="14"/>
  <c r="AA83" i="14"/>
  <c r="Z83" i="14"/>
  <c r="Y83" i="14"/>
  <c r="AI82" i="14"/>
  <c r="AH82" i="14"/>
  <c r="AG82" i="14"/>
  <c r="AF82" i="14"/>
  <c r="AA82" i="14"/>
  <c r="Z82" i="14"/>
  <c r="Y82" i="14"/>
  <c r="AI81" i="14"/>
  <c r="AH81" i="14"/>
  <c r="AG81" i="14"/>
  <c r="AF81" i="14"/>
  <c r="AA81" i="14"/>
  <c r="Z81" i="14"/>
  <c r="Y81" i="14"/>
  <c r="AI80" i="14"/>
  <c r="AH80" i="14"/>
  <c r="AG80" i="14"/>
  <c r="AF80" i="14"/>
  <c r="AA80" i="14"/>
  <c r="Z80" i="14"/>
  <c r="Y80" i="14"/>
  <c r="AI78" i="14"/>
  <c r="AH78" i="14"/>
  <c r="AG78" i="14"/>
  <c r="AF78" i="14"/>
  <c r="AA78" i="14"/>
  <c r="Z78" i="14"/>
  <c r="Y78" i="14"/>
  <c r="AI77" i="14"/>
  <c r="AH77" i="14"/>
  <c r="AG77" i="14"/>
  <c r="AF77" i="14"/>
  <c r="AA77" i="14"/>
  <c r="Z77" i="14"/>
  <c r="Y77" i="14"/>
  <c r="P77" i="14"/>
  <c r="I77" i="14"/>
  <c r="AI76" i="14"/>
  <c r="AH76" i="14"/>
  <c r="AG76" i="14"/>
  <c r="AF76" i="14"/>
  <c r="AA76" i="14"/>
  <c r="Z76" i="14"/>
  <c r="Y76" i="14"/>
  <c r="AI75" i="14"/>
  <c r="AH75" i="14"/>
  <c r="AG75" i="14"/>
  <c r="AF75" i="14"/>
  <c r="AA75" i="14"/>
  <c r="Z75" i="14"/>
  <c r="Y75" i="14"/>
  <c r="AI74" i="14"/>
  <c r="AH74" i="14"/>
  <c r="AG74" i="14"/>
  <c r="AF74" i="14"/>
  <c r="AA74" i="14"/>
  <c r="Z74" i="14"/>
  <c r="Y74" i="14"/>
  <c r="P74" i="14"/>
  <c r="O74" i="14"/>
  <c r="N74" i="14"/>
  <c r="M74" i="14"/>
  <c r="L74" i="14"/>
  <c r="K74" i="14"/>
  <c r="J74" i="14"/>
  <c r="I74" i="14"/>
  <c r="H74" i="14"/>
  <c r="G74" i="14"/>
  <c r="AI73" i="14"/>
  <c r="AH73" i="14"/>
  <c r="AG73" i="14"/>
  <c r="AF73" i="14"/>
  <c r="AA73" i="14"/>
  <c r="Z73" i="14"/>
  <c r="Y73" i="14"/>
  <c r="AI72" i="14"/>
  <c r="AH72" i="14"/>
  <c r="AG72" i="14"/>
  <c r="AF72" i="14"/>
  <c r="AA72" i="14"/>
  <c r="Z72" i="14"/>
  <c r="Y72" i="14"/>
  <c r="AI71" i="14"/>
  <c r="AH71" i="14"/>
  <c r="AG71" i="14"/>
  <c r="AF71" i="14"/>
  <c r="AA71" i="14"/>
  <c r="Z71" i="14"/>
  <c r="Y71" i="14"/>
  <c r="P71" i="14"/>
  <c r="O71" i="14"/>
  <c r="N71" i="14"/>
  <c r="M71" i="14"/>
  <c r="L71" i="14"/>
  <c r="K71" i="14"/>
  <c r="J71" i="14"/>
  <c r="I71" i="14"/>
  <c r="H71" i="14"/>
  <c r="G71" i="14"/>
  <c r="AI70" i="14"/>
  <c r="AH70" i="14"/>
  <c r="AG70" i="14"/>
  <c r="AF70" i="14"/>
  <c r="AA70" i="14"/>
  <c r="Z70" i="14"/>
  <c r="Y70" i="14"/>
  <c r="AI69" i="14"/>
  <c r="AH69" i="14"/>
  <c r="AG69" i="14"/>
  <c r="AF69" i="14"/>
  <c r="AA69" i="14"/>
  <c r="Z69" i="14"/>
  <c r="Y69" i="14"/>
  <c r="AI68" i="14"/>
  <c r="AH68" i="14"/>
  <c r="AG68" i="14"/>
  <c r="AF68" i="14"/>
  <c r="AA68" i="14"/>
  <c r="Z68" i="14"/>
  <c r="Y68" i="14"/>
  <c r="AI67" i="14"/>
  <c r="AH67" i="14"/>
  <c r="AG67" i="14"/>
  <c r="AF67" i="14"/>
  <c r="AA67" i="14"/>
  <c r="Z67" i="14"/>
  <c r="Y67" i="14"/>
  <c r="P67" i="14"/>
  <c r="AI66" i="14"/>
  <c r="AH66" i="14"/>
  <c r="AG66" i="14"/>
  <c r="AF66" i="14"/>
  <c r="AA66" i="14"/>
  <c r="Z66" i="14"/>
  <c r="Y66" i="14"/>
  <c r="W66" i="14"/>
  <c r="AI65" i="14"/>
  <c r="AH65" i="14"/>
  <c r="AG65" i="14"/>
  <c r="AF65" i="14"/>
  <c r="AA65" i="14"/>
  <c r="Z65" i="14"/>
  <c r="Y65" i="14"/>
  <c r="W65" i="14"/>
  <c r="AI64" i="14"/>
  <c r="AH64" i="14"/>
  <c r="AG64" i="14"/>
  <c r="AF64" i="14"/>
  <c r="AA64" i="14"/>
  <c r="Z64" i="14"/>
  <c r="Y64" i="14"/>
  <c r="W64" i="14"/>
  <c r="F64" i="14"/>
  <c r="AI63" i="14"/>
  <c r="AH63" i="14"/>
  <c r="AG63" i="14"/>
  <c r="AF63" i="14"/>
  <c r="AA63" i="14"/>
  <c r="Z63" i="14"/>
  <c r="Y63" i="14"/>
  <c r="W63" i="14"/>
  <c r="H63" i="14"/>
  <c r="G63" i="14"/>
  <c r="AI62" i="14"/>
  <c r="AH62" i="14"/>
  <c r="AG62" i="14"/>
  <c r="AF62" i="14"/>
  <c r="AA62" i="14"/>
  <c r="Z62" i="14"/>
  <c r="Y62" i="14"/>
  <c r="W62" i="14"/>
  <c r="AI61" i="14"/>
  <c r="AH61" i="14"/>
  <c r="AG61" i="14"/>
  <c r="AF61" i="14"/>
  <c r="AA61" i="14"/>
  <c r="Z61" i="14"/>
  <c r="Y61" i="14"/>
  <c r="W61" i="14"/>
  <c r="P61" i="14"/>
  <c r="O61" i="14"/>
  <c r="N61" i="14"/>
  <c r="M61" i="14"/>
  <c r="L61" i="14"/>
  <c r="K61" i="14"/>
  <c r="J61" i="14"/>
  <c r="I61" i="14"/>
  <c r="H61" i="14"/>
  <c r="G61" i="14"/>
  <c r="AI60" i="14"/>
  <c r="AH60" i="14"/>
  <c r="AG60" i="14"/>
  <c r="AF60" i="14"/>
  <c r="AA60" i="14"/>
  <c r="Z60" i="14"/>
  <c r="Y60" i="14"/>
  <c r="W60" i="14"/>
  <c r="P60" i="14"/>
  <c r="O60" i="14"/>
  <c r="N60" i="14"/>
  <c r="M60" i="14"/>
  <c r="L60" i="14"/>
  <c r="K60" i="14"/>
  <c r="J60" i="14"/>
  <c r="I60" i="14"/>
  <c r="H60" i="14"/>
  <c r="G60" i="14"/>
  <c r="AI59" i="14"/>
  <c r="AH59" i="14"/>
  <c r="AG59" i="14"/>
  <c r="AF59" i="14"/>
  <c r="AA59" i="14"/>
  <c r="Z59" i="14"/>
  <c r="Y59" i="14"/>
  <c r="W59" i="14"/>
  <c r="P59" i="14"/>
  <c r="O59" i="14"/>
  <c r="N59" i="14"/>
  <c r="M59" i="14"/>
  <c r="L59" i="14"/>
  <c r="K59" i="14"/>
  <c r="J59" i="14"/>
  <c r="I59" i="14"/>
  <c r="H77" i="14" s="1"/>
  <c r="H59" i="14"/>
  <c r="G59" i="14"/>
  <c r="AI58" i="14"/>
  <c r="AH58" i="14"/>
  <c r="AG58" i="14"/>
  <c r="AF58" i="14"/>
  <c r="AA58" i="14"/>
  <c r="Z58" i="14"/>
  <c r="Y58" i="14"/>
  <c r="W58" i="14"/>
  <c r="P58" i="14"/>
  <c r="O77" i="14" s="1"/>
  <c r="O58" i="14"/>
  <c r="N77" i="14" s="1"/>
  <c r="N58" i="14"/>
  <c r="N62" i="14" s="1"/>
  <c r="M58" i="14"/>
  <c r="L58" i="14"/>
  <c r="K77" i="14" s="1"/>
  <c r="K58" i="14"/>
  <c r="J77" i="14" s="1"/>
  <c r="J58" i="14"/>
  <c r="J62" i="14" s="1"/>
  <c r="I58" i="14"/>
  <c r="H58" i="14"/>
  <c r="G77" i="14" s="1"/>
  <c r="G58" i="14"/>
  <c r="G62" i="14" s="1"/>
  <c r="AI57" i="14"/>
  <c r="AH57" i="14"/>
  <c r="AG57" i="14"/>
  <c r="AF57" i="14"/>
  <c r="AA57" i="14"/>
  <c r="Z57" i="14"/>
  <c r="Y57" i="14"/>
  <c r="W57" i="14"/>
  <c r="AI56" i="14"/>
  <c r="AH56" i="14"/>
  <c r="AG56" i="14"/>
  <c r="AF56" i="14"/>
  <c r="AA56" i="14"/>
  <c r="Z56" i="14"/>
  <c r="Y56" i="14"/>
  <c r="W56" i="14"/>
  <c r="F56" i="14"/>
  <c r="AI55" i="14"/>
  <c r="AH55" i="14"/>
  <c r="AG55" i="14"/>
  <c r="AF55" i="14"/>
  <c r="AA55" i="14"/>
  <c r="Z55" i="14"/>
  <c r="Y55" i="14"/>
  <c r="W55" i="14"/>
  <c r="F55" i="14"/>
  <c r="F54" i="14"/>
  <c r="AI53" i="14"/>
  <c r="AH53" i="14"/>
  <c r="AG53" i="14"/>
  <c r="AF53" i="14"/>
  <c r="AA53" i="14"/>
  <c r="Z53" i="14"/>
  <c r="Y53" i="14"/>
  <c r="W53" i="14"/>
  <c r="F53" i="14"/>
  <c r="R52" i="14"/>
  <c r="R54" i="14" s="1"/>
  <c r="G52" i="14"/>
  <c r="F52" i="14"/>
  <c r="G51" i="14"/>
  <c r="F51" i="14"/>
  <c r="AI50" i="14"/>
  <c r="AH50" i="14"/>
  <c r="AG50" i="14"/>
  <c r="AF50" i="14"/>
  <c r="AA50" i="14"/>
  <c r="Z50" i="14"/>
  <c r="Y50" i="14"/>
  <c r="W50" i="14"/>
  <c r="G50" i="14"/>
  <c r="F50" i="14"/>
  <c r="AI49" i="14"/>
  <c r="AH49" i="14"/>
  <c r="AG49" i="14"/>
  <c r="AF49" i="14"/>
  <c r="AA49" i="14"/>
  <c r="Z49" i="14"/>
  <c r="Y49" i="14"/>
  <c r="W49" i="14"/>
  <c r="G49" i="14"/>
  <c r="F49" i="14"/>
  <c r="AI48" i="14"/>
  <c r="AH48" i="14"/>
  <c r="AG48" i="14"/>
  <c r="AF48" i="14"/>
  <c r="AA48" i="14"/>
  <c r="Z48" i="14"/>
  <c r="Y48" i="14"/>
  <c r="W48" i="14"/>
  <c r="AI47" i="14"/>
  <c r="AH47" i="14"/>
  <c r="AG47" i="14"/>
  <c r="AF47" i="14"/>
  <c r="AA47" i="14"/>
  <c r="Z47" i="14"/>
  <c r="Y47" i="14"/>
  <c r="W47" i="14"/>
  <c r="AI46" i="14"/>
  <c r="AH46" i="14"/>
  <c r="AG46" i="14"/>
  <c r="AF46" i="14"/>
  <c r="AA46" i="14"/>
  <c r="Z46" i="14"/>
  <c r="Y46" i="14"/>
  <c r="W46" i="14"/>
  <c r="AI45" i="14"/>
  <c r="AH45" i="14"/>
  <c r="AG45" i="14"/>
  <c r="AF45" i="14"/>
  <c r="AA45" i="14"/>
  <c r="Z45" i="14"/>
  <c r="Y45" i="14"/>
  <c r="W45" i="14"/>
  <c r="AI44" i="14"/>
  <c r="AH44" i="14"/>
  <c r="AG44" i="14"/>
  <c r="AF44" i="14"/>
  <c r="AA44" i="14"/>
  <c r="Z44" i="14"/>
  <c r="Y44" i="14"/>
  <c r="W44" i="14"/>
  <c r="AI43" i="14"/>
  <c r="AH43" i="14"/>
  <c r="AG43" i="14"/>
  <c r="AF43" i="14"/>
  <c r="AA43" i="14"/>
  <c r="Z43" i="14"/>
  <c r="Y43" i="14"/>
  <c r="W43" i="14"/>
  <c r="AI42" i="14"/>
  <c r="AH42" i="14"/>
  <c r="AG42" i="14"/>
  <c r="AF42" i="14"/>
  <c r="AA42" i="14"/>
  <c r="Z42" i="14"/>
  <c r="Y42" i="14"/>
  <c r="W42" i="14"/>
  <c r="AI41" i="14"/>
  <c r="AH41" i="14"/>
  <c r="AG41" i="14"/>
  <c r="AF41" i="14"/>
  <c r="AA41" i="14"/>
  <c r="Z41" i="14"/>
  <c r="Y41" i="14"/>
  <c r="W41" i="14"/>
  <c r="P41" i="14"/>
  <c r="AI40" i="14"/>
  <c r="AH40" i="14"/>
  <c r="AG40" i="14"/>
  <c r="AF40" i="14"/>
  <c r="AA40" i="14"/>
  <c r="Z40" i="14"/>
  <c r="Y40" i="14"/>
  <c r="W40" i="14"/>
  <c r="AI39" i="14"/>
  <c r="AH39" i="14"/>
  <c r="AG39" i="14"/>
  <c r="AF39" i="14"/>
  <c r="AA39" i="14"/>
  <c r="Z39" i="14"/>
  <c r="Y39" i="14"/>
  <c r="W39" i="14"/>
  <c r="P39" i="14"/>
  <c r="AI38" i="14"/>
  <c r="AH38" i="14"/>
  <c r="AG38" i="14"/>
  <c r="AF38" i="14"/>
  <c r="AA38" i="14"/>
  <c r="Z38" i="14"/>
  <c r="Y38" i="14"/>
  <c r="W38" i="14"/>
  <c r="AI37" i="14"/>
  <c r="AH37" i="14"/>
  <c r="AG37" i="14"/>
  <c r="AF37" i="14"/>
  <c r="AA37" i="14"/>
  <c r="Z37" i="14"/>
  <c r="Y37" i="14"/>
  <c r="W37" i="14"/>
  <c r="P33" i="14"/>
  <c r="O33" i="14"/>
  <c r="O44" i="14" s="1"/>
  <c r="P31" i="14"/>
  <c r="O31" i="14"/>
  <c r="P30" i="14"/>
  <c r="O30" i="14"/>
  <c r="N30" i="14"/>
  <c r="M30" i="14"/>
  <c r="L30" i="14"/>
  <c r="K30" i="14"/>
  <c r="J30" i="14"/>
  <c r="I30" i="14"/>
  <c r="H30" i="14"/>
  <c r="G30" i="14"/>
  <c r="P27" i="14"/>
  <c r="O27" i="14"/>
  <c r="O28" i="14" s="1"/>
  <c r="N27" i="14"/>
  <c r="M27" i="14"/>
  <c r="L27" i="14"/>
  <c r="K27" i="14"/>
  <c r="J27" i="14"/>
  <c r="I27" i="14"/>
  <c r="H27" i="14"/>
  <c r="G27" i="14"/>
  <c r="P23" i="14"/>
  <c r="O23" i="14"/>
  <c r="F20" i="14"/>
  <c r="H19" i="14"/>
  <c r="G19" i="14"/>
  <c r="P17" i="14"/>
  <c r="O17" i="14"/>
  <c r="N17" i="14"/>
  <c r="M17" i="14"/>
  <c r="L17" i="14"/>
  <c r="K17" i="14"/>
  <c r="J17" i="14"/>
  <c r="I17" i="14"/>
  <c r="H17" i="14"/>
  <c r="G17" i="14"/>
  <c r="P16" i="14"/>
  <c r="O16" i="14"/>
  <c r="N16" i="14"/>
  <c r="M16" i="14"/>
  <c r="L16" i="14"/>
  <c r="K16" i="14"/>
  <c r="J16" i="14"/>
  <c r="I16" i="14"/>
  <c r="H16" i="14"/>
  <c r="G16" i="14"/>
  <c r="P15" i="14"/>
  <c r="O15" i="14"/>
  <c r="N15" i="14"/>
  <c r="M15" i="14"/>
  <c r="L15" i="14"/>
  <c r="K15" i="14"/>
  <c r="J15" i="14"/>
  <c r="I15" i="14"/>
  <c r="H15" i="14"/>
  <c r="G15" i="14"/>
  <c r="P14" i="14"/>
  <c r="N33" i="14" s="1"/>
  <c r="O14" i="14"/>
  <c r="M33" i="14" s="1"/>
  <c r="N14" i="14"/>
  <c r="N18" i="14" s="1"/>
  <c r="M14" i="14"/>
  <c r="L14" i="14"/>
  <c r="J33" i="14" s="1"/>
  <c r="K14" i="14"/>
  <c r="I33" i="14" s="1"/>
  <c r="J14" i="14"/>
  <c r="J18" i="14" s="1"/>
  <c r="I14" i="14"/>
  <c r="H14" i="14"/>
  <c r="H18" i="14" s="1"/>
  <c r="G14" i="14"/>
  <c r="G18" i="14" s="1"/>
  <c r="F12" i="14"/>
  <c r="F11" i="14"/>
  <c r="F10" i="14"/>
  <c r="F9" i="14"/>
  <c r="G8" i="14"/>
  <c r="F8" i="14"/>
  <c r="G7" i="14"/>
  <c r="F7" i="14"/>
  <c r="G6" i="14"/>
  <c r="F6" i="14"/>
  <c r="G5" i="14"/>
  <c r="F5" i="14"/>
  <c r="O24" i="14" s="1"/>
  <c r="L33" i="14" l="1"/>
  <c r="G33" i="14"/>
  <c r="M77" i="14"/>
  <c r="L18" i="14"/>
  <c r="Q115" i="14"/>
  <c r="H33" i="14"/>
  <c r="Q26" i="14"/>
  <c r="O167" i="14" s="1"/>
  <c r="K33" i="14"/>
  <c r="L77" i="14"/>
  <c r="P25" i="14"/>
  <c r="P69" i="14"/>
  <c r="P68" i="14"/>
  <c r="P70" i="14" s="1"/>
  <c r="P73" i="14" s="1"/>
  <c r="G21" i="14"/>
  <c r="G22" i="14" s="1"/>
  <c r="G20" i="14" s="1"/>
  <c r="P168" i="14"/>
  <c r="P147" i="14"/>
  <c r="P75" i="14"/>
  <c r="O18" i="14"/>
  <c r="K62" i="14"/>
  <c r="G65" i="14"/>
  <c r="G66" i="14" s="1"/>
  <c r="G64" i="14" s="1"/>
  <c r="P72" i="14"/>
  <c r="O25" i="14"/>
  <c r="P18" i="14"/>
  <c r="P24" i="14"/>
  <c r="I18" i="14"/>
  <c r="M18" i="14"/>
  <c r="K18" i="14"/>
  <c r="P28" i="14"/>
  <c r="P44" i="14"/>
  <c r="I62" i="14"/>
  <c r="M62" i="14"/>
  <c r="O62" i="14"/>
  <c r="H62" i="14"/>
  <c r="L62" i="14"/>
  <c r="P62" i="14"/>
  <c r="G107" i="14"/>
  <c r="K107" i="14"/>
  <c r="G110" i="14"/>
  <c r="G111" i="14" s="1"/>
  <c r="G112" i="14" s="1"/>
  <c r="P88" i="14"/>
  <c r="O107" i="14"/>
  <c r="L107" i="14"/>
  <c r="I122" i="14"/>
  <c r="M122" i="14"/>
  <c r="I107" i="14"/>
  <c r="M107" i="14"/>
  <c r="J107" i="14"/>
  <c r="N107" i="14"/>
  <c r="G169" i="14" l="1"/>
  <c r="H169" i="14"/>
  <c r="I169" i="14"/>
  <c r="O26" i="14"/>
  <c r="O29" i="14" s="1"/>
  <c r="O32" i="14" s="1"/>
  <c r="O146" i="14"/>
  <c r="P146" i="14"/>
  <c r="P167" i="14"/>
  <c r="P26" i="14"/>
  <c r="P29" i="14" s="1"/>
  <c r="P32" i="14" s="1"/>
  <c r="H65" i="14"/>
  <c r="H66" i="14" s="1"/>
  <c r="G109" i="14"/>
  <c r="H21" i="14"/>
  <c r="H22" i="14" s="1"/>
  <c r="H20" i="14" s="1"/>
  <c r="G114" i="14"/>
  <c r="G113" i="14"/>
  <c r="G120" i="14"/>
  <c r="G117" i="14"/>
  <c r="P76" i="14"/>
  <c r="G148" i="14"/>
  <c r="G133" i="14"/>
  <c r="G27" i="7"/>
  <c r="G30" i="7"/>
  <c r="F168" i="7"/>
  <c r="H105" i="7"/>
  <c r="H110" i="7"/>
  <c r="G105" i="7"/>
  <c r="I21" i="14" l="1"/>
  <c r="I22" i="14" s="1"/>
  <c r="H110" i="14"/>
  <c r="H111" i="14" s="1"/>
  <c r="H109" i="14" s="1"/>
  <c r="G67" i="14"/>
  <c r="G147" i="14" s="1"/>
  <c r="G115" i="14"/>
  <c r="G118" i="14" s="1"/>
  <c r="G121" i="14" s="1"/>
  <c r="H64" i="14"/>
  <c r="I110" i="14" l="1"/>
  <c r="I111" i="14" s="1"/>
  <c r="G69" i="14"/>
  <c r="G75" i="14"/>
  <c r="G68" i="14"/>
  <c r="G72" i="14"/>
  <c r="G168" i="14"/>
  <c r="G88" i="14"/>
  <c r="I65" i="14"/>
  <c r="I66" i="14" s="1"/>
  <c r="H112" i="14"/>
  <c r="G23" i="14"/>
  <c r="G146" i="14" s="1"/>
  <c r="G149" i="14" s="1"/>
  <c r="G152" i="14" s="1"/>
  <c r="I20" i="14"/>
  <c r="C4" i="4"/>
  <c r="F143" i="14" s="1"/>
  <c r="C4" i="10"/>
  <c r="F164" i="14" s="1"/>
  <c r="G155" i="14" l="1"/>
  <c r="G70" i="14"/>
  <c r="G73" i="14" s="1"/>
  <c r="G76" i="14" s="1"/>
  <c r="G153" i="14"/>
  <c r="G156" i="14" s="1"/>
  <c r="H67" i="14"/>
  <c r="H147" i="14" s="1"/>
  <c r="J21" i="14"/>
  <c r="J22" i="14" s="1"/>
  <c r="J20" i="14" s="1"/>
  <c r="G25" i="14"/>
  <c r="G24" i="14"/>
  <c r="G31" i="14"/>
  <c r="G167" i="14"/>
  <c r="G170" i="14" s="1"/>
  <c r="G173" i="14" s="1"/>
  <c r="G28" i="14"/>
  <c r="G44" i="14"/>
  <c r="I64" i="14"/>
  <c r="I112" i="14"/>
  <c r="H113" i="14"/>
  <c r="H120" i="14"/>
  <c r="H114" i="14"/>
  <c r="H148" i="14"/>
  <c r="H133" i="14"/>
  <c r="H117" i="14"/>
  <c r="I109" i="14"/>
  <c r="F147" i="7"/>
  <c r="P178" i="7"/>
  <c r="F175" i="7"/>
  <c r="F167" i="7"/>
  <c r="F166" i="7"/>
  <c r="F165" i="7"/>
  <c r="F164" i="7"/>
  <c r="G151" i="14" l="1"/>
  <c r="J110" i="14"/>
  <c r="J111" i="14" s="1"/>
  <c r="J109" i="14" s="1"/>
  <c r="G26" i="14"/>
  <c r="G29" i="14" s="1"/>
  <c r="G32" i="14" s="1"/>
  <c r="G176" i="14"/>
  <c r="G174" i="14"/>
  <c r="K21" i="14"/>
  <c r="K22" i="14" s="1"/>
  <c r="K20" i="14" s="1"/>
  <c r="H69" i="14"/>
  <c r="H68" i="14"/>
  <c r="H88" i="14"/>
  <c r="H72" i="14"/>
  <c r="H168" i="14"/>
  <c r="H75" i="14"/>
  <c r="H115" i="14"/>
  <c r="H118" i="14" s="1"/>
  <c r="H121" i="14" s="1"/>
  <c r="I113" i="14"/>
  <c r="I114" i="14"/>
  <c r="I117" i="14"/>
  <c r="I120" i="14"/>
  <c r="I148" i="14"/>
  <c r="I133" i="14"/>
  <c r="J65" i="14"/>
  <c r="J66" i="14" s="1"/>
  <c r="J64" i="14" s="1"/>
  <c r="H23" i="14"/>
  <c r="H146" i="14" s="1"/>
  <c r="H149" i="14" s="1"/>
  <c r="H152" i="14" l="1"/>
  <c r="H155" i="14" s="1"/>
  <c r="G124" i="14"/>
  <c r="G123" i="14"/>
  <c r="K65" i="14"/>
  <c r="K66" i="14" s="1"/>
  <c r="K64" i="14" s="1"/>
  <c r="L21" i="14"/>
  <c r="L22" i="14" s="1"/>
  <c r="L20" i="14" s="1"/>
  <c r="I23" i="14"/>
  <c r="I146" i="14" s="1"/>
  <c r="I67" i="14"/>
  <c r="I147" i="14" s="1"/>
  <c r="G172" i="14"/>
  <c r="G177" i="14"/>
  <c r="K110" i="14"/>
  <c r="K111" i="14" s="1"/>
  <c r="K109" i="14" s="1"/>
  <c r="H24" i="14"/>
  <c r="H31" i="14"/>
  <c r="H25" i="14"/>
  <c r="H44" i="14"/>
  <c r="H167" i="14"/>
  <c r="H170" i="14" s="1"/>
  <c r="H28" i="14"/>
  <c r="I115" i="14"/>
  <c r="I118" i="14" s="1"/>
  <c r="I121" i="14" s="1"/>
  <c r="H70" i="14"/>
  <c r="H73" i="14" s="1"/>
  <c r="H76" i="14" s="1"/>
  <c r="G78" i="14"/>
  <c r="G34" i="14"/>
  <c r="G79" i="14"/>
  <c r="G35" i="14"/>
  <c r="J112" i="14"/>
  <c r="J169" i="14" s="1"/>
  <c r="H60" i="7"/>
  <c r="H64" i="7"/>
  <c r="G59" i="7"/>
  <c r="H15" i="7"/>
  <c r="I14" i="7"/>
  <c r="H59" i="7"/>
  <c r="H153" i="14" l="1"/>
  <c r="H156" i="14" s="1"/>
  <c r="I149" i="14"/>
  <c r="G125" i="14"/>
  <c r="G126" i="14"/>
  <c r="G128" i="14"/>
  <c r="G130" i="14"/>
  <c r="L65" i="14"/>
  <c r="L66" i="14" s="1"/>
  <c r="G41" i="14"/>
  <c r="G39" i="14"/>
  <c r="K112" i="14"/>
  <c r="K169" i="14" s="1"/>
  <c r="I24" i="14"/>
  <c r="I25" i="14"/>
  <c r="I28" i="14"/>
  <c r="I167" i="14"/>
  <c r="I31" i="14"/>
  <c r="I44" i="14"/>
  <c r="J114" i="14"/>
  <c r="J117" i="14"/>
  <c r="J113" i="14"/>
  <c r="J133" i="14"/>
  <c r="J148" i="14"/>
  <c r="J120" i="14"/>
  <c r="G85" i="14"/>
  <c r="G83" i="14"/>
  <c r="H26" i="14"/>
  <c r="H29" i="14" s="1"/>
  <c r="H32" i="14" s="1"/>
  <c r="I72" i="14"/>
  <c r="I69" i="14"/>
  <c r="I68" i="14"/>
  <c r="I88" i="14"/>
  <c r="I168" i="14"/>
  <c r="I75" i="14"/>
  <c r="G37" i="14"/>
  <c r="G36" i="14"/>
  <c r="H173" i="14"/>
  <c r="J23" i="14"/>
  <c r="J146" i="14" s="1"/>
  <c r="G81" i="14"/>
  <c r="G80" i="14"/>
  <c r="L110" i="14"/>
  <c r="L111" i="14" s="1"/>
  <c r="L109" i="14" s="1"/>
  <c r="M21" i="14"/>
  <c r="M22" i="14" s="1"/>
  <c r="J67" i="14"/>
  <c r="J147" i="14" s="1"/>
  <c r="K105" i="7"/>
  <c r="G154" i="14" l="1"/>
  <c r="H151" i="14"/>
  <c r="I152" i="14" s="1"/>
  <c r="I155" i="14" s="1"/>
  <c r="I70" i="14"/>
  <c r="I73" i="14" s="1"/>
  <c r="I76" i="14" s="1"/>
  <c r="J115" i="14"/>
  <c r="J118" i="14" s="1"/>
  <c r="J121" i="14" s="1"/>
  <c r="J149" i="14"/>
  <c r="G127" i="14"/>
  <c r="G129" i="14" s="1"/>
  <c r="G134" i="14" s="1"/>
  <c r="I26" i="14"/>
  <c r="I29" i="14" s="1"/>
  <c r="I32" i="14" s="1"/>
  <c r="K23" i="14"/>
  <c r="K146" i="14" s="1"/>
  <c r="G82" i="14"/>
  <c r="G84" i="14" s="1"/>
  <c r="G89" i="14" s="1"/>
  <c r="J75" i="14"/>
  <c r="J68" i="14"/>
  <c r="J72" i="14"/>
  <c r="J69" i="14"/>
  <c r="J88" i="14"/>
  <c r="J168" i="14"/>
  <c r="L112" i="14"/>
  <c r="L169" i="14" s="1"/>
  <c r="G38" i="14"/>
  <c r="G40" i="14" s="1"/>
  <c r="I170" i="14"/>
  <c r="M110" i="14"/>
  <c r="M111" i="14" s="1"/>
  <c r="J25" i="14"/>
  <c r="J28" i="14"/>
  <c r="J24" i="14"/>
  <c r="J167" i="14"/>
  <c r="J31" i="14"/>
  <c r="J44" i="14"/>
  <c r="H176" i="14"/>
  <c r="H174" i="14"/>
  <c r="K114" i="14"/>
  <c r="K113" i="14"/>
  <c r="K120" i="14"/>
  <c r="K133" i="14"/>
  <c r="K148" i="14"/>
  <c r="K117" i="14"/>
  <c r="K67" i="14"/>
  <c r="K147" i="14" s="1"/>
  <c r="M20" i="14"/>
  <c r="L64" i="14"/>
  <c r="F5" i="7"/>
  <c r="F9" i="7"/>
  <c r="I153" i="14" l="1"/>
  <c r="I151" i="14" s="1"/>
  <c r="J70" i="14"/>
  <c r="J73" i="14" s="1"/>
  <c r="J76" i="14" s="1"/>
  <c r="K149" i="14"/>
  <c r="G45" i="14"/>
  <c r="G42" i="14"/>
  <c r="G46" i="14" s="1"/>
  <c r="J26" i="14"/>
  <c r="J29" i="14" s="1"/>
  <c r="J32" i="14" s="1"/>
  <c r="G131" i="14"/>
  <c r="G135" i="14" s="1"/>
  <c r="J170" i="14"/>
  <c r="H123" i="14"/>
  <c r="H124" i="14"/>
  <c r="G86" i="14"/>
  <c r="G87" i="14" s="1"/>
  <c r="K69" i="14"/>
  <c r="K75" i="14"/>
  <c r="K68" i="14"/>
  <c r="K72" i="14"/>
  <c r="K88" i="14"/>
  <c r="K168" i="14"/>
  <c r="N21" i="14"/>
  <c r="N22" i="14" s="1"/>
  <c r="N20" i="14" s="1"/>
  <c r="H177" i="14"/>
  <c r="G175" i="14"/>
  <c r="H172" i="14"/>
  <c r="M112" i="14"/>
  <c r="M169" i="14" s="1"/>
  <c r="L113" i="14"/>
  <c r="L120" i="14"/>
  <c r="L114" i="14"/>
  <c r="L148" i="14"/>
  <c r="L133" i="14"/>
  <c r="L117" i="14"/>
  <c r="M65" i="14"/>
  <c r="M66" i="14" s="1"/>
  <c r="K115" i="14"/>
  <c r="K118" i="14" s="1"/>
  <c r="K121" i="14" s="1"/>
  <c r="H34" i="14"/>
  <c r="H78" i="14"/>
  <c r="H79" i="14"/>
  <c r="H35" i="14"/>
  <c r="M109" i="14"/>
  <c r="K25" i="14"/>
  <c r="K31" i="14"/>
  <c r="K24" i="14"/>
  <c r="K44" i="14"/>
  <c r="K167" i="14"/>
  <c r="K28" i="14"/>
  <c r="M59" i="7"/>
  <c r="I105" i="7"/>
  <c r="M105" i="7"/>
  <c r="J105" i="7"/>
  <c r="M14" i="7"/>
  <c r="I156" i="14" l="1"/>
  <c r="H154" i="14"/>
  <c r="L115" i="14"/>
  <c r="L118" i="14" s="1"/>
  <c r="L121" i="14" s="1"/>
  <c r="K70" i="14"/>
  <c r="K73" i="14" s="1"/>
  <c r="K76" i="14" s="1"/>
  <c r="G90" i="14"/>
  <c r="G43" i="14"/>
  <c r="K26" i="14"/>
  <c r="K29" i="14" s="1"/>
  <c r="K32" i="14" s="1"/>
  <c r="G132" i="14"/>
  <c r="H126" i="14"/>
  <c r="H125" i="14"/>
  <c r="H128" i="14"/>
  <c r="H130" i="14"/>
  <c r="K170" i="14"/>
  <c r="O21" i="14"/>
  <c r="O22" i="14" s="1"/>
  <c r="O20" i="14" s="1"/>
  <c r="L67" i="14"/>
  <c r="L147" i="14" s="1"/>
  <c r="H85" i="14"/>
  <c r="H83" i="14"/>
  <c r="H80" i="14"/>
  <c r="H81" i="14"/>
  <c r="M64" i="14"/>
  <c r="M113" i="14"/>
  <c r="M114" i="14"/>
  <c r="M117" i="14"/>
  <c r="M148" i="14"/>
  <c r="M120" i="14"/>
  <c r="M133" i="14"/>
  <c r="H41" i="14"/>
  <c r="H39" i="14"/>
  <c r="N110" i="14"/>
  <c r="N111" i="14" s="1"/>
  <c r="N109" i="14" s="1"/>
  <c r="H36" i="14"/>
  <c r="H37" i="14"/>
  <c r="J152" i="14"/>
  <c r="I173" i="14"/>
  <c r="L23" i="14"/>
  <c r="L146" i="14" s="1"/>
  <c r="K14" i="7"/>
  <c r="L149" i="14" l="1"/>
  <c r="H127" i="14"/>
  <c r="H129" i="14" s="1"/>
  <c r="H38" i="14"/>
  <c r="H40" i="14" s="1"/>
  <c r="H45" i="14" s="1"/>
  <c r="P21" i="14"/>
  <c r="P22" i="14" s="1"/>
  <c r="L24" i="14"/>
  <c r="L31" i="14"/>
  <c r="L25" i="14"/>
  <c r="L167" i="14"/>
  <c r="L28" i="14"/>
  <c r="L44" i="14"/>
  <c r="J153" i="14"/>
  <c r="J155" i="14"/>
  <c r="N112" i="14"/>
  <c r="N169" i="14" s="1"/>
  <c r="N65" i="14"/>
  <c r="N66" i="14" s="1"/>
  <c r="O110" i="14"/>
  <c r="O111" i="14" s="1"/>
  <c r="O109" i="14" s="1"/>
  <c r="I176" i="14"/>
  <c r="I174" i="14"/>
  <c r="M115" i="14"/>
  <c r="M118" i="14" s="1"/>
  <c r="M121" i="14" s="1"/>
  <c r="H82" i="14"/>
  <c r="H84" i="14" s="1"/>
  <c r="H89" i="14" s="1"/>
  <c r="L69" i="14"/>
  <c r="L68" i="14"/>
  <c r="L75" i="14"/>
  <c r="L88" i="14"/>
  <c r="L168" i="14"/>
  <c r="L72" i="14"/>
  <c r="M23" i="14"/>
  <c r="M146" i="14" s="1"/>
  <c r="F101" i="7"/>
  <c r="F100" i="7"/>
  <c r="F98" i="7"/>
  <c r="G98" i="7"/>
  <c r="F99" i="7"/>
  <c r="G99" i="7"/>
  <c r="F55" i="7"/>
  <c r="F54" i="7"/>
  <c r="F52" i="7"/>
  <c r="G52" i="7"/>
  <c r="F53" i="7"/>
  <c r="G53" i="7"/>
  <c r="F10" i="7"/>
  <c r="G8" i="7"/>
  <c r="F8" i="7"/>
  <c r="G7" i="7"/>
  <c r="F7" i="7"/>
  <c r="H134" i="14" l="1"/>
  <c r="H131" i="14"/>
  <c r="I123" i="14"/>
  <c r="I124" i="14"/>
  <c r="L26" i="14"/>
  <c r="L29" i="14" s="1"/>
  <c r="L32" i="14" s="1"/>
  <c r="I177" i="14"/>
  <c r="H175" i="14"/>
  <c r="I172" i="14"/>
  <c r="P110" i="14"/>
  <c r="P111" i="14" s="1"/>
  <c r="H42" i="14"/>
  <c r="M67" i="14"/>
  <c r="M147" i="14" s="1"/>
  <c r="M149" i="14" s="1"/>
  <c r="J156" i="14"/>
  <c r="I154" i="14"/>
  <c r="J151" i="14"/>
  <c r="I34" i="14"/>
  <c r="I78" i="14"/>
  <c r="I35" i="14"/>
  <c r="I79" i="14"/>
  <c r="O112" i="14"/>
  <c r="O169" i="14" s="1"/>
  <c r="N114" i="14"/>
  <c r="N117" i="14"/>
  <c r="N113" i="14"/>
  <c r="N148" i="14"/>
  <c r="N133" i="14"/>
  <c r="N120" i="14"/>
  <c r="N23" i="14"/>
  <c r="N146" i="14" s="1"/>
  <c r="L70" i="14"/>
  <c r="L73" i="14" s="1"/>
  <c r="L76" i="14" s="1"/>
  <c r="M24" i="14"/>
  <c r="M25" i="14"/>
  <c r="M28" i="14"/>
  <c r="M44" i="14"/>
  <c r="M167" i="14"/>
  <c r="M31" i="14"/>
  <c r="H86" i="14"/>
  <c r="N64" i="14"/>
  <c r="L170" i="14"/>
  <c r="P20" i="14"/>
  <c r="J14" i="7"/>
  <c r="L14" i="7"/>
  <c r="N115" i="14" l="1"/>
  <c r="N118" i="14" s="1"/>
  <c r="N121" i="14" s="1"/>
  <c r="I130" i="14"/>
  <c r="I128" i="14"/>
  <c r="I125" i="14"/>
  <c r="I126" i="14"/>
  <c r="H132" i="14"/>
  <c r="H135" i="14"/>
  <c r="M26" i="14"/>
  <c r="M29" i="14" s="1"/>
  <c r="M32" i="14" s="1"/>
  <c r="I81" i="14"/>
  <c r="I80" i="14"/>
  <c r="H46" i="14"/>
  <c r="H43" i="14"/>
  <c r="I39" i="14"/>
  <c r="I41" i="14"/>
  <c r="J173" i="14"/>
  <c r="N25" i="14"/>
  <c r="N28" i="14"/>
  <c r="N24" i="14"/>
  <c r="N31" i="14"/>
  <c r="N167" i="14"/>
  <c r="N44" i="14"/>
  <c r="O114" i="14"/>
  <c r="O113" i="14"/>
  <c r="O120" i="14"/>
  <c r="O148" i="14"/>
  <c r="O133" i="14"/>
  <c r="O117" i="14"/>
  <c r="I36" i="14"/>
  <c r="I37" i="14"/>
  <c r="P112" i="14"/>
  <c r="P169" i="14" s="1"/>
  <c r="P170" i="14" s="1"/>
  <c r="H90" i="14"/>
  <c r="H87" i="14"/>
  <c r="O65" i="14"/>
  <c r="O66" i="14" s="1"/>
  <c r="O64" i="14" s="1"/>
  <c r="I85" i="14"/>
  <c r="I83" i="14"/>
  <c r="K152" i="14"/>
  <c r="M72" i="14"/>
  <c r="M69" i="14"/>
  <c r="M68" i="14"/>
  <c r="M168" i="14"/>
  <c r="M170" i="14" s="1"/>
  <c r="M88" i="14"/>
  <c r="M75" i="14"/>
  <c r="P109" i="14"/>
  <c r="G6" i="7"/>
  <c r="G5" i="7"/>
  <c r="Q26" i="7" s="1"/>
  <c r="F6" i="7"/>
  <c r="F12" i="7"/>
  <c r="H14" i="7"/>
  <c r="N14" i="7"/>
  <c r="O14" i="7"/>
  <c r="P14" i="7"/>
  <c r="I15" i="7"/>
  <c r="J15" i="7"/>
  <c r="K15" i="7"/>
  <c r="L15" i="7"/>
  <c r="M15" i="7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H27" i="7"/>
  <c r="I27" i="7"/>
  <c r="J27" i="7"/>
  <c r="K27" i="7"/>
  <c r="L27" i="7"/>
  <c r="M27" i="7"/>
  <c r="N27" i="7"/>
  <c r="O27" i="7"/>
  <c r="P27" i="7"/>
  <c r="F57" i="7"/>
  <c r="F56" i="7"/>
  <c r="G51" i="7"/>
  <c r="G50" i="7"/>
  <c r="Q71" i="7" s="1"/>
  <c r="F51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H62" i="7"/>
  <c r="I62" i="7"/>
  <c r="J62" i="7"/>
  <c r="K62" i="7"/>
  <c r="L62" i="7"/>
  <c r="M62" i="7"/>
  <c r="N62" i="7"/>
  <c r="O62" i="7"/>
  <c r="P62" i="7"/>
  <c r="G60" i="7"/>
  <c r="G61" i="7"/>
  <c r="G62" i="7"/>
  <c r="I59" i="7"/>
  <c r="J59" i="7"/>
  <c r="K59" i="7"/>
  <c r="L59" i="7"/>
  <c r="N59" i="7"/>
  <c r="O59" i="7"/>
  <c r="P59" i="7"/>
  <c r="G64" i="7"/>
  <c r="F65" i="7"/>
  <c r="H75" i="7"/>
  <c r="I75" i="7"/>
  <c r="J75" i="7"/>
  <c r="K75" i="7"/>
  <c r="L75" i="7"/>
  <c r="M75" i="7"/>
  <c r="N75" i="7"/>
  <c r="O75" i="7"/>
  <c r="P75" i="7"/>
  <c r="G75" i="7"/>
  <c r="H72" i="7"/>
  <c r="I72" i="7"/>
  <c r="J72" i="7"/>
  <c r="K72" i="7"/>
  <c r="L72" i="7"/>
  <c r="M72" i="7"/>
  <c r="N72" i="7"/>
  <c r="O72" i="7"/>
  <c r="P72" i="7"/>
  <c r="G72" i="7"/>
  <c r="H121" i="7"/>
  <c r="I121" i="7"/>
  <c r="J121" i="7"/>
  <c r="K121" i="7"/>
  <c r="L121" i="7"/>
  <c r="M121" i="7"/>
  <c r="N121" i="7"/>
  <c r="O121" i="7"/>
  <c r="P121" i="7"/>
  <c r="G121" i="7"/>
  <c r="H118" i="7"/>
  <c r="I118" i="7"/>
  <c r="J118" i="7"/>
  <c r="K118" i="7"/>
  <c r="L118" i="7"/>
  <c r="M118" i="7"/>
  <c r="N118" i="7"/>
  <c r="O118" i="7"/>
  <c r="P118" i="7"/>
  <c r="G118" i="7"/>
  <c r="G96" i="7"/>
  <c r="Q117" i="7" s="1"/>
  <c r="G97" i="7"/>
  <c r="F96" i="7"/>
  <c r="F97" i="7"/>
  <c r="F102" i="7"/>
  <c r="F103" i="7"/>
  <c r="L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H107" i="7"/>
  <c r="I107" i="7"/>
  <c r="J107" i="7"/>
  <c r="K107" i="7"/>
  <c r="L107" i="7"/>
  <c r="M107" i="7"/>
  <c r="N107" i="7"/>
  <c r="O107" i="7"/>
  <c r="P107" i="7"/>
  <c r="H108" i="7"/>
  <c r="I108" i="7"/>
  <c r="J108" i="7"/>
  <c r="K108" i="7"/>
  <c r="L108" i="7"/>
  <c r="M108" i="7"/>
  <c r="N108" i="7"/>
  <c r="O108" i="7"/>
  <c r="P108" i="7"/>
  <c r="G106" i="7"/>
  <c r="G107" i="7"/>
  <c r="G108" i="7"/>
  <c r="G110" i="7"/>
  <c r="F111" i="7"/>
  <c r="F154" i="7"/>
  <c r="F143" i="7"/>
  <c r="F144" i="7"/>
  <c r="F145" i="7"/>
  <c r="F146" i="7"/>
  <c r="P157" i="7"/>
  <c r="AI85" i="7"/>
  <c r="AH85" i="7"/>
  <c r="AG85" i="7"/>
  <c r="AF85" i="7"/>
  <c r="AA85" i="7"/>
  <c r="Z85" i="7"/>
  <c r="Y85" i="7"/>
  <c r="AI84" i="7"/>
  <c r="AH84" i="7"/>
  <c r="AG84" i="7"/>
  <c r="AF84" i="7"/>
  <c r="AA84" i="7"/>
  <c r="Z84" i="7"/>
  <c r="Y8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79" i="7"/>
  <c r="AH79" i="7"/>
  <c r="AG79" i="7"/>
  <c r="AF79" i="7"/>
  <c r="AA79" i="7"/>
  <c r="Z79" i="7"/>
  <c r="Y79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W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4" i="7"/>
  <c r="AH54" i="7"/>
  <c r="AG54" i="7"/>
  <c r="AF54" i="7"/>
  <c r="AA54" i="7"/>
  <c r="Z54" i="7"/>
  <c r="Y54" i="7"/>
  <c r="W54" i="7"/>
  <c r="AI51" i="7"/>
  <c r="AH51" i="7"/>
  <c r="AG51" i="7"/>
  <c r="AF51" i="7"/>
  <c r="AA51" i="7"/>
  <c r="Z51" i="7"/>
  <c r="Y51" i="7"/>
  <c r="W51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J124" i="7" l="1"/>
  <c r="G124" i="7"/>
  <c r="L124" i="7"/>
  <c r="P124" i="7"/>
  <c r="K124" i="7"/>
  <c r="N124" i="7"/>
  <c r="H124" i="7"/>
  <c r="I124" i="7"/>
  <c r="O124" i="7"/>
  <c r="M124" i="7"/>
  <c r="P37" i="7"/>
  <c r="P38" i="7"/>
  <c r="K78" i="7"/>
  <c r="O78" i="7"/>
  <c r="I78" i="7"/>
  <c r="L78" i="7"/>
  <c r="P78" i="7"/>
  <c r="M78" i="7"/>
  <c r="G78" i="7"/>
  <c r="J78" i="7"/>
  <c r="N78" i="7"/>
  <c r="H78" i="7"/>
  <c r="K33" i="7"/>
  <c r="O33" i="7"/>
  <c r="G33" i="7"/>
  <c r="L33" i="7"/>
  <c r="P33" i="7"/>
  <c r="H33" i="7"/>
  <c r="M33" i="7"/>
  <c r="I33" i="7"/>
  <c r="J33" i="7"/>
  <c r="N33" i="7"/>
  <c r="O115" i="14"/>
  <c r="O118" i="14" s="1"/>
  <c r="O121" i="14" s="1"/>
  <c r="P68" i="7"/>
  <c r="P171" i="7" s="1"/>
  <c r="P23" i="7"/>
  <c r="P149" i="7" s="1"/>
  <c r="I38" i="14"/>
  <c r="I40" i="14" s="1"/>
  <c r="I45" i="14" s="1"/>
  <c r="I127" i="14"/>
  <c r="I129" i="14" s="1"/>
  <c r="I134" i="14" s="1"/>
  <c r="M70" i="14"/>
  <c r="M73" i="14" s="1"/>
  <c r="M76" i="14" s="1"/>
  <c r="N67" i="14"/>
  <c r="N147" i="14" s="1"/>
  <c r="N149" i="14" s="1"/>
  <c r="K155" i="14"/>
  <c r="K153" i="14"/>
  <c r="N26" i="14"/>
  <c r="N29" i="14" s="1"/>
  <c r="N32" i="14" s="1"/>
  <c r="I82" i="14"/>
  <c r="I84" i="14" s="1"/>
  <c r="P65" i="14"/>
  <c r="P66" i="14" s="1"/>
  <c r="P113" i="14"/>
  <c r="P120" i="14"/>
  <c r="P114" i="14"/>
  <c r="P117" i="14"/>
  <c r="P148" i="14"/>
  <c r="P149" i="14" s="1"/>
  <c r="P133" i="14"/>
  <c r="J176" i="14"/>
  <c r="J174" i="14"/>
  <c r="O63" i="7"/>
  <c r="K63" i="7"/>
  <c r="G63" i="7"/>
  <c r="G66" i="7" s="1"/>
  <c r="G67" i="7" s="1"/>
  <c r="L18" i="7"/>
  <c r="N63" i="7"/>
  <c r="P109" i="7"/>
  <c r="M109" i="7"/>
  <c r="G109" i="7"/>
  <c r="G112" i="7" s="1"/>
  <c r="L109" i="7"/>
  <c r="I63" i="7"/>
  <c r="H63" i="7"/>
  <c r="P63" i="7"/>
  <c r="L63" i="7"/>
  <c r="M63" i="7"/>
  <c r="J63" i="7"/>
  <c r="P18" i="7"/>
  <c r="H18" i="7"/>
  <c r="N18" i="7"/>
  <c r="G18" i="7"/>
  <c r="I18" i="7"/>
  <c r="I109" i="7"/>
  <c r="M18" i="7"/>
  <c r="H109" i="7"/>
  <c r="J18" i="7"/>
  <c r="K18" i="7"/>
  <c r="O18" i="7"/>
  <c r="J109" i="7"/>
  <c r="N109" i="7"/>
  <c r="K109" i="7"/>
  <c r="O109" i="7"/>
  <c r="G21" i="7" l="1"/>
  <c r="G22" i="7" s="1"/>
  <c r="P45" i="7"/>
  <c r="P39" i="7"/>
  <c r="P25" i="7"/>
  <c r="P170" i="7"/>
  <c r="P31" i="7"/>
  <c r="P150" i="7"/>
  <c r="P28" i="7"/>
  <c r="P24" i="7"/>
  <c r="P70" i="7"/>
  <c r="P69" i="7"/>
  <c r="P76" i="7"/>
  <c r="P90" i="7"/>
  <c r="P73" i="7"/>
  <c r="I131" i="14"/>
  <c r="I135" i="14" s="1"/>
  <c r="I42" i="14"/>
  <c r="I43" i="14" s="1"/>
  <c r="J123" i="14"/>
  <c r="J124" i="14"/>
  <c r="I89" i="14"/>
  <c r="I86" i="14"/>
  <c r="J154" i="14"/>
  <c r="K156" i="14"/>
  <c r="K151" i="14"/>
  <c r="O67" i="14"/>
  <c r="O147" i="14" s="1"/>
  <c r="O149" i="14" s="1"/>
  <c r="N75" i="14"/>
  <c r="N68" i="14"/>
  <c r="N72" i="14"/>
  <c r="N69" i="14"/>
  <c r="N168" i="14"/>
  <c r="N170" i="14" s="1"/>
  <c r="N88" i="14"/>
  <c r="J34" i="14"/>
  <c r="J78" i="14"/>
  <c r="J35" i="14"/>
  <c r="J79" i="14"/>
  <c r="I175" i="14"/>
  <c r="J177" i="14"/>
  <c r="J172" i="14"/>
  <c r="P115" i="14"/>
  <c r="P118" i="14" s="1"/>
  <c r="P121" i="14" s="1"/>
  <c r="P64" i="14"/>
  <c r="G113" i="7"/>
  <c r="G114" i="7" s="1"/>
  <c r="G172" i="7" s="1"/>
  <c r="G65" i="7"/>
  <c r="I46" i="14" l="1"/>
  <c r="P26" i="7"/>
  <c r="P29" i="7" s="1"/>
  <c r="P32" i="7" s="1"/>
  <c r="I132" i="14"/>
  <c r="P71" i="7"/>
  <c r="J128" i="14"/>
  <c r="J130" i="14"/>
  <c r="J126" i="14"/>
  <c r="J125" i="14"/>
  <c r="N70" i="14"/>
  <c r="N73" i="14" s="1"/>
  <c r="N76" i="14" s="1"/>
  <c r="J81" i="14"/>
  <c r="J80" i="14"/>
  <c r="L152" i="14"/>
  <c r="J37" i="14"/>
  <c r="J36" i="14"/>
  <c r="O69" i="14"/>
  <c r="O75" i="14"/>
  <c r="O68" i="14"/>
  <c r="O168" i="14"/>
  <c r="O170" i="14" s="1"/>
  <c r="O72" i="14"/>
  <c r="O88" i="14"/>
  <c r="J85" i="14"/>
  <c r="J83" i="14"/>
  <c r="I90" i="14"/>
  <c r="I87" i="14"/>
  <c r="I182" i="14"/>
  <c r="K173" i="14"/>
  <c r="J41" i="14"/>
  <c r="J39" i="14"/>
  <c r="G111" i="7"/>
  <c r="H66" i="7"/>
  <c r="H67" i="7" s="1"/>
  <c r="G68" i="7" s="1"/>
  <c r="P74" i="7" l="1"/>
  <c r="P77" i="7" s="1"/>
  <c r="J127" i="14"/>
  <c r="J129" i="14" s="1"/>
  <c r="J134" i="14" s="1"/>
  <c r="J82" i="14"/>
  <c r="J84" i="14" s="1"/>
  <c r="O70" i="14"/>
  <c r="O73" i="14" s="1"/>
  <c r="O76" i="14" s="1"/>
  <c r="K176" i="14"/>
  <c r="K174" i="14"/>
  <c r="J38" i="14"/>
  <c r="J40" i="14" s="1"/>
  <c r="L155" i="14"/>
  <c r="L153" i="14"/>
  <c r="H112" i="7"/>
  <c r="H113" i="7" s="1"/>
  <c r="H114" i="7" s="1"/>
  <c r="G151" i="7"/>
  <c r="G116" i="7"/>
  <c r="G136" i="7"/>
  <c r="G115" i="7"/>
  <c r="G119" i="7"/>
  <c r="G122" i="7"/>
  <c r="G150" i="7"/>
  <c r="H65" i="7"/>
  <c r="I66" i="7" s="1"/>
  <c r="I67" i="7" s="1"/>
  <c r="H68" i="7" s="1"/>
  <c r="K123" i="14" l="1"/>
  <c r="K124" i="14"/>
  <c r="J131" i="14"/>
  <c r="J89" i="14"/>
  <c r="J86" i="14"/>
  <c r="J87" i="14" s="1"/>
  <c r="J45" i="14"/>
  <c r="J42" i="14"/>
  <c r="K34" i="14"/>
  <c r="K78" i="14"/>
  <c r="K35" i="14"/>
  <c r="K79" i="14"/>
  <c r="K177" i="14"/>
  <c r="J175" i="14"/>
  <c r="K172" i="14"/>
  <c r="K154" i="14"/>
  <c r="L156" i="14"/>
  <c r="L151" i="14"/>
  <c r="G117" i="7"/>
  <c r="G120" i="7" s="1"/>
  <c r="G123" i="7" s="1"/>
  <c r="H172" i="7"/>
  <c r="H111" i="7"/>
  <c r="I112" i="7" s="1"/>
  <c r="I113" i="7" s="1"/>
  <c r="G171" i="7"/>
  <c r="G69" i="7"/>
  <c r="G73" i="7"/>
  <c r="G90" i="7"/>
  <c r="G76" i="7"/>
  <c r="G70" i="7"/>
  <c r="I65" i="7"/>
  <c r="J66" i="7" s="1"/>
  <c r="G71" i="7" l="1"/>
  <c r="G74" i="7" s="1"/>
  <c r="G77" i="7" s="1"/>
  <c r="J90" i="14"/>
  <c r="J135" i="14"/>
  <c r="J132" i="14"/>
  <c r="K128" i="14"/>
  <c r="K130" i="14"/>
  <c r="K125" i="14"/>
  <c r="K126" i="14"/>
  <c r="K85" i="14"/>
  <c r="K83" i="14"/>
  <c r="K41" i="14"/>
  <c r="K39" i="14"/>
  <c r="K81" i="14"/>
  <c r="K80" i="14"/>
  <c r="J46" i="14"/>
  <c r="J43" i="14"/>
  <c r="L173" i="14"/>
  <c r="M152" i="14"/>
  <c r="K37" i="14"/>
  <c r="K36" i="14"/>
  <c r="H76" i="7"/>
  <c r="H150" i="7"/>
  <c r="I111" i="7"/>
  <c r="J112" i="7" s="1"/>
  <c r="J113" i="7" s="1"/>
  <c r="I114" i="7" s="1"/>
  <c r="H151" i="7"/>
  <c r="H122" i="7"/>
  <c r="H116" i="7"/>
  <c r="H119" i="7"/>
  <c r="H115" i="7"/>
  <c r="H136" i="7"/>
  <c r="J67" i="7"/>
  <c r="H90" i="7"/>
  <c r="H73" i="7"/>
  <c r="H171" i="7"/>
  <c r="H70" i="7"/>
  <c r="H69" i="7"/>
  <c r="I172" i="7" l="1"/>
  <c r="I116" i="7"/>
  <c r="I119" i="7"/>
  <c r="J65" i="7"/>
  <c r="K66" i="7" s="1"/>
  <c r="K67" i="7" s="1"/>
  <c r="J68" i="7" s="1"/>
  <c r="J150" i="7" s="1"/>
  <c r="I68" i="7"/>
  <c r="I150" i="7" s="1"/>
  <c r="I136" i="7"/>
  <c r="I151" i="7"/>
  <c r="I122" i="7"/>
  <c r="I115" i="7"/>
  <c r="H71" i="7"/>
  <c r="H74" i="7" s="1"/>
  <c r="H77" i="7" s="1"/>
  <c r="K127" i="14"/>
  <c r="K129" i="14" s="1"/>
  <c r="K134" i="14" s="1"/>
  <c r="M153" i="14"/>
  <c r="M155" i="14"/>
  <c r="K38" i="14"/>
  <c r="K40" i="14" s="1"/>
  <c r="L174" i="14"/>
  <c r="L176" i="14"/>
  <c r="K82" i="14"/>
  <c r="K84" i="14" s="1"/>
  <c r="H117" i="7"/>
  <c r="H120" i="7" s="1"/>
  <c r="H123" i="7" s="1"/>
  <c r="J111" i="7"/>
  <c r="K112" i="7" s="1"/>
  <c r="K113" i="7" s="1"/>
  <c r="I117" i="7" l="1"/>
  <c r="I120" i="7" s="1"/>
  <c r="I123" i="7" s="1"/>
  <c r="J114" i="7"/>
  <c r="J122" i="7" s="1"/>
  <c r="K65" i="7"/>
  <c r="L66" i="7" s="1"/>
  <c r="L67" i="7" s="1"/>
  <c r="K68" i="7" s="1"/>
  <c r="K131" i="14"/>
  <c r="K132" i="14" s="1"/>
  <c r="L123" i="14"/>
  <c r="L124" i="14"/>
  <c r="K89" i="14"/>
  <c r="K86" i="14"/>
  <c r="K45" i="14"/>
  <c r="K42" i="14"/>
  <c r="M156" i="14"/>
  <c r="L154" i="14"/>
  <c r="M151" i="14"/>
  <c r="L177" i="14"/>
  <c r="K175" i="14"/>
  <c r="L172" i="14"/>
  <c r="L34" i="14"/>
  <c r="L78" i="14"/>
  <c r="L35" i="14"/>
  <c r="L79" i="14"/>
  <c r="I76" i="7"/>
  <c r="I73" i="7"/>
  <c r="I69" i="7"/>
  <c r="I171" i="7"/>
  <c r="I90" i="7"/>
  <c r="I70" i="7"/>
  <c r="J69" i="7"/>
  <c r="J171" i="7"/>
  <c r="J76" i="7"/>
  <c r="J70" i="7"/>
  <c r="J73" i="7"/>
  <c r="J90" i="7"/>
  <c r="K111" i="7"/>
  <c r="J151" i="7" l="1"/>
  <c r="J115" i="7"/>
  <c r="J116" i="7"/>
  <c r="J172" i="7"/>
  <c r="J119" i="7"/>
  <c r="J136" i="7"/>
  <c r="K135" i="14"/>
  <c r="L130" i="14"/>
  <c r="L128" i="14"/>
  <c r="L125" i="14"/>
  <c r="L126" i="14"/>
  <c r="K46" i="14"/>
  <c r="K43" i="14"/>
  <c r="L36" i="14"/>
  <c r="L37" i="14"/>
  <c r="N152" i="14"/>
  <c r="L85" i="14"/>
  <c r="L83" i="14"/>
  <c r="M173" i="14"/>
  <c r="K90" i="14"/>
  <c r="K87" i="14"/>
  <c r="L80" i="14"/>
  <c r="L81" i="14"/>
  <c r="L41" i="14"/>
  <c r="L39" i="14"/>
  <c r="J71" i="7"/>
  <c r="J74" i="7" s="1"/>
  <c r="J77" i="7" s="1"/>
  <c r="I71" i="7"/>
  <c r="I74" i="7" s="1"/>
  <c r="I77" i="7" s="1"/>
  <c r="L112" i="7"/>
  <c r="L113" i="7" s="1"/>
  <c r="K150" i="7"/>
  <c r="L65" i="7"/>
  <c r="M66" i="7" s="1"/>
  <c r="M67" i="7" s="1"/>
  <c r="L68" i="7" s="1"/>
  <c r="J117" i="7" l="1"/>
  <c r="J120" i="7" s="1"/>
  <c r="J123" i="7" s="1"/>
  <c r="K114" i="7"/>
  <c r="K151" i="7" s="1"/>
  <c r="L38" i="14"/>
  <c r="L40" i="14" s="1"/>
  <c r="L45" i="14" s="1"/>
  <c r="L127" i="14"/>
  <c r="L129" i="14" s="1"/>
  <c r="L134" i="14" s="1"/>
  <c r="L82" i="14"/>
  <c r="L84" i="14" s="1"/>
  <c r="L89" i="14" s="1"/>
  <c r="M176" i="14"/>
  <c r="M174" i="14"/>
  <c r="N155" i="14"/>
  <c r="N153" i="14"/>
  <c r="L111" i="7"/>
  <c r="K73" i="7"/>
  <c r="K171" i="7"/>
  <c r="K70" i="7"/>
  <c r="K69" i="7"/>
  <c r="K90" i="7"/>
  <c r="K76" i="7"/>
  <c r="K115" i="7" l="1"/>
  <c r="K136" i="7"/>
  <c r="K119" i="7"/>
  <c r="K122" i="7"/>
  <c r="K172" i="7"/>
  <c r="K116" i="7"/>
  <c r="L131" i="14"/>
  <c r="L135" i="14" s="1"/>
  <c r="M123" i="14"/>
  <c r="M124" i="14"/>
  <c r="M78" i="14"/>
  <c r="M34" i="14"/>
  <c r="M35" i="14"/>
  <c r="M79" i="14"/>
  <c r="N156" i="14"/>
  <c r="M154" i="14"/>
  <c r="N151" i="14"/>
  <c r="L42" i="14"/>
  <c r="M177" i="14"/>
  <c r="L175" i="14"/>
  <c r="M172" i="14"/>
  <c r="L86" i="14"/>
  <c r="K71" i="7"/>
  <c r="K74" i="7" s="1"/>
  <c r="K77" i="7" s="1"/>
  <c r="M112" i="7"/>
  <c r="M113" i="7" s="1"/>
  <c r="L150" i="7"/>
  <c r="M65" i="7"/>
  <c r="K117" i="7" l="1"/>
  <c r="K120" i="7" s="1"/>
  <c r="K123" i="7" s="1"/>
  <c r="L114" i="7"/>
  <c r="L151" i="7" s="1"/>
  <c r="L132" i="14"/>
  <c r="M130" i="14"/>
  <c r="M128" i="14"/>
  <c r="M126" i="14"/>
  <c r="M125" i="14"/>
  <c r="M81" i="14"/>
  <c r="M80" i="14"/>
  <c r="L46" i="14"/>
  <c r="L43" i="14"/>
  <c r="M85" i="14"/>
  <c r="M83" i="14"/>
  <c r="L90" i="14"/>
  <c r="L87" i="14"/>
  <c r="M36" i="14"/>
  <c r="M37" i="14"/>
  <c r="N173" i="14"/>
  <c r="O152" i="14"/>
  <c r="M39" i="14"/>
  <c r="M41" i="14"/>
  <c r="M111" i="7"/>
  <c r="N112" i="7" s="1"/>
  <c r="N113" i="7" s="1"/>
  <c r="N66" i="7"/>
  <c r="N67" i="7" s="1"/>
  <c r="M68" i="7" s="1"/>
  <c r="L73" i="7"/>
  <c r="L171" i="7"/>
  <c r="L69" i="7"/>
  <c r="L90" i="7"/>
  <c r="L70" i="7"/>
  <c r="L76" i="7"/>
  <c r="L172" i="7" l="1"/>
  <c r="L116" i="7"/>
  <c r="L119" i="7"/>
  <c r="L115" i="7"/>
  <c r="L136" i="7"/>
  <c r="L122" i="7"/>
  <c r="M114" i="7"/>
  <c r="M172" i="7" s="1"/>
  <c r="L71" i="7"/>
  <c r="L74" i="7" s="1"/>
  <c r="L77" i="7" s="1"/>
  <c r="M127" i="14"/>
  <c r="M129" i="14" s="1"/>
  <c r="M134" i="14" s="1"/>
  <c r="M82" i="14"/>
  <c r="M84" i="14" s="1"/>
  <c r="N176" i="14"/>
  <c r="N174" i="14"/>
  <c r="M38" i="14"/>
  <c r="M40" i="14" s="1"/>
  <c r="M45" i="14" s="1"/>
  <c r="O155" i="14"/>
  <c r="O153" i="14"/>
  <c r="N111" i="7"/>
  <c r="M150" i="7"/>
  <c r="N65" i="7"/>
  <c r="O66" i="7" s="1"/>
  <c r="O67" i="7" s="1"/>
  <c r="N68" i="7" s="1"/>
  <c r="M122" i="7" l="1"/>
  <c r="M151" i="7"/>
  <c r="M115" i="7"/>
  <c r="M119" i="7"/>
  <c r="M136" i="7"/>
  <c r="M116" i="7"/>
  <c r="L117" i="7"/>
  <c r="L120" i="7" s="1"/>
  <c r="L123" i="7" s="1"/>
  <c r="M131" i="14"/>
  <c r="M135" i="14" s="1"/>
  <c r="N123" i="14"/>
  <c r="N124" i="14"/>
  <c r="M89" i="14"/>
  <c r="M86" i="14"/>
  <c r="M42" i="14"/>
  <c r="O156" i="14"/>
  <c r="N154" i="14"/>
  <c r="O151" i="14"/>
  <c r="M175" i="14"/>
  <c r="N177" i="14"/>
  <c r="N172" i="14"/>
  <c r="N34" i="14"/>
  <c r="N78" i="14"/>
  <c r="N35" i="14"/>
  <c r="N79" i="14"/>
  <c r="M69" i="7"/>
  <c r="M90" i="7"/>
  <c r="M76" i="7"/>
  <c r="O112" i="7"/>
  <c r="O113" i="7" s="1"/>
  <c r="M73" i="7"/>
  <c r="M70" i="7"/>
  <c r="M171" i="7"/>
  <c r="N150" i="7"/>
  <c r="O65" i="7"/>
  <c r="P66" i="7" s="1"/>
  <c r="P67" i="7" s="1"/>
  <c r="O68" i="7" s="1"/>
  <c r="M117" i="7" l="1"/>
  <c r="M120" i="7" s="1"/>
  <c r="M123" i="7" s="1"/>
  <c r="N114" i="7"/>
  <c r="N151" i="7" s="1"/>
  <c r="M71" i="7"/>
  <c r="M74" i="7" s="1"/>
  <c r="M77" i="7" s="1"/>
  <c r="M132" i="14"/>
  <c r="N130" i="14"/>
  <c r="N128" i="14"/>
  <c r="N126" i="14"/>
  <c r="N125" i="14"/>
  <c r="N41" i="14"/>
  <c r="N39" i="14"/>
  <c r="M46" i="14"/>
  <c r="M43" i="14"/>
  <c r="N81" i="14"/>
  <c r="N80" i="14"/>
  <c r="P152" i="14"/>
  <c r="M90" i="14"/>
  <c r="M87" i="14"/>
  <c r="N85" i="14"/>
  <c r="N83" i="14"/>
  <c r="N37" i="14"/>
  <c r="N36" i="14"/>
  <c r="O173" i="14"/>
  <c r="O111" i="7"/>
  <c r="N76" i="7"/>
  <c r="N171" i="7"/>
  <c r="N69" i="7"/>
  <c r="N70" i="7"/>
  <c r="N90" i="7"/>
  <c r="N73" i="7"/>
  <c r="N172" i="7" l="1"/>
  <c r="N116" i="7"/>
  <c r="N115" i="7"/>
  <c r="N122" i="7"/>
  <c r="N136" i="7"/>
  <c r="N119" i="7"/>
  <c r="N127" i="14"/>
  <c r="N129" i="14" s="1"/>
  <c r="N134" i="14" s="1"/>
  <c r="N38" i="14"/>
  <c r="N40" i="14" s="1"/>
  <c r="P155" i="14"/>
  <c r="P153" i="14"/>
  <c r="O176" i="14"/>
  <c r="O174" i="14"/>
  <c r="N82" i="14"/>
  <c r="N84" i="14" s="1"/>
  <c r="N89" i="14" s="1"/>
  <c r="N71" i="7"/>
  <c r="P112" i="7"/>
  <c r="P113" i="7" s="1"/>
  <c r="O150" i="7"/>
  <c r="P65" i="7"/>
  <c r="N117" i="7" l="1"/>
  <c r="N120" i="7" s="1"/>
  <c r="N123" i="7" s="1"/>
  <c r="P114" i="7"/>
  <c r="P172" i="7" s="1"/>
  <c r="P173" i="7" s="1"/>
  <c r="O114" i="7"/>
  <c r="O151" i="7" s="1"/>
  <c r="N74" i="7"/>
  <c r="N77" i="7" s="1"/>
  <c r="O123" i="14"/>
  <c r="O124" i="14"/>
  <c r="N131" i="14"/>
  <c r="N45" i="14"/>
  <c r="N42" i="14"/>
  <c r="N86" i="14"/>
  <c r="P156" i="14"/>
  <c r="O154" i="14"/>
  <c r="P151" i="14"/>
  <c r="O34" i="14"/>
  <c r="O35" i="14"/>
  <c r="O78" i="14"/>
  <c r="O79" i="14"/>
  <c r="O177" i="14"/>
  <c r="N175" i="14"/>
  <c r="O172" i="14"/>
  <c r="P111" i="7"/>
  <c r="O69" i="7"/>
  <c r="O171" i="7"/>
  <c r="O70" i="7"/>
  <c r="O76" i="7"/>
  <c r="O90" i="7"/>
  <c r="O73" i="7"/>
  <c r="O172" i="7" l="1"/>
  <c r="O115" i="7"/>
  <c r="O122" i="7"/>
  <c r="O136" i="7"/>
  <c r="O116" i="7"/>
  <c r="O119" i="7"/>
  <c r="O125" i="14"/>
  <c r="O126" i="14"/>
  <c r="N135" i="14"/>
  <c r="N132" i="14"/>
  <c r="O130" i="14"/>
  <c r="O128" i="14"/>
  <c r="P173" i="14"/>
  <c r="O81" i="14"/>
  <c r="O80" i="14"/>
  <c r="O85" i="14"/>
  <c r="O83" i="14"/>
  <c r="O41" i="14"/>
  <c r="O39" i="14"/>
  <c r="N46" i="14"/>
  <c r="N43" i="14"/>
  <c r="O37" i="14"/>
  <c r="O36" i="14"/>
  <c r="N90" i="14"/>
  <c r="N87" i="14"/>
  <c r="O71" i="7"/>
  <c r="P151" i="7"/>
  <c r="P152" i="7" s="1"/>
  <c r="P116" i="7"/>
  <c r="P115" i="7"/>
  <c r="P136" i="7"/>
  <c r="P122" i="7"/>
  <c r="P119" i="7"/>
  <c r="O117" i="7" l="1"/>
  <c r="O120" i="7" s="1"/>
  <c r="O123" i="7" s="1"/>
  <c r="O74" i="7"/>
  <c r="O77" i="7" s="1"/>
  <c r="O127" i="14"/>
  <c r="O129" i="14" s="1"/>
  <c r="O82" i="14"/>
  <c r="O84" i="14" s="1"/>
  <c r="O89" i="14" s="1"/>
  <c r="O38" i="14"/>
  <c r="O40" i="14" s="1"/>
  <c r="P174" i="14"/>
  <c r="P176" i="14"/>
  <c r="P117" i="7"/>
  <c r="P120" i="7" l="1"/>
  <c r="P123" i="7" s="1"/>
  <c r="O134" i="14"/>
  <c r="O131" i="14"/>
  <c r="P123" i="14"/>
  <c r="P124" i="14"/>
  <c r="O45" i="14"/>
  <c r="O42" i="14"/>
  <c r="O86" i="14"/>
  <c r="P78" i="14"/>
  <c r="P79" i="14"/>
  <c r="P34" i="14"/>
  <c r="P177" i="14"/>
  <c r="O175" i="14"/>
  <c r="P172" i="14"/>
  <c r="G20" i="7"/>
  <c r="P128" i="14" l="1"/>
  <c r="P130" i="14"/>
  <c r="P125" i="14"/>
  <c r="P126" i="14"/>
  <c r="O135" i="14"/>
  <c r="O132" i="14"/>
  <c r="P36" i="14"/>
  <c r="P37" i="14"/>
  <c r="O90" i="14"/>
  <c r="O87" i="14"/>
  <c r="P85" i="14"/>
  <c r="P83" i="14"/>
  <c r="O46" i="14"/>
  <c r="O43" i="14"/>
  <c r="P80" i="14"/>
  <c r="P81" i="14"/>
  <c r="H21" i="7"/>
  <c r="H22" i="7" s="1"/>
  <c r="H20" i="7" s="1"/>
  <c r="P127" i="14" l="1"/>
  <c r="P129" i="14" s="1"/>
  <c r="P82" i="14"/>
  <c r="P84" i="14" s="1"/>
  <c r="P89" i="14" s="1"/>
  <c r="P38" i="14"/>
  <c r="P40" i="14" s="1"/>
  <c r="P42" i="14" s="1"/>
  <c r="I21" i="7"/>
  <c r="I22" i="7" s="1"/>
  <c r="G23" i="7" l="1"/>
  <c r="G31" i="7" s="1"/>
  <c r="P45" i="14"/>
  <c r="P134" i="14"/>
  <c r="P131" i="14"/>
  <c r="P86" i="14"/>
  <c r="P87" i="14" s="1"/>
  <c r="P46" i="14"/>
  <c r="P43" i="14"/>
  <c r="I20" i="7"/>
  <c r="G170" i="7" l="1"/>
  <c r="G173" i="7" s="1"/>
  <c r="G176" i="7" s="1"/>
  <c r="G177" i="7" s="1"/>
  <c r="G180" i="7" s="1"/>
  <c r="G149" i="7"/>
  <c r="G152" i="7" s="1"/>
  <c r="G155" i="7" s="1"/>
  <c r="G156" i="7" s="1"/>
  <c r="G25" i="7"/>
  <c r="G28" i="7"/>
  <c r="G45" i="7"/>
  <c r="G24" i="7"/>
  <c r="P90" i="14"/>
  <c r="P135" i="14"/>
  <c r="P132" i="14"/>
  <c r="J21" i="7"/>
  <c r="J22" i="7" s="1"/>
  <c r="H23" i="7" s="1"/>
  <c r="G26" i="7" l="1"/>
  <c r="G29" i="7" s="1"/>
  <c r="G32" i="7" s="1"/>
  <c r="G179" i="7"/>
  <c r="G175" i="7"/>
  <c r="G158" i="7"/>
  <c r="H170" i="7"/>
  <c r="H173" i="7" s="1"/>
  <c r="G159" i="7"/>
  <c r="G154" i="7"/>
  <c r="H24" i="7"/>
  <c r="H149" i="7"/>
  <c r="H152" i="7" s="1"/>
  <c r="H28" i="7"/>
  <c r="H25" i="7"/>
  <c r="H31" i="7"/>
  <c r="H45" i="7"/>
  <c r="J20" i="7"/>
  <c r="G34" i="7" l="1"/>
  <c r="G126" i="7"/>
  <c r="G79" i="7"/>
  <c r="G81" i="7"/>
  <c r="G83" i="7" s="1"/>
  <c r="G36" i="7"/>
  <c r="G37" i="7" s="1"/>
  <c r="G127" i="7"/>
  <c r="G129" i="7" s="1"/>
  <c r="G125" i="7"/>
  <c r="H176" i="7"/>
  <c r="H177" i="7" s="1"/>
  <c r="G35" i="7"/>
  <c r="G80" i="7"/>
  <c r="H26" i="7"/>
  <c r="H29" i="7" s="1"/>
  <c r="H32" i="7" s="1"/>
  <c r="K21" i="7"/>
  <c r="K22" i="7" s="1"/>
  <c r="I23" i="7" s="1"/>
  <c r="H155" i="7"/>
  <c r="G85" i="7" l="1"/>
  <c r="G87" i="7"/>
  <c r="G38" i="7"/>
  <c r="G39" i="7" s="1"/>
  <c r="G42" i="7"/>
  <c r="G40" i="7"/>
  <c r="G82" i="7"/>
  <c r="G84" i="7" s="1"/>
  <c r="G133" i="7"/>
  <c r="H179" i="7"/>
  <c r="G128" i="7"/>
  <c r="G130" i="7" s="1"/>
  <c r="G131" i="7"/>
  <c r="I170" i="7"/>
  <c r="I173" i="7" s="1"/>
  <c r="H175" i="7"/>
  <c r="G178" i="7"/>
  <c r="H180" i="7"/>
  <c r="K20" i="7"/>
  <c r="I149" i="7"/>
  <c r="I152" i="7" s="1"/>
  <c r="I25" i="7"/>
  <c r="I28" i="7"/>
  <c r="I24" i="7"/>
  <c r="I31" i="7"/>
  <c r="I45" i="7"/>
  <c r="H156" i="7"/>
  <c r="H158" i="7"/>
  <c r="H126" i="7" l="1"/>
  <c r="G86" i="7"/>
  <c r="G88" i="7" s="1"/>
  <c r="G89" i="7" s="1"/>
  <c r="G41" i="7"/>
  <c r="G46" i="7" s="1"/>
  <c r="G132" i="7"/>
  <c r="G137" i="7" s="1"/>
  <c r="H35" i="7"/>
  <c r="H80" i="7"/>
  <c r="H127" i="7"/>
  <c r="H81" i="7"/>
  <c r="H36" i="7"/>
  <c r="G91" i="7"/>
  <c r="I176" i="7"/>
  <c r="H125" i="7"/>
  <c r="H34" i="7"/>
  <c r="H79" i="7"/>
  <c r="L21" i="7"/>
  <c r="L22" i="7" s="1"/>
  <c r="J23" i="7" s="1"/>
  <c r="I26" i="7"/>
  <c r="I29" i="7" s="1"/>
  <c r="I32" i="7" s="1"/>
  <c r="G157" i="7"/>
  <c r="H159" i="7"/>
  <c r="H154" i="7"/>
  <c r="G134" i="7" l="1"/>
  <c r="G135" i="7" s="1"/>
  <c r="G43" i="7"/>
  <c r="G47" i="7" s="1"/>
  <c r="H128" i="7"/>
  <c r="H129" i="7"/>
  <c r="H83" i="7"/>
  <c r="H82" i="7"/>
  <c r="H37" i="7"/>
  <c r="H38" i="7"/>
  <c r="J170" i="7"/>
  <c r="J173" i="7" s="1"/>
  <c r="G44" i="7"/>
  <c r="G92" i="7"/>
  <c r="I179" i="7"/>
  <c r="I177" i="7"/>
  <c r="L20" i="7"/>
  <c r="J149" i="7"/>
  <c r="J152" i="7" s="1"/>
  <c r="J45" i="7"/>
  <c r="J24" i="7"/>
  <c r="J25" i="7"/>
  <c r="J31" i="7"/>
  <c r="J28" i="7"/>
  <c r="H85" i="7"/>
  <c r="H87" i="7"/>
  <c r="H42" i="7"/>
  <c r="H40" i="7"/>
  <c r="G138" i="7"/>
  <c r="I155" i="7"/>
  <c r="H131" i="7"/>
  <c r="H133" i="7"/>
  <c r="H84" i="7" l="1"/>
  <c r="H86" i="7" s="1"/>
  <c r="H39" i="7"/>
  <c r="H41" i="7" s="1"/>
  <c r="H130" i="7"/>
  <c r="H132" i="7" s="1"/>
  <c r="H137" i="7" s="1"/>
  <c r="H178" i="7"/>
  <c r="I180" i="7"/>
  <c r="I175" i="7"/>
  <c r="M21" i="7"/>
  <c r="M22" i="7" s="1"/>
  <c r="K23" i="7" s="1"/>
  <c r="I158" i="7"/>
  <c r="I126" i="7" s="1"/>
  <c r="I156" i="7"/>
  <c r="J26" i="7"/>
  <c r="J29" i="7" s="1"/>
  <c r="J32" i="7" s="1"/>
  <c r="I35" i="7" l="1"/>
  <c r="I80" i="7"/>
  <c r="I36" i="7"/>
  <c r="I81" i="7"/>
  <c r="I127" i="7"/>
  <c r="K170" i="7"/>
  <c r="K173" i="7" s="1"/>
  <c r="J176" i="7"/>
  <c r="H134" i="7"/>
  <c r="H138" i="7" s="1"/>
  <c r="H91" i="7"/>
  <c r="H88" i="7"/>
  <c r="H92" i="7" s="1"/>
  <c r="H46" i="7"/>
  <c r="H43" i="7"/>
  <c r="H157" i="7"/>
  <c r="I159" i="7"/>
  <c r="I154" i="7"/>
  <c r="I79" i="7"/>
  <c r="I34" i="7"/>
  <c r="I125" i="7"/>
  <c r="M20" i="7"/>
  <c r="K28" i="7"/>
  <c r="K25" i="7"/>
  <c r="K149" i="7"/>
  <c r="K152" i="7" s="1"/>
  <c r="K45" i="7"/>
  <c r="K24" i="7"/>
  <c r="K31" i="7"/>
  <c r="I83" i="7" l="1"/>
  <c r="I82" i="7"/>
  <c r="I128" i="7"/>
  <c r="I129" i="7"/>
  <c r="I38" i="7"/>
  <c r="I37" i="7"/>
  <c r="H135" i="7"/>
  <c r="H89" i="7"/>
  <c r="K26" i="7"/>
  <c r="K29" i="7" s="1"/>
  <c r="K32" i="7" s="1"/>
  <c r="J177" i="7"/>
  <c r="J179" i="7"/>
  <c r="I131" i="7"/>
  <c r="I133" i="7"/>
  <c r="J155" i="7"/>
  <c r="H47" i="7"/>
  <c r="H44" i="7"/>
  <c r="I42" i="7"/>
  <c r="I40" i="7"/>
  <c r="N21" i="7"/>
  <c r="N22" i="7" s="1"/>
  <c r="L23" i="7" s="1"/>
  <c r="I85" i="7"/>
  <c r="I87" i="7"/>
  <c r="I84" i="7" l="1"/>
  <c r="I86" i="7" s="1"/>
  <c r="I91" i="7" s="1"/>
  <c r="I130" i="7"/>
  <c r="I132" i="7" s="1"/>
  <c r="I39" i="7"/>
  <c r="I41" i="7" s="1"/>
  <c r="I46" i="7" s="1"/>
  <c r="L170" i="7"/>
  <c r="L173" i="7" s="1"/>
  <c r="J180" i="7"/>
  <c r="I178" i="7"/>
  <c r="J175" i="7"/>
  <c r="N20" i="7"/>
  <c r="J158" i="7"/>
  <c r="J126" i="7" s="1"/>
  <c r="J156" i="7"/>
  <c r="L45" i="7"/>
  <c r="L149" i="7"/>
  <c r="L152" i="7" s="1"/>
  <c r="L28" i="7"/>
  <c r="L25" i="7"/>
  <c r="L31" i="7"/>
  <c r="L24" i="7"/>
  <c r="J35" i="7" l="1"/>
  <c r="J80" i="7"/>
  <c r="J127" i="7"/>
  <c r="J36" i="7"/>
  <c r="J38" i="7" s="1"/>
  <c r="J81" i="7"/>
  <c r="I88" i="7"/>
  <c r="I89" i="7" s="1"/>
  <c r="K176" i="7"/>
  <c r="I43" i="7"/>
  <c r="I44" i="7" s="1"/>
  <c r="I137" i="7"/>
  <c r="I134" i="7"/>
  <c r="J159" i="7"/>
  <c r="I157" i="7"/>
  <c r="J154" i="7"/>
  <c r="J125" i="7"/>
  <c r="J34" i="7"/>
  <c r="J79" i="7"/>
  <c r="L26" i="7"/>
  <c r="L29" i="7" s="1"/>
  <c r="L32" i="7" s="1"/>
  <c r="O21" i="7"/>
  <c r="O22" i="7" s="1"/>
  <c r="M23" i="7" s="1"/>
  <c r="J37" i="7" l="1"/>
  <c r="J39" i="7" s="1"/>
  <c r="J83" i="7"/>
  <c r="J82" i="7"/>
  <c r="J128" i="7"/>
  <c r="J129" i="7"/>
  <c r="M170" i="7"/>
  <c r="M173" i="7" s="1"/>
  <c r="I92" i="7"/>
  <c r="I47" i="7"/>
  <c r="K177" i="7"/>
  <c r="K179" i="7"/>
  <c r="J85" i="7"/>
  <c r="J87" i="7"/>
  <c r="K155" i="7"/>
  <c r="K158" i="7" s="1"/>
  <c r="O20" i="7"/>
  <c r="I135" i="7"/>
  <c r="I138" i="7"/>
  <c r="I185" i="7"/>
  <c r="M149" i="7"/>
  <c r="M152" i="7" s="1"/>
  <c r="M45" i="7"/>
  <c r="M25" i="7"/>
  <c r="M24" i="7"/>
  <c r="M28" i="7"/>
  <c r="M31" i="7"/>
  <c r="J131" i="7"/>
  <c r="J133" i="7"/>
  <c r="J40" i="7"/>
  <c r="J42" i="7"/>
  <c r="K126" i="7" l="1"/>
  <c r="J84" i="7"/>
  <c r="J86" i="7" s="1"/>
  <c r="J91" i="7" s="1"/>
  <c r="K35" i="7"/>
  <c r="K80" i="7"/>
  <c r="K127" i="7"/>
  <c r="K36" i="7"/>
  <c r="K81" i="7"/>
  <c r="J130" i="7"/>
  <c r="J132" i="7" s="1"/>
  <c r="J41" i="7"/>
  <c r="J46" i="7" s="1"/>
  <c r="K180" i="7"/>
  <c r="J178" i="7"/>
  <c r="K175" i="7"/>
  <c r="M26" i="7"/>
  <c r="M29" i="7" s="1"/>
  <c r="M32" i="7" s="1"/>
  <c r="P21" i="7"/>
  <c r="P22" i="7" s="1"/>
  <c r="K156" i="7"/>
  <c r="N23" i="7" l="1"/>
  <c r="N170" i="7" s="1"/>
  <c r="N173" i="7" s="1"/>
  <c r="O23" i="7"/>
  <c r="O149" i="7" s="1"/>
  <c r="O152" i="7" s="1"/>
  <c r="J137" i="7"/>
  <c r="J134" i="7"/>
  <c r="J135" i="7" s="1"/>
  <c r="L176" i="7"/>
  <c r="K159" i="7"/>
  <c r="J157" i="7"/>
  <c r="K154" i="7"/>
  <c r="P20" i="7"/>
  <c r="J88" i="7"/>
  <c r="K125" i="7"/>
  <c r="K34" i="7"/>
  <c r="K79" i="7"/>
  <c r="J43" i="7"/>
  <c r="N149" i="7" l="1"/>
  <c r="N152" i="7" s="1"/>
  <c r="N31" i="7"/>
  <c r="N25" i="7"/>
  <c r="N28" i="7"/>
  <c r="N24" i="7"/>
  <c r="N45" i="7"/>
  <c r="K82" i="7"/>
  <c r="K83" i="7"/>
  <c r="K128" i="7"/>
  <c r="K129" i="7"/>
  <c r="K38" i="7"/>
  <c r="K37" i="7"/>
  <c r="O28" i="7"/>
  <c r="O31" i="7"/>
  <c r="O170" i="7"/>
  <c r="O173" i="7" s="1"/>
  <c r="O45" i="7"/>
  <c r="O24" i="7"/>
  <c r="O25" i="7"/>
  <c r="J138" i="7"/>
  <c r="L179" i="7"/>
  <c r="L177" i="7"/>
  <c r="L155" i="7"/>
  <c r="K133" i="7"/>
  <c r="K131" i="7"/>
  <c r="J47" i="7"/>
  <c r="J44" i="7"/>
  <c r="K42" i="7"/>
  <c r="K40" i="7"/>
  <c r="K87" i="7"/>
  <c r="K85" i="7"/>
  <c r="J89" i="7"/>
  <c r="J92" i="7"/>
  <c r="N26" i="7" l="1"/>
  <c r="N29" i="7" s="1"/>
  <c r="N32" i="7" s="1"/>
  <c r="K84" i="7"/>
  <c r="K86" i="7" s="1"/>
  <c r="K91" i="7" s="1"/>
  <c r="K130" i="7"/>
  <c r="K132" i="7" s="1"/>
  <c r="K137" i="7" s="1"/>
  <c r="K39" i="7"/>
  <c r="K41" i="7" s="1"/>
  <c r="O26" i="7"/>
  <c r="O29" i="7" s="1"/>
  <c r="O32" i="7" s="1"/>
  <c r="K178" i="7"/>
  <c r="L180" i="7"/>
  <c r="L175" i="7"/>
  <c r="L156" i="7"/>
  <c r="L158" i="7"/>
  <c r="L126" i="7" s="1"/>
  <c r="L35" i="7" l="1"/>
  <c r="L80" i="7"/>
  <c r="L127" i="7"/>
  <c r="L36" i="7"/>
  <c r="L81" i="7"/>
  <c r="M176" i="7"/>
  <c r="K46" i="7"/>
  <c r="K43" i="7"/>
  <c r="L125" i="7"/>
  <c r="L34" i="7"/>
  <c r="L79" i="7"/>
  <c r="L159" i="7"/>
  <c r="K157" i="7"/>
  <c r="L154" i="7"/>
  <c r="K134" i="7"/>
  <c r="K88" i="7"/>
  <c r="L83" i="7" l="1"/>
  <c r="L82" i="7"/>
  <c r="L129" i="7"/>
  <c r="L128" i="7"/>
  <c r="L38" i="7"/>
  <c r="L37" i="7"/>
  <c r="M179" i="7"/>
  <c r="M177" i="7"/>
  <c r="L85" i="7"/>
  <c r="L87" i="7"/>
  <c r="K138" i="7"/>
  <c r="K135" i="7"/>
  <c r="L42" i="7"/>
  <c r="L40" i="7"/>
  <c r="K47" i="7"/>
  <c r="K44" i="7"/>
  <c r="K92" i="7"/>
  <c r="K89" i="7"/>
  <c r="M155" i="7"/>
  <c r="L131" i="7"/>
  <c r="L133" i="7"/>
  <c r="L84" i="7" l="1"/>
  <c r="L86" i="7" s="1"/>
  <c r="L91" i="7" s="1"/>
  <c r="L130" i="7"/>
  <c r="L132" i="7" s="1"/>
  <c r="L39" i="7"/>
  <c r="L41" i="7" s="1"/>
  <c r="L46" i="7" s="1"/>
  <c r="M180" i="7"/>
  <c r="L178" i="7"/>
  <c r="M175" i="7"/>
  <c r="M156" i="7"/>
  <c r="M158" i="7"/>
  <c r="M126" i="7" s="1"/>
  <c r="M35" i="7" l="1"/>
  <c r="M80" i="7"/>
  <c r="M36" i="7"/>
  <c r="M81" i="7"/>
  <c r="M127" i="7"/>
  <c r="N176" i="7"/>
  <c r="L137" i="7"/>
  <c r="L134" i="7"/>
  <c r="L138" i="7" s="1"/>
  <c r="L88" i="7"/>
  <c r="M125" i="7"/>
  <c r="M79" i="7"/>
  <c r="M34" i="7"/>
  <c r="M159" i="7"/>
  <c r="L157" i="7"/>
  <c r="M154" i="7"/>
  <c r="L43" i="7"/>
  <c r="M129" i="7" l="1"/>
  <c r="M128" i="7"/>
  <c r="M83" i="7"/>
  <c r="M82" i="7"/>
  <c r="M37" i="7"/>
  <c r="M38" i="7"/>
  <c r="L135" i="7"/>
  <c r="N179" i="7"/>
  <c r="N177" i="7"/>
  <c r="L47" i="7"/>
  <c r="L44" i="7"/>
  <c r="M85" i="7"/>
  <c r="M87" i="7"/>
  <c r="M40" i="7"/>
  <c r="M42" i="7"/>
  <c r="N155" i="7"/>
  <c r="M131" i="7"/>
  <c r="M133" i="7"/>
  <c r="L92" i="7"/>
  <c r="L89" i="7"/>
  <c r="M84" i="7" l="1"/>
  <c r="M86" i="7" s="1"/>
  <c r="M91" i="7" s="1"/>
  <c r="M39" i="7"/>
  <c r="M41" i="7" s="1"/>
  <c r="M46" i="7" s="1"/>
  <c r="M130" i="7"/>
  <c r="M132" i="7" s="1"/>
  <c r="M137" i="7" s="1"/>
  <c r="N180" i="7"/>
  <c r="M178" i="7"/>
  <c r="N175" i="7"/>
  <c r="N158" i="7"/>
  <c r="N126" i="7" s="1"/>
  <c r="N156" i="7"/>
  <c r="N35" i="7" l="1"/>
  <c r="N80" i="7"/>
  <c r="N81" i="7"/>
  <c r="N36" i="7"/>
  <c r="N127" i="7"/>
  <c r="O176" i="7"/>
  <c r="N34" i="7"/>
  <c r="N125" i="7"/>
  <c r="N79" i="7"/>
  <c r="M157" i="7"/>
  <c r="N159" i="7"/>
  <c r="N154" i="7"/>
  <c r="M134" i="7"/>
  <c r="M43" i="7"/>
  <c r="M88" i="7"/>
  <c r="N82" i="7" l="1"/>
  <c r="N83" i="7"/>
  <c r="N129" i="7"/>
  <c r="N128" i="7"/>
  <c r="N37" i="7"/>
  <c r="N38" i="7"/>
  <c r="O179" i="7"/>
  <c r="O177" i="7"/>
  <c r="N131" i="7"/>
  <c r="N133" i="7"/>
  <c r="M47" i="7"/>
  <c r="M44" i="7"/>
  <c r="N40" i="7"/>
  <c r="N42" i="7"/>
  <c r="M89" i="7"/>
  <c r="M92" i="7"/>
  <c r="M138" i="7"/>
  <c r="M135" i="7"/>
  <c r="N87" i="7"/>
  <c r="N85" i="7"/>
  <c r="O155" i="7"/>
  <c r="N84" i="7" l="1"/>
  <c r="N86" i="7" s="1"/>
  <c r="N91" i="7" s="1"/>
  <c r="N39" i="7"/>
  <c r="N41" i="7" s="1"/>
  <c r="N46" i="7" s="1"/>
  <c r="N130" i="7"/>
  <c r="N132" i="7" s="1"/>
  <c r="N137" i="7" s="1"/>
  <c r="O180" i="7"/>
  <c r="N178" i="7"/>
  <c r="O175" i="7"/>
  <c r="O156" i="7"/>
  <c r="O158" i="7"/>
  <c r="O126" i="7" s="1"/>
  <c r="O35" i="7" l="1"/>
  <c r="O80" i="7"/>
  <c r="O127" i="7"/>
  <c r="O81" i="7"/>
  <c r="O36" i="7"/>
  <c r="P176" i="7"/>
  <c r="N43" i="7"/>
  <c r="N47" i="7" s="1"/>
  <c r="N88" i="7"/>
  <c r="O34" i="7"/>
  <c r="O79" i="7"/>
  <c r="O125" i="7"/>
  <c r="N134" i="7"/>
  <c r="O159" i="7"/>
  <c r="N157" i="7"/>
  <c r="O154" i="7"/>
  <c r="O83" i="7" l="1"/>
  <c r="O82" i="7"/>
  <c r="O129" i="7"/>
  <c r="O128" i="7"/>
  <c r="O38" i="7"/>
  <c r="O37" i="7"/>
  <c r="N44" i="7"/>
  <c r="P177" i="7"/>
  <c r="P179" i="7"/>
  <c r="O87" i="7"/>
  <c r="O85" i="7"/>
  <c r="O131" i="7"/>
  <c r="O133" i="7"/>
  <c r="N138" i="7"/>
  <c r="N135" i="7"/>
  <c r="P155" i="7"/>
  <c r="O42" i="7"/>
  <c r="O40" i="7"/>
  <c r="N89" i="7"/>
  <c r="N92" i="7"/>
  <c r="O84" i="7" l="1"/>
  <c r="O86" i="7" s="1"/>
  <c r="O130" i="7"/>
  <c r="O132" i="7" s="1"/>
  <c r="O39" i="7"/>
  <c r="O41" i="7" s="1"/>
  <c r="O178" i="7"/>
  <c r="P180" i="7"/>
  <c r="P175" i="7"/>
  <c r="P156" i="7"/>
  <c r="P158" i="7"/>
  <c r="P126" i="7" s="1"/>
  <c r="P35" i="7" l="1"/>
  <c r="P80" i="7"/>
  <c r="P81" i="7"/>
  <c r="P127" i="7"/>
  <c r="P42" i="7"/>
  <c r="P40" i="7"/>
  <c r="O46" i="7"/>
  <c r="O43" i="7"/>
  <c r="O44" i="7" s="1"/>
  <c r="O91" i="7"/>
  <c r="O88" i="7"/>
  <c r="O89" i="7" s="1"/>
  <c r="O137" i="7"/>
  <c r="O134" i="7"/>
  <c r="O157" i="7"/>
  <c r="P159" i="7"/>
  <c r="P154" i="7"/>
  <c r="P34" i="7"/>
  <c r="P79" i="7"/>
  <c r="P125" i="7"/>
  <c r="P129" i="7" l="1"/>
  <c r="P128" i="7"/>
  <c r="P83" i="7"/>
  <c r="P82" i="7"/>
  <c r="O47" i="7"/>
  <c r="O92" i="7"/>
  <c r="P131" i="7"/>
  <c r="P133" i="7"/>
  <c r="O138" i="7"/>
  <c r="O135" i="7"/>
  <c r="P85" i="7"/>
  <c r="P87" i="7"/>
  <c r="P84" i="7" l="1"/>
  <c r="P86" i="7" s="1"/>
  <c r="P91" i="7" s="1"/>
  <c r="P130" i="7"/>
  <c r="P132" i="7" s="1"/>
  <c r="P41" i="7"/>
  <c r="P88" i="7" l="1"/>
  <c r="P137" i="7"/>
  <c r="P134" i="7"/>
  <c r="P46" i="7"/>
  <c r="P43" i="7"/>
  <c r="P89" i="7" l="1"/>
  <c r="P92" i="7"/>
  <c r="P44" i="7"/>
  <c r="P47" i="7"/>
  <c r="P135" i="7"/>
  <c r="P1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3" authorId="0" shapeId="0" xr:uid="{86059A00-A869-4C2C-B0EA-733A7D9CA8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33" authorId="0" shapeId="0" xr:uid="{7F2D0DC8-0E7D-4EA6-89E5-94AD2B6DD04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36" authorId="0" shapeId="0" xr:uid="{AF378DEF-CBA8-4389-9F6E-EEA10D7833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'Spot demand to reduce'</t>
        </r>
      </text>
    </comment>
    <comment ref="E68" authorId="0" shapeId="0" xr:uid="{F321BE7A-DF50-4FEB-98F1-ACC508A53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78" authorId="0" shapeId="0" xr:uid="{AAAAB0F6-5AF5-4041-A67E-907FDEFC85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81" authorId="0" shapeId="0" xr:uid="{F44A03EA-EAC8-4689-93DD-B13AB7DCF7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"Spot Demnad to reduce"</t>
        </r>
      </text>
    </comment>
    <comment ref="E114" authorId="0" shapeId="0" xr:uid="{5059B0CF-F03A-4314-9985-06F0E4C2F7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124" authorId="0" shapeId="0" xr:uid="{3B745FEF-F462-4637-AB8D-47312EADC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127" authorId="0" shapeId="0" xr:uid="{F9847E2E-A507-4C64-89E7-BC1B22913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"Spot Demnad to reduce"</t>
        </r>
      </text>
    </comment>
  </commentList>
</comments>
</file>

<file path=xl/sharedStrings.xml><?xml version="1.0" encoding="utf-8"?>
<sst xmlns="http://schemas.openxmlformats.org/spreadsheetml/2006/main" count="865" uniqueCount="162">
  <si>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</si>
  <si>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</si>
  <si>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</si>
  <si>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</si>
  <si>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</si>
  <si>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</si>
  <si>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</si>
  <si>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</si>
  <si>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</si>
  <si>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</si>
  <si>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</si>
  <si>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</si>
  <si>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</si>
  <si>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</si>
  <si>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</si>
  <si>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</si>
  <si>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</si>
  <si>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</si>
  <si>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</si>
  <si>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</si>
  <si>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</si>
  <si>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</si>
  <si>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</si>
  <si>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</si>
  <si>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</si>
  <si>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</si>
  <si>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</si>
  <si>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</si>
  <si>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</si>
  <si>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</si>
  <si>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</si>
  <si>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</si>
  <si>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</si>
  <si>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</si>
  <si>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</si>
  <si>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</si>
  <si>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</si>
  <si>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</si>
  <si>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</si>
  <si>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</si>
  <si>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</si>
  <si>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</si>
  <si>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</si>
  <si>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</si>
  <si>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</si>
  <si>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</si>
  <si>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</si>
  <si>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</si>
  <si>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</si>
  <si>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</si>
  <si>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</si>
  <si>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</si>
  <si>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</si>
  <si>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</si>
  <si>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</si>
  <si>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</si>
  <si>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</si>
  <si>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</si>
  <si>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</si>
  <si>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</si>
  <si>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</si>
  <si>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</si>
  <si>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</si>
  <si>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</si>
  <si>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</si>
  <si>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</si>
  <si>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</si>
  <si>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</si>
  <si>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</si>
  <si>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</si>
  <si>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</si>
  <si>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</si>
  <si>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</si>
  <si>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</si>
  <si>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</si>
  <si>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</si>
  <si>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</si>
  <si>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</si>
  <si>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</si>
  <si>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</si>
  <si>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</si>
  <si>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</si>
  <si>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</si>
  <si>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</si>
  <si>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</si>
  <si>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</si>
  <si>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</si>
  <si>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</si>
  <si>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</si>
  <si>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</si>
  <si>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</si>
  <si>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</si>
  <si>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</si>
  <si>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</si>
  <si>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</si>
  <si>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</si>
  <si>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</si>
  <si>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</si>
  <si>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</si>
  <si>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</si>
  <si>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</si>
  <si>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</si>
  <si>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</si>
  <si>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</si>
  <si>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</si>
  <si>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</si>
  <si>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</si>
  <si>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</si>
  <si>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</si>
  <si>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</si>
  <si>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</si>
  <si>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</si>
  <si>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</si>
  <si>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</si>
  <si>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</si>
  <si>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</si>
  <si>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</si>
  <si>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</si>
  <si>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</si>
  <si>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</si>
  <si>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</si>
  <si>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</si>
  <si>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</si>
  <si>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</si>
  <si>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</si>
  <si>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</si>
  <si>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</si>
  <si>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</si>
  <si>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</si>
  <si>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</si>
  <si>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</si>
  <si>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</si>
  <si>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</si>
  <si>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</si>
  <si>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</si>
  <si>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</si>
  <si>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</si>
  <si>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</si>
  <si>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</si>
  <si>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</si>
  <si>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</si>
  <si>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</si>
  <si>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</si>
  <si>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</si>
  <si>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</si>
  <si>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</si>
  <si>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</si>
  <si>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</si>
  <si>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</si>
  <si>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</si>
  <si>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</si>
  <si>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</si>
  <si>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</si>
  <si>
    <t>&lt;--(remember to change base on lead time!)</t>
  </si>
  <si>
    <t>&lt;-- In code</t>
  </si>
  <si>
    <t>&lt;-- Accumulative</t>
  </si>
  <si>
    <t>Spot Demand to reduce (reference)</t>
  </si>
  <si>
    <t>&lt;-- Need to modify the algorithm here shipment value</t>
  </si>
  <si>
    <t>(Spot only) Drop in Revenue (RM)</t>
  </si>
  <si>
    <t>Reduce Spot Demand</t>
  </si>
  <si>
    <t>Spot Demand to reduce (lotsize)</t>
  </si>
  <si>
    <t>truck availaibity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</si>
</sst>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303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0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1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3" xfId="4" applyFont="1" applyBorder="1"/>
    <xf numFmtId="0" fontId="1" fillId="2" borderId="64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0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5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1" fillId="2" borderId="20" xfId="1" applyNumberFormat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6" fontId="16" fillId="0" borderId="0" xfId="0" applyNumberFormat="1" applyFont="1"/>
    <xf numFmtId="0" fontId="0" fillId="14" borderId="0" xfId="0" applyFill="1" applyBorder="1"/>
    <xf numFmtId="0" fontId="6" fillId="14" borderId="66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right"/>
    </xf>
    <xf numFmtId="0" fontId="6" fillId="18" borderId="53" xfId="0" applyFont="1" applyFill="1" applyBorder="1" applyAlignment="1">
      <alignment horizontal="left"/>
    </xf>
    <xf numFmtId="0" fontId="0" fillId="14" borderId="22" xfId="0" applyNumberFormat="1" applyFill="1" applyBorder="1" applyAlignment="1">
      <alignment horizontal="center"/>
    </xf>
    <xf numFmtId="0" fontId="0" fillId="14" borderId="42" xfId="0" applyNumberForma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79665C-8B37-4E5B-AA52-9454D3A8DB8F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BA5F785-D7E9-44D0-8C6E-AF545BC2971D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E4B1B67-EFBC-4108-B76F-D5300F4FDC33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3F97AB2-FD70-46C5-AC3C-1B6D81574DF4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87498F-3152-49DC-8033-A83589051AEF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F765380-ACA4-4117-A9CC-4486B4FCACE4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A0063CA-8AEC-494D-8D3A-C343E9E85FE9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BFBF801-21E1-408D-B80E-A12E2B6B64DA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B5C3FDE-A01D-4987-BFB7-010D54E32BFC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36DDBB2-70CD-4251-91AA-A057A3D431AD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F78DCAC-B107-492C-A658-63A1A56BFA5E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371CE519-93A3-47B7-9185-DA256A16ACB8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401220D-C072-4F8E-8067-B5866D5F2798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D3E2216-A903-4FFD-997B-7AB50C199596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A0B9108-9DD0-4606-BF81-ADAE7BAFED55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BD34462-A50F-4712-8F1C-87EA52B32009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42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77</xdr:row>
      <xdr:rowOff>91440</xdr:rowOff>
    </xdr:from>
    <xdr:to>
      <xdr:col>3</xdr:col>
      <xdr:colOff>1539240</xdr:colOff>
      <xdr:row>87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66</xdr:row>
      <xdr:rowOff>92473</xdr:rowOff>
    </xdr:from>
    <xdr:to>
      <xdr:col>16</xdr:col>
      <xdr:colOff>768860</xdr:colOff>
      <xdr:row>68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47</xdr:row>
      <xdr:rowOff>76200</xdr:rowOff>
    </xdr:from>
    <xdr:to>
      <xdr:col>9</xdr:col>
      <xdr:colOff>206828</xdr:colOff>
      <xdr:row>48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68</xdr:row>
      <xdr:rowOff>68130</xdr:rowOff>
    </xdr:from>
    <xdr:to>
      <xdr:col>3</xdr:col>
      <xdr:colOff>1514140</xdr:colOff>
      <xdr:row>76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63</xdr:row>
      <xdr:rowOff>30480</xdr:rowOff>
    </xdr:from>
    <xdr:to>
      <xdr:col>3</xdr:col>
      <xdr:colOff>1485900</xdr:colOff>
      <xdr:row>67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114</xdr:row>
      <xdr:rowOff>68130</xdr:rowOff>
    </xdr:from>
    <xdr:to>
      <xdr:col>3</xdr:col>
      <xdr:colOff>1514140</xdr:colOff>
      <xdr:row>122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123</xdr:row>
      <xdr:rowOff>91440</xdr:rowOff>
    </xdr:from>
    <xdr:to>
      <xdr:col>3</xdr:col>
      <xdr:colOff>1539240</xdr:colOff>
      <xdr:row>133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112</xdr:row>
      <xdr:rowOff>133350</xdr:rowOff>
    </xdr:from>
    <xdr:to>
      <xdr:col>16</xdr:col>
      <xdr:colOff>666750</xdr:colOff>
      <xdr:row>114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147</xdr:row>
      <xdr:rowOff>141514</xdr:rowOff>
    </xdr:from>
    <xdr:to>
      <xdr:col>4</xdr:col>
      <xdr:colOff>33130</xdr:colOff>
      <xdr:row>151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168</xdr:row>
      <xdr:rowOff>141514</xdr:rowOff>
    </xdr:from>
    <xdr:to>
      <xdr:col>4</xdr:col>
      <xdr:colOff>33130</xdr:colOff>
      <xdr:row>172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 editAs="oneCell">
    <xdr:from>
      <xdr:col>16</xdr:col>
      <xdr:colOff>0</xdr:colOff>
      <xdr:row>181</xdr:row>
      <xdr:rowOff>0</xdr:rowOff>
    </xdr:from>
    <xdr:to>
      <xdr:col>21</xdr:col>
      <xdr:colOff>323312</xdr:colOff>
      <xdr:row>187</xdr:row>
      <xdr:rowOff>131291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B81C5-019A-4625-A9E6-E82E427A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2660" y="32842200"/>
          <a:ext cx="4304762" cy="12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189</xdr:row>
      <xdr:rowOff>0</xdr:rowOff>
    </xdr:from>
    <xdr:to>
      <xdr:col>21</xdr:col>
      <xdr:colOff>191885</xdr:colOff>
      <xdr:row>210</xdr:row>
      <xdr:rowOff>56662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4D7B68-F51C-45B4-9F13-08205985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2660" y="34305240"/>
          <a:ext cx="4161905" cy="39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211</xdr:row>
      <xdr:rowOff>0</xdr:rowOff>
    </xdr:from>
    <xdr:to>
      <xdr:col>22</xdr:col>
      <xdr:colOff>551807</xdr:colOff>
      <xdr:row>219</xdr:row>
      <xdr:rowOff>60770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E184E33-EC54-4CE8-B745-8D0CF715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62660" y="38328600"/>
          <a:ext cx="5142857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G13" sqref="G1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8">
        <v>20</v>
      </c>
      <c r="D3" s="25">
        <v>600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350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8">
        <v>20</v>
      </c>
      <c r="D5" s="25">
        <v>500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280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2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1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50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/>
      <c r="E13" s="11">
        <v>30</v>
      </c>
      <c r="F13" s="11">
        <v>5</v>
      </c>
      <c r="G13" s="11">
        <v>15</v>
      </c>
      <c r="H13" s="11">
        <v>50</v>
      </c>
      <c r="I13" s="11">
        <v>20</v>
      </c>
      <c r="J13" s="11">
        <v>100</v>
      </c>
      <c r="K13" s="11"/>
      <c r="L13" s="12">
        <v>10</v>
      </c>
    </row>
    <row r="14" spans="1:13" x14ac:dyDescent="0.3">
      <c r="B14" s="13" t="s">
        <v>11</v>
      </c>
      <c r="C14" s="224">
        <v>140</v>
      </c>
      <c r="D14" s="27">
        <v>30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>
        <v>20</v>
      </c>
      <c r="F15" s="27">
        <v>50</v>
      </c>
      <c r="G15" s="27">
        <v>60</v>
      </c>
      <c r="H15" s="27"/>
      <c r="I15" s="27">
        <v>40</v>
      </c>
      <c r="J15" s="27"/>
      <c r="K15" s="27">
        <v>40</v>
      </c>
      <c r="L15" s="14"/>
    </row>
    <row r="16" spans="1:13" ht="15" thickBot="1" x14ac:dyDescent="0.35">
      <c r="B16" s="16" t="s">
        <v>13</v>
      </c>
      <c r="C16" s="224">
        <v>50</v>
      </c>
      <c r="D16" s="27">
        <v>40</v>
      </c>
      <c r="E16" s="27"/>
      <c r="F16" s="27"/>
      <c r="G16" s="27"/>
      <c r="H16" s="27"/>
      <c r="I16" s="27"/>
      <c r="J16" s="27"/>
      <c r="K16" s="27"/>
      <c r="L16" s="14"/>
    </row>
    <row r="17" spans="2:12" ht="15" thickBot="1" x14ac:dyDescent="0.35">
      <c r="B17" s="17" t="s">
        <v>14</v>
      </c>
      <c r="C17" s="226">
        <v>80</v>
      </c>
      <c r="D17" s="18">
        <v>80</v>
      </c>
      <c r="E17" s="19"/>
      <c r="F17" s="19"/>
      <c r="G17" s="19"/>
      <c r="H17" s="19"/>
      <c r="I17" s="19"/>
      <c r="J17" s="19"/>
      <c r="K17" s="19"/>
      <c r="L17" s="20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J13" sqref="J1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500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280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480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1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30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>
        <v>0</v>
      </c>
      <c r="E13" s="11"/>
      <c r="F13" s="11">
        <v>20</v>
      </c>
      <c r="G13" s="11">
        <v>20</v>
      </c>
      <c r="H13" s="11">
        <v>30</v>
      </c>
      <c r="I13" s="11">
        <v>25</v>
      </c>
      <c r="J13" s="11">
        <v>60</v>
      </c>
      <c r="K13" s="11"/>
      <c r="L13" s="12">
        <v>10</v>
      </c>
    </row>
    <row r="14" spans="1:13" x14ac:dyDescent="0.3">
      <c r="B14" s="13" t="s">
        <v>11</v>
      </c>
      <c r="C14" s="224"/>
      <c r="D14" s="27">
        <v>10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/>
      <c r="F15" s="27">
        <v>60</v>
      </c>
      <c r="G15" s="27">
        <v>50</v>
      </c>
      <c r="H15" s="27">
        <v>10</v>
      </c>
      <c r="I15" s="27">
        <v>40</v>
      </c>
      <c r="J15" s="27"/>
      <c r="K15" s="27">
        <v>50</v>
      </c>
      <c r="L15" s="14"/>
    </row>
    <row r="16" spans="1:13" ht="15" thickBot="1" x14ac:dyDescent="0.35">
      <c r="B16" s="28" t="s">
        <v>13</v>
      </c>
      <c r="C16" s="225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411</v>
      </c>
      <c r="D19" s="23">
        <v>414</v>
      </c>
      <c r="E19" s="23">
        <v>412</v>
      </c>
      <c r="F19" s="23">
        <v>413</v>
      </c>
      <c r="G19" s="23">
        <v>418</v>
      </c>
      <c r="H19" s="23">
        <v>428</v>
      </c>
      <c r="I19" s="23">
        <v>426</v>
      </c>
      <c r="J19" s="23">
        <v>419</v>
      </c>
      <c r="K19" s="23">
        <v>415</v>
      </c>
      <c r="L19" s="24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topLeftCell="A2" zoomScale="115" zoomScaleNormal="115" workbookViewId="0">
      <selection activeCell="I24" sqref="I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200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120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0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15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20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7"/>
      <c r="D13" s="210">
        <v>20</v>
      </c>
      <c r="E13" s="210">
        <v>30</v>
      </c>
      <c r="F13" s="210">
        <v>20</v>
      </c>
      <c r="G13" s="210">
        <v>10</v>
      </c>
      <c r="H13" s="210">
        <v>45</v>
      </c>
      <c r="I13" s="210">
        <v>100</v>
      </c>
      <c r="J13" s="210">
        <v>15</v>
      </c>
      <c r="K13" s="210"/>
      <c r="L13" s="36">
        <v>10</v>
      </c>
    </row>
    <row r="14" spans="1:13" x14ac:dyDescent="0.3">
      <c r="B14" s="13" t="s">
        <v>11</v>
      </c>
      <c r="C14" s="67">
        <v>40</v>
      </c>
      <c r="D14" s="210">
        <v>30</v>
      </c>
      <c r="E14" s="210"/>
      <c r="F14" s="210"/>
      <c r="G14" s="210"/>
      <c r="H14" s="210"/>
      <c r="I14" s="210"/>
      <c r="J14" s="210"/>
      <c r="K14" s="210"/>
      <c r="L14" s="36"/>
    </row>
    <row r="15" spans="1:13" x14ac:dyDescent="0.3">
      <c r="B15" s="15" t="s">
        <v>12</v>
      </c>
      <c r="C15" s="67"/>
      <c r="D15" s="210"/>
      <c r="E15" s="210">
        <v>40</v>
      </c>
      <c r="F15" s="210">
        <v>30</v>
      </c>
      <c r="G15" s="210">
        <v>40</v>
      </c>
      <c r="H15" s="210">
        <v>20</v>
      </c>
      <c r="I15" s="210">
        <v>30</v>
      </c>
      <c r="J15" s="210"/>
      <c r="K15" s="210">
        <v>30</v>
      </c>
      <c r="L15" s="36">
        <v>20</v>
      </c>
    </row>
    <row r="16" spans="1:13" ht="15" thickBot="1" x14ac:dyDescent="0.35">
      <c r="B16" s="28" t="s">
        <v>13</v>
      </c>
      <c r="C16" s="67"/>
      <c r="D16" s="210">
        <v>20</v>
      </c>
      <c r="E16" s="210"/>
      <c r="F16" s="210"/>
      <c r="G16" s="210"/>
      <c r="H16" s="210"/>
      <c r="I16" s="210"/>
      <c r="J16" s="210"/>
      <c r="K16" s="210"/>
      <c r="L16" s="36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6"/>
  <sheetViews>
    <sheetView zoomScale="130" zoomScaleNormal="130" workbookViewId="0">
      <selection activeCell="C18" sqref="C18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210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7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50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159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131</v>
      </c>
      <c r="H11" t="s">
        <v>28</v>
      </c>
    </row>
    <row r="16" spans="2:13" x14ac:dyDescent="0.3">
      <c r="E16" t="s">
        <v>161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zoomScale="130" zoomScaleNormal="130" workbookViewId="0">
      <selection activeCell="C16" sqref="C16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200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60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159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133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A7D-6F36-435C-8D73-4555D570FBF4}">
  <dimension ref="A2:AK189"/>
  <sheetViews>
    <sheetView topLeftCell="A142" zoomScale="85" zoomScaleNormal="85" workbookViewId="0">
      <selection activeCell="M184" sqref="M184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5</v>
      </c>
      <c r="K14" s="248">
        <f>'DC1'!G13</f>
        <v>15</v>
      </c>
      <c r="L14" s="245">
        <f>'DC1'!H13</f>
        <v>50</v>
      </c>
      <c r="M14" s="245">
        <f>'DC1'!I13</f>
        <v>20</v>
      </c>
      <c r="N14" s="245">
        <f>'DC1'!J13</f>
        <v>100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55</v>
      </c>
      <c r="K18" s="61">
        <f t="shared" si="0"/>
        <v>75</v>
      </c>
      <c r="L18" s="61">
        <f t="shared" si="0"/>
        <v>50</v>
      </c>
      <c r="M18" s="61">
        <f t="shared" si="0"/>
        <v>60</v>
      </c>
      <c r="N18" s="61">
        <f t="shared" si="0"/>
        <v>100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35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55</v>
      </c>
      <c r="K21" s="68">
        <f t="shared" si="2"/>
        <v>70</v>
      </c>
      <c r="L21" s="68">
        <f t="shared" si="2"/>
        <v>50</v>
      </c>
      <c r="M21" s="68">
        <f t="shared" si="2"/>
        <v>60</v>
      </c>
      <c r="N21" s="68">
        <f t="shared" si="2"/>
        <v>100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:P22" si="4" xml:space="preserve"> CEILING(J21/$F$11,1)*$F$11</f>
        <v>60</v>
      </c>
      <c r="K22" s="68">
        <f t="shared" si="4"/>
        <v>70</v>
      </c>
      <c r="L22" s="68">
        <f t="shared" si="4"/>
        <v>50</v>
      </c>
      <c r="M22" s="68">
        <f t="shared" si="4"/>
        <v>60</v>
      </c>
      <c r="N22" s="68">
        <f t="shared" si="4"/>
        <v>100</v>
      </c>
      <c r="O22" s="68">
        <f t="shared" si="4"/>
        <v>40</v>
      </c>
      <c r="P22" s="69">
        <f t="shared" si="4"/>
        <v>10</v>
      </c>
    </row>
    <row r="23" spans="4:31" ht="15" thickBot="1" x14ac:dyDescent="0.35">
      <c r="E23" s="73" t="s">
        <v>50</v>
      </c>
      <c r="F23" s="74"/>
      <c r="G23" s="75">
        <f t="shared" ref="G23:K23" si="5">I22</f>
        <v>40</v>
      </c>
      <c r="H23" s="75">
        <f t="shared" si="5"/>
        <v>60</v>
      </c>
      <c r="I23" s="75">
        <f t="shared" si="5"/>
        <v>70</v>
      </c>
      <c r="J23" s="75">
        <f t="shared" si="5"/>
        <v>50</v>
      </c>
      <c r="K23" s="75">
        <f t="shared" si="5"/>
        <v>60</v>
      </c>
      <c r="L23" s="75">
        <f>N22</f>
        <v>100</v>
      </c>
      <c r="M23" s="75">
        <f t="shared" ref="M23:P23" si="6">O22</f>
        <v>40</v>
      </c>
      <c r="N23" s="75">
        <f t="shared" si="6"/>
        <v>10</v>
      </c>
      <c r="O23" s="75">
        <f t="shared" si="6"/>
        <v>0</v>
      </c>
      <c r="P23" s="76">
        <f t="shared" si="6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7">QUOTIENT(MOD(H23+$F$6-1,$F$5),$F$6)</f>
        <v>0</v>
      </c>
      <c r="I24" s="79">
        <f t="shared" si="7"/>
        <v>1</v>
      </c>
      <c r="J24" s="79">
        <f t="shared" si="7"/>
        <v>1</v>
      </c>
      <c r="K24" s="79">
        <f t="shared" si="7"/>
        <v>0</v>
      </c>
      <c r="L24" s="79">
        <f t="shared" si="7"/>
        <v>0</v>
      </c>
      <c r="M24" s="79">
        <f t="shared" si="7"/>
        <v>0</v>
      </c>
      <c r="N24" s="79">
        <f t="shared" si="7"/>
        <v>1</v>
      </c>
      <c r="O24" s="79">
        <f t="shared" si="7"/>
        <v>0</v>
      </c>
      <c r="P24" s="80">
        <f t="shared" si="7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8">QUOTIENT(H23+$F$6-1,$F$5)</f>
        <v>3</v>
      </c>
      <c r="I25" s="83">
        <f t="shared" si="8"/>
        <v>3</v>
      </c>
      <c r="J25" s="83">
        <f t="shared" si="8"/>
        <v>2</v>
      </c>
      <c r="K25" s="83">
        <f t="shared" si="8"/>
        <v>3</v>
      </c>
      <c r="L25" s="83">
        <f t="shared" si="8"/>
        <v>5</v>
      </c>
      <c r="M25" s="83">
        <f t="shared" si="8"/>
        <v>2</v>
      </c>
      <c r="N25" s="83">
        <f t="shared" si="8"/>
        <v>0</v>
      </c>
      <c r="O25" s="83">
        <f t="shared" si="8"/>
        <v>0</v>
      </c>
      <c r="P25" s="84">
        <f t="shared" si="8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9">IF($Q$26="Choosing Supplier 1", H25*$G$5+H24*$G$6,H25*$G$7+H24*$G$8)</f>
        <v>1800</v>
      </c>
      <c r="I26" s="87">
        <f t="shared" si="9"/>
        <v>2150</v>
      </c>
      <c r="J26" s="87">
        <f t="shared" si="9"/>
        <v>1550</v>
      </c>
      <c r="K26" s="87">
        <f t="shared" si="9"/>
        <v>1800</v>
      </c>
      <c r="L26" s="87">
        <f t="shared" si="9"/>
        <v>3000</v>
      </c>
      <c r="M26" s="87">
        <f t="shared" si="9"/>
        <v>1200</v>
      </c>
      <c r="N26" s="87">
        <f t="shared" si="9"/>
        <v>350</v>
      </c>
      <c r="O26" s="87">
        <f t="shared" si="9"/>
        <v>0</v>
      </c>
      <c r="P26" s="88">
        <f t="shared" si="9"/>
        <v>0</v>
      </c>
      <c r="Q26" s="289" t="str">
        <f>IF($G$5&lt;$G$7,IF($F$144="Yes","Choosing Supplier 1", "Choosing Supplier 2"),IF($F$165="Yes",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0">G27*G23</f>
        <v>8400</v>
      </c>
      <c r="H28" s="96">
        <f>H27*H23</f>
        <v>12660</v>
      </c>
      <c r="I28" s="96">
        <f t="shared" si="10"/>
        <v>14910</v>
      </c>
      <c r="J28" s="96">
        <f t="shared" si="10"/>
        <v>10750</v>
      </c>
      <c r="K28" s="96">
        <f t="shared" si="10"/>
        <v>12900</v>
      </c>
      <c r="L28" s="96">
        <f t="shared" si="10"/>
        <v>21600</v>
      </c>
      <c r="M28" s="96">
        <f t="shared" si="10"/>
        <v>8560</v>
      </c>
      <c r="N28" s="96">
        <f t="shared" si="10"/>
        <v>2120</v>
      </c>
      <c r="O28" s="96">
        <f t="shared" si="10"/>
        <v>0</v>
      </c>
      <c r="P28" s="97">
        <f t="shared" si="10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1">G26+G28</f>
        <v>9600</v>
      </c>
      <c r="H29" s="100">
        <f t="shared" si="11"/>
        <v>14460</v>
      </c>
      <c r="I29" s="100">
        <f t="shared" si="11"/>
        <v>17060</v>
      </c>
      <c r="J29" s="100">
        <f t="shared" si="11"/>
        <v>12300</v>
      </c>
      <c r="K29" s="100">
        <f t="shared" si="11"/>
        <v>14700</v>
      </c>
      <c r="L29" s="100">
        <f t="shared" si="11"/>
        <v>24600</v>
      </c>
      <c r="M29" s="100">
        <f t="shared" si="11"/>
        <v>9760</v>
      </c>
      <c r="N29" s="100">
        <f t="shared" si="11"/>
        <v>2470</v>
      </c>
      <c r="O29" s="100">
        <f t="shared" si="11"/>
        <v>0</v>
      </c>
      <c r="P29" s="101">
        <f t="shared" si="11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2">H30*H23</f>
        <v>24780</v>
      </c>
      <c r="I31" s="104">
        <f t="shared" si="12"/>
        <v>28700</v>
      </c>
      <c r="J31" s="104">
        <f t="shared" si="12"/>
        <v>20750</v>
      </c>
      <c r="K31" s="104">
        <f t="shared" si="12"/>
        <v>25080</v>
      </c>
      <c r="L31" s="104">
        <f t="shared" si="12"/>
        <v>43000</v>
      </c>
      <c r="M31" s="104">
        <f t="shared" si="12"/>
        <v>16920</v>
      </c>
      <c r="N31" s="104">
        <f t="shared" si="12"/>
        <v>4190</v>
      </c>
      <c r="O31" s="104">
        <f t="shared" si="12"/>
        <v>0</v>
      </c>
      <c r="P31" s="105">
        <f t="shared" si="12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3">H31-H29</f>
        <v>10320</v>
      </c>
      <c r="I32" s="108">
        <f t="shared" si="13"/>
        <v>11640</v>
      </c>
      <c r="J32" s="108">
        <f t="shared" si="13"/>
        <v>8450</v>
      </c>
      <c r="K32" s="108">
        <f t="shared" si="13"/>
        <v>10380</v>
      </c>
      <c r="L32" s="108">
        <f t="shared" si="13"/>
        <v>18400</v>
      </c>
      <c r="M32" s="108">
        <f t="shared" si="13"/>
        <v>7160</v>
      </c>
      <c r="N32" s="108">
        <f t="shared" si="13"/>
        <v>1720</v>
      </c>
      <c r="O32" s="108">
        <f t="shared" si="13"/>
        <v>0</v>
      </c>
      <c r="P32" s="109">
        <f t="shared" si="13"/>
        <v>0</v>
      </c>
      <c r="Q32" s="48" t="s">
        <v>62</v>
      </c>
    </row>
    <row r="33" spans="4:35" ht="13.8" customHeight="1" thickBot="1" x14ac:dyDescent="0.35">
      <c r="E33" s="77" t="s">
        <v>63</v>
      </c>
      <c r="F33" s="110"/>
      <c r="G33" s="79">
        <f>SUM(I14:I15)</f>
        <v>30</v>
      </c>
      <c r="H33" s="79">
        <f>SUM(J14:J15)</f>
        <v>5</v>
      </c>
      <c r="I33" s="79">
        <f t="shared" ref="I33:P33" si="14">SUM(K14:K15)</f>
        <v>15</v>
      </c>
      <c r="J33" s="79">
        <f t="shared" si="14"/>
        <v>50</v>
      </c>
      <c r="K33" s="79">
        <f t="shared" si="14"/>
        <v>20</v>
      </c>
      <c r="L33" s="79">
        <f t="shared" si="14"/>
        <v>100</v>
      </c>
      <c r="M33" s="79">
        <f t="shared" si="14"/>
        <v>0</v>
      </c>
      <c r="N33" s="79">
        <f t="shared" si="14"/>
        <v>10</v>
      </c>
      <c r="O33" s="79">
        <f t="shared" si="14"/>
        <v>0</v>
      </c>
      <c r="P33" s="80">
        <f t="shared" si="14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66</v>
      </c>
      <c r="F34" s="110"/>
      <c r="G34" s="79">
        <f>IF($Q$26= "Choosing Supplier 1", MIN(G$155,G$33), MIN(G$33,G$176))</f>
        <v>0</v>
      </c>
      <c r="H34" s="79">
        <f t="shared" ref="H34:P34" si="15">IF($Q$26= "Choosing Supplier 1", MIN(H$155,H$33), MIN(H$33,H$176))</f>
        <v>0</v>
      </c>
      <c r="I34" s="79">
        <f t="shared" si="15"/>
        <v>0</v>
      </c>
      <c r="J34" s="79">
        <f t="shared" si="15"/>
        <v>0</v>
      </c>
      <c r="K34" s="79">
        <f t="shared" si="15"/>
        <v>0</v>
      </c>
      <c r="L34" s="79">
        <f t="shared" si="15"/>
        <v>0</v>
      </c>
      <c r="M34" s="79">
        <f t="shared" si="15"/>
        <v>0</v>
      </c>
      <c r="N34" s="79">
        <f t="shared" si="15"/>
        <v>0</v>
      </c>
      <c r="O34" s="79">
        <f t="shared" si="15"/>
        <v>0</v>
      </c>
      <c r="P34" s="80">
        <f t="shared" si="15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265" t="s">
        <v>125</v>
      </c>
      <c r="F35" s="262"/>
      <c r="G35" s="263">
        <f>MIN(MAX(CEILING(IF($Q$26 = "Choosing Supplier 1", G$155,G176)/$F$11,1)*$F$11-(I22-I21),0),G33)</f>
        <v>0</v>
      </c>
      <c r="H35" s="263">
        <f t="shared" ref="H35:O35" si="16">MIN(MAX(CEILING(IF($Q$26 = "Choosing Supplier 1", H$155,H176)/$F$11,1)*$F$11-(J22-J21),0),H33)</f>
        <v>0</v>
      </c>
      <c r="I35" s="263">
        <f t="shared" si="16"/>
        <v>0</v>
      </c>
      <c r="J35" s="263">
        <f t="shared" si="16"/>
        <v>0</v>
      </c>
      <c r="K35" s="263">
        <f t="shared" si="16"/>
        <v>0</v>
      </c>
      <c r="L35" s="263">
        <f t="shared" si="16"/>
        <v>0</v>
      </c>
      <c r="M35" s="263">
        <f t="shared" si="16"/>
        <v>0</v>
      </c>
      <c r="N35" s="263">
        <f t="shared" si="16"/>
        <v>0</v>
      </c>
      <c r="O35" s="263">
        <f t="shared" si="16"/>
        <v>0</v>
      </c>
      <c r="P35" s="264">
        <v>0</v>
      </c>
      <c r="Q35" s="48"/>
      <c r="AD35" s="115"/>
      <c r="AE35" s="116"/>
      <c r="AG35" s="113"/>
      <c r="AI35" s="113"/>
    </row>
    <row r="36" spans="4:35" x14ac:dyDescent="0.3">
      <c r="E36" s="117" t="s">
        <v>67</v>
      </c>
      <c r="F36" s="82"/>
      <c r="G36" s="83">
        <f>QUOTIENT(MOD(G34+$F$6-1,$F$5),$F$6)</f>
        <v>0</v>
      </c>
      <c r="H36" s="83">
        <f t="shared" ref="H36:P36" si="17">QUOTIENT(MOD(H34+$F$6-1,$F$5),$F$6)</f>
        <v>0</v>
      </c>
      <c r="I36" s="83">
        <f t="shared" si="17"/>
        <v>0</v>
      </c>
      <c r="J36" s="83">
        <f t="shared" si="17"/>
        <v>0</v>
      </c>
      <c r="K36" s="83">
        <f t="shared" si="17"/>
        <v>0</v>
      </c>
      <c r="L36" s="83">
        <f t="shared" si="17"/>
        <v>0</v>
      </c>
      <c r="M36" s="83">
        <f t="shared" si="17"/>
        <v>0</v>
      </c>
      <c r="N36" s="83">
        <f t="shared" si="17"/>
        <v>0</v>
      </c>
      <c r="O36" s="83">
        <f t="shared" si="17"/>
        <v>0</v>
      </c>
      <c r="P36" s="84">
        <f t="shared" si="17"/>
        <v>0</v>
      </c>
      <c r="Q36" s="56" t="s">
        <v>68</v>
      </c>
      <c r="AB36" s="118" t="s">
        <v>69</v>
      </c>
      <c r="AC36" s="118" t="s">
        <v>70</v>
      </c>
      <c r="AD36" s="119" t="s">
        <v>71</v>
      </c>
      <c r="AE36" s="120" t="s">
        <v>70</v>
      </c>
      <c r="AF36" s="116" t="s">
        <v>71</v>
      </c>
      <c r="AG36" s="121" t="s">
        <v>71</v>
      </c>
      <c r="AH36" s="116" t="s">
        <v>70</v>
      </c>
      <c r="AI36" s="122" t="s">
        <v>70</v>
      </c>
    </row>
    <row r="37" spans="4:35" x14ac:dyDescent="0.3">
      <c r="E37" s="123" t="s">
        <v>72</v>
      </c>
      <c r="F37" s="82"/>
      <c r="G37" s="83">
        <f>QUOTIENT(G34+$F$6-1,$F$5)</f>
        <v>0</v>
      </c>
      <c r="H37" s="83">
        <f t="shared" ref="H37:P37" si="18">QUOTIENT(H34+$F$6-1,$F$5)</f>
        <v>0</v>
      </c>
      <c r="I37" s="83">
        <f t="shared" si="18"/>
        <v>0</v>
      </c>
      <c r="J37" s="83">
        <f t="shared" si="18"/>
        <v>0</v>
      </c>
      <c r="K37" s="83">
        <f t="shared" si="18"/>
        <v>0</v>
      </c>
      <c r="L37" s="83">
        <f t="shared" si="18"/>
        <v>0</v>
      </c>
      <c r="M37" s="83">
        <f t="shared" si="18"/>
        <v>0</v>
      </c>
      <c r="N37" s="83">
        <f t="shared" si="18"/>
        <v>0</v>
      </c>
      <c r="O37" s="83">
        <f t="shared" si="18"/>
        <v>0</v>
      </c>
      <c r="P37" s="84">
        <f t="shared" si="18"/>
        <v>0</v>
      </c>
      <c r="Q37" s="56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8">
        <v>0</v>
      </c>
      <c r="AC37" s="118">
        <v>0</v>
      </c>
      <c r="AD37" s="124">
        <v>0</v>
      </c>
      <c r="AE37" s="125">
        <v>0</v>
      </c>
      <c r="AF37">
        <f>QUOTIENT(MOD(X37,$AE$29),$AE$28)</f>
        <v>0</v>
      </c>
      <c r="AG37" s="126">
        <f>QUOTIENT(MOD(X37+$AE$28-1,$AE$29),$AE$28)</f>
        <v>0</v>
      </c>
      <c r="AH37">
        <f>QUOTIENT(X37,$AE$29)</f>
        <v>0</v>
      </c>
      <c r="AI37" s="127">
        <f>QUOTIENT(X37+$AE$28-1,$AE$29)</f>
        <v>0</v>
      </c>
    </row>
    <row r="38" spans="4:35" ht="15" thickBot="1" x14ac:dyDescent="0.35">
      <c r="E38" s="128" t="s">
        <v>73</v>
      </c>
      <c r="F38" s="129"/>
      <c r="G38" s="130">
        <f>G37*$G$5+G36*$G$6</f>
        <v>0</v>
      </c>
      <c r="H38" s="130">
        <f t="shared" ref="H38:P38" si="19">H37*$G$5+H36*$G$6</f>
        <v>0</v>
      </c>
      <c r="I38" s="130">
        <f t="shared" si="19"/>
        <v>0</v>
      </c>
      <c r="J38" s="130">
        <f t="shared" si="19"/>
        <v>0</v>
      </c>
      <c r="K38" s="130">
        <f t="shared" si="19"/>
        <v>0</v>
      </c>
      <c r="L38" s="130">
        <f t="shared" si="19"/>
        <v>0</v>
      </c>
      <c r="M38" s="130">
        <f t="shared" si="19"/>
        <v>0</v>
      </c>
      <c r="N38" s="130">
        <f t="shared" si="19"/>
        <v>0</v>
      </c>
      <c r="O38" s="130">
        <f t="shared" si="19"/>
        <v>0</v>
      </c>
      <c r="P38" s="131">
        <f t="shared" si="19"/>
        <v>0</v>
      </c>
      <c r="Q38" s="132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8">
        <v>1</v>
      </c>
      <c r="AC38" s="118">
        <v>0</v>
      </c>
      <c r="AD38" s="124">
        <v>1</v>
      </c>
      <c r="AE38" s="125">
        <v>0</v>
      </c>
      <c r="AF38">
        <f t="shared" ref="AF38:AF83" si="24">QUOTIENT(MOD(X38,$AE$29),$AE$28)</f>
        <v>0</v>
      </c>
      <c r="AG38" s="126">
        <f t="shared" ref="AG38:AG83" si="25">QUOTIENT(MOD(X38+$AE$28-1,$AE$29),$AE$28)</f>
        <v>1</v>
      </c>
      <c r="AH38">
        <f t="shared" ref="AH38:AH83" si="26">QUOTIENT(X38,$AE$29)</f>
        <v>0</v>
      </c>
      <c r="AI38" s="127">
        <f t="shared" ref="AI38:AI83" si="27">QUOTIENT(X38+$AE$28-1,$AE$29)</f>
        <v>0</v>
      </c>
    </row>
    <row r="39" spans="4:35" x14ac:dyDescent="0.3">
      <c r="D39" s="48" t="s">
        <v>74</v>
      </c>
      <c r="E39" s="133" t="s">
        <v>75</v>
      </c>
      <c r="F39" s="90"/>
      <c r="G39" s="138">
        <f t="shared" ref="G39:J39" si="28">G35*G27</f>
        <v>0</v>
      </c>
      <c r="H39" s="138">
        <f t="shared" si="28"/>
        <v>0</v>
      </c>
      <c r="I39" s="138">
        <f t="shared" si="28"/>
        <v>0</v>
      </c>
      <c r="J39" s="138">
        <f t="shared" si="28"/>
        <v>0</v>
      </c>
      <c r="K39" s="138">
        <f>K35*K27</f>
        <v>0</v>
      </c>
      <c r="L39" s="138">
        <f t="shared" ref="L39:P39" si="29">L35*L27</f>
        <v>0</v>
      </c>
      <c r="M39" s="138">
        <f t="shared" si="29"/>
        <v>0</v>
      </c>
      <c r="N39" s="138">
        <f t="shared" si="29"/>
        <v>0</v>
      </c>
      <c r="O39" s="138">
        <f t="shared" si="29"/>
        <v>0</v>
      </c>
      <c r="P39" s="139">
        <f t="shared" si="29"/>
        <v>0</v>
      </c>
      <c r="Q39" s="132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8">
        <v>1</v>
      </c>
      <c r="AC39" s="118">
        <v>0</v>
      </c>
      <c r="AD39" s="124">
        <v>1</v>
      </c>
      <c r="AE39" s="125">
        <v>0</v>
      </c>
      <c r="AF39">
        <f t="shared" si="24"/>
        <v>0</v>
      </c>
      <c r="AG39" s="126">
        <f t="shared" si="25"/>
        <v>1</v>
      </c>
      <c r="AH39">
        <f t="shared" si="26"/>
        <v>0</v>
      </c>
      <c r="AI39" s="127">
        <f t="shared" si="27"/>
        <v>0</v>
      </c>
    </row>
    <row r="40" spans="4:35" ht="15" thickBot="1" x14ac:dyDescent="0.35">
      <c r="D40" s="48"/>
      <c r="E40" s="135" t="s">
        <v>76</v>
      </c>
      <c r="F40" s="136"/>
      <c r="G40" s="108">
        <f>G39+G38</f>
        <v>0</v>
      </c>
      <c r="H40" s="108">
        <f t="shared" ref="H40:P40" si="30">H39+H38</f>
        <v>0</v>
      </c>
      <c r="I40" s="108">
        <f t="shared" si="30"/>
        <v>0</v>
      </c>
      <c r="J40" s="108">
        <f t="shared" si="30"/>
        <v>0</v>
      </c>
      <c r="K40" s="108">
        <f t="shared" si="30"/>
        <v>0</v>
      </c>
      <c r="L40" s="108">
        <f t="shared" si="30"/>
        <v>0</v>
      </c>
      <c r="M40" s="108">
        <f t="shared" si="30"/>
        <v>0</v>
      </c>
      <c r="N40" s="108">
        <f t="shared" si="30"/>
        <v>0</v>
      </c>
      <c r="O40" s="108">
        <f t="shared" si="30"/>
        <v>0</v>
      </c>
      <c r="P40" s="109">
        <f t="shared" si="30"/>
        <v>0</v>
      </c>
      <c r="Q40" s="56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24"/>
        <v>0</v>
      </c>
      <c r="AG40" s="126">
        <f t="shared" si="25"/>
        <v>1</v>
      </c>
      <c r="AH40">
        <f t="shared" si="26"/>
        <v>0</v>
      </c>
      <c r="AI40" s="127">
        <f t="shared" si="27"/>
        <v>0</v>
      </c>
    </row>
    <row r="41" spans="4:35" x14ac:dyDescent="0.3">
      <c r="E41" s="137" t="s">
        <v>77</v>
      </c>
      <c r="F41" s="90"/>
      <c r="G41" s="138">
        <f t="shared" ref="G41:J41" si="31">G35*G30</f>
        <v>0</v>
      </c>
      <c r="H41" s="138">
        <f t="shared" si="31"/>
        <v>0</v>
      </c>
      <c r="I41" s="138">
        <f t="shared" si="31"/>
        <v>0</v>
      </c>
      <c r="J41" s="138">
        <f t="shared" si="31"/>
        <v>0</v>
      </c>
      <c r="K41" s="138">
        <f>K35*K30</f>
        <v>0</v>
      </c>
      <c r="L41" s="138">
        <f t="shared" ref="L41:P41" si="32">L35*L30</f>
        <v>0</v>
      </c>
      <c r="M41" s="138">
        <f t="shared" si="32"/>
        <v>0</v>
      </c>
      <c r="N41" s="138">
        <f t="shared" si="32"/>
        <v>0</v>
      </c>
      <c r="O41" s="138">
        <f t="shared" si="32"/>
        <v>0</v>
      </c>
      <c r="P41" s="139">
        <f t="shared" si="32"/>
        <v>0</v>
      </c>
      <c r="Q41" s="56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24"/>
        <v>0</v>
      </c>
      <c r="AG41" s="126">
        <f t="shared" si="25"/>
        <v>1</v>
      </c>
      <c r="AH41">
        <f t="shared" si="26"/>
        <v>0</v>
      </c>
      <c r="AI41" s="127">
        <f t="shared" si="27"/>
        <v>0</v>
      </c>
    </row>
    <row r="42" spans="4:35" ht="15" thickBot="1" x14ac:dyDescent="0.35">
      <c r="E42" s="135" t="s">
        <v>78</v>
      </c>
      <c r="F42" s="140"/>
      <c r="G42" s="141">
        <f>G41-G40</f>
        <v>0</v>
      </c>
      <c r="H42" s="141">
        <f>H41-H40</f>
        <v>0</v>
      </c>
      <c r="I42" s="142">
        <f t="shared" ref="I42:P42" si="33">I41-I40</f>
        <v>0</v>
      </c>
      <c r="J42" s="141">
        <f t="shared" si="33"/>
        <v>0</v>
      </c>
      <c r="K42" s="141">
        <f t="shared" si="33"/>
        <v>0</v>
      </c>
      <c r="L42" s="141">
        <f t="shared" si="33"/>
        <v>0</v>
      </c>
      <c r="M42" s="141">
        <f t="shared" si="33"/>
        <v>0</v>
      </c>
      <c r="N42" s="141">
        <f t="shared" si="33"/>
        <v>0</v>
      </c>
      <c r="O42" s="141">
        <f t="shared" si="33"/>
        <v>0</v>
      </c>
      <c r="P42" s="143">
        <f t="shared" si="33"/>
        <v>0</v>
      </c>
      <c r="Q42" s="48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24"/>
        <v>0</v>
      </c>
      <c r="AG42" s="126">
        <f t="shared" si="25"/>
        <v>1</v>
      </c>
      <c r="AH42">
        <f t="shared" si="26"/>
        <v>0</v>
      </c>
      <c r="AI42" s="127">
        <f t="shared" si="27"/>
        <v>0</v>
      </c>
    </row>
    <row r="43" spans="4:35" ht="15" thickBot="1" x14ac:dyDescent="0.35">
      <c r="E43" s="144" t="s">
        <v>79</v>
      </c>
      <c r="F43" s="145"/>
      <c r="G43" s="146">
        <f>G32-G42</f>
        <v>6800</v>
      </c>
      <c r="H43" s="146">
        <f>H32-H42</f>
        <v>10320</v>
      </c>
      <c r="I43" s="146">
        <f t="shared" ref="I43:P43" si="34">I32-I42</f>
        <v>11640</v>
      </c>
      <c r="J43" s="146">
        <f t="shared" si="34"/>
        <v>8450</v>
      </c>
      <c r="K43" s="146">
        <f t="shared" si="34"/>
        <v>10380</v>
      </c>
      <c r="L43" s="146">
        <f t="shared" si="34"/>
        <v>18400</v>
      </c>
      <c r="M43" s="146">
        <f t="shared" si="34"/>
        <v>7160</v>
      </c>
      <c r="N43" s="146">
        <f t="shared" si="34"/>
        <v>1720</v>
      </c>
      <c r="O43" s="146">
        <f t="shared" si="34"/>
        <v>0</v>
      </c>
      <c r="P43" s="147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8">
        <v>2</v>
      </c>
      <c r="AC43" s="118">
        <v>0</v>
      </c>
      <c r="AD43" s="124">
        <v>1</v>
      </c>
      <c r="AE43" s="125">
        <v>0</v>
      </c>
      <c r="AF43">
        <f t="shared" si="24"/>
        <v>0</v>
      </c>
      <c r="AG43" s="126">
        <f t="shared" si="25"/>
        <v>1</v>
      </c>
      <c r="AH43">
        <f t="shared" si="26"/>
        <v>0</v>
      </c>
      <c r="AI43" s="127">
        <f t="shared" si="27"/>
        <v>0</v>
      </c>
    </row>
    <row r="44" spans="4:35" x14ac:dyDescent="0.3">
      <c r="E44" s="148" t="s">
        <v>80</v>
      </c>
      <c r="F44" s="149"/>
      <c r="G44" s="150">
        <f>G33/G23</f>
        <v>0.75</v>
      </c>
      <c r="H44" s="150">
        <f t="shared" ref="H44:P44" si="35">H33/H23</f>
        <v>8.3333333333333329E-2</v>
      </c>
      <c r="I44" s="150">
        <f t="shared" si="35"/>
        <v>0.21428571428571427</v>
      </c>
      <c r="J44" s="150">
        <f t="shared" si="35"/>
        <v>1</v>
      </c>
      <c r="K44" s="150">
        <f t="shared" si="35"/>
        <v>0.33333333333333331</v>
      </c>
      <c r="L44" s="150">
        <f t="shared" si="35"/>
        <v>1</v>
      </c>
      <c r="M44" s="150">
        <f t="shared" si="35"/>
        <v>0</v>
      </c>
      <c r="N44" s="150">
        <f t="shared" si="35"/>
        <v>1</v>
      </c>
      <c r="O44" s="150" t="e">
        <f t="shared" si="35"/>
        <v>#DIV/0!</v>
      </c>
      <c r="P44" s="150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24"/>
        <v>0</v>
      </c>
      <c r="AG44" s="126">
        <f t="shared" si="25"/>
        <v>1</v>
      </c>
      <c r="AH44">
        <f t="shared" si="26"/>
        <v>0</v>
      </c>
      <c r="AI44" s="127">
        <f t="shared" si="27"/>
        <v>0</v>
      </c>
    </row>
    <row r="45" spans="4:35" x14ac:dyDescent="0.3">
      <c r="E45" s="148" t="s">
        <v>81</v>
      </c>
      <c r="F45" s="149"/>
      <c r="G45" s="150">
        <f>G40/G29</f>
        <v>0</v>
      </c>
      <c r="H45" s="150">
        <f t="shared" ref="H45:P45" si="36">H40/H29</f>
        <v>0</v>
      </c>
      <c r="I45" s="150">
        <f t="shared" si="36"/>
        <v>0</v>
      </c>
      <c r="J45" s="150">
        <f t="shared" si="36"/>
        <v>0</v>
      </c>
      <c r="K45" s="150">
        <f t="shared" si="36"/>
        <v>0</v>
      </c>
      <c r="L45" s="150">
        <f t="shared" si="36"/>
        <v>0</v>
      </c>
      <c r="M45" s="150">
        <f t="shared" si="36"/>
        <v>0</v>
      </c>
      <c r="N45" s="150">
        <f t="shared" si="36"/>
        <v>0</v>
      </c>
      <c r="O45" s="150" t="e">
        <f t="shared" si="36"/>
        <v>#DIV/0!</v>
      </c>
      <c r="P45" s="150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24"/>
        <v>0</v>
      </c>
      <c r="AG45" s="126">
        <f t="shared" si="25"/>
        <v>1</v>
      </c>
      <c r="AH45">
        <f t="shared" si="26"/>
        <v>0</v>
      </c>
      <c r="AI45" s="127">
        <f t="shared" si="27"/>
        <v>0</v>
      </c>
    </row>
    <row r="46" spans="4:35" x14ac:dyDescent="0.3">
      <c r="E46" s="148" t="s">
        <v>82</v>
      </c>
      <c r="F46" s="151"/>
      <c r="G46" s="150">
        <f>G42/G32</f>
        <v>0</v>
      </c>
      <c r="H46" s="150">
        <f t="shared" ref="H46:P46" si="37">H42/H32</f>
        <v>0</v>
      </c>
      <c r="I46" s="150">
        <f t="shared" si="37"/>
        <v>0</v>
      </c>
      <c r="J46" s="150">
        <f t="shared" si="37"/>
        <v>0</v>
      </c>
      <c r="K46" s="150">
        <f t="shared" si="37"/>
        <v>0</v>
      </c>
      <c r="L46" s="150">
        <f t="shared" si="37"/>
        <v>0</v>
      </c>
      <c r="M46" s="150">
        <f t="shared" si="37"/>
        <v>0</v>
      </c>
      <c r="N46" s="150">
        <f t="shared" si="37"/>
        <v>0</v>
      </c>
      <c r="O46" s="150" t="e">
        <f t="shared" si="37"/>
        <v>#DIV/0!</v>
      </c>
      <c r="P46" s="150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24"/>
        <v>0</v>
      </c>
      <c r="AG46" s="126">
        <f t="shared" si="25"/>
        <v>1</v>
      </c>
      <c r="AH46">
        <f t="shared" si="26"/>
        <v>0</v>
      </c>
      <c r="AI46" s="127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24"/>
        <v>1</v>
      </c>
      <c r="AG47" s="126">
        <f t="shared" si="25"/>
        <v>1</v>
      </c>
      <c r="AH47">
        <f t="shared" si="26"/>
        <v>0</v>
      </c>
      <c r="AI47" s="127">
        <f t="shared" si="27"/>
        <v>0</v>
      </c>
    </row>
    <row r="48" spans="4:35" x14ac:dyDescent="0.3">
      <c r="D48" s="50" t="s">
        <v>83</v>
      </c>
      <c r="E48" s="51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8">
        <v>3</v>
      </c>
      <c r="AC48" s="118">
        <v>0</v>
      </c>
      <c r="AD48" s="124">
        <v>0</v>
      </c>
      <c r="AE48" s="125">
        <v>1</v>
      </c>
      <c r="AF48">
        <f t="shared" si="24"/>
        <v>1</v>
      </c>
      <c r="AG48" s="126">
        <f t="shared" si="25"/>
        <v>0</v>
      </c>
      <c r="AH48">
        <f t="shared" si="26"/>
        <v>0</v>
      </c>
      <c r="AI48" s="127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47">
        <f>'DC2'!D3</f>
        <v>500</v>
      </c>
      <c r="H49"/>
      <c r="J49" s="70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24"/>
        <v>1</v>
      </c>
      <c r="AG49" s="126">
        <f t="shared" si="25"/>
        <v>0</v>
      </c>
      <c r="AH49">
        <f t="shared" si="26"/>
        <v>0</v>
      </c>
      <c r="AI49" s="127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7">
        <f>'DC2'!D4</f>
        <v>280</v>
      </c>
      <c r="H50"/>
      <c r="P50" s="253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24"/>
        <v>1</v>
      </c>
      <c r="AG50" s="126">
        <f t="shared" si="25"/>
        <v>0</v>
      </c>
      <c r="AH50">
        <f t="shared" si="26"/>
        <v>0</v>
      </c>
      <c r="AI50" s="127">
        <f t="shared" si="27"/>
        <v>1</v>
      </c>
    </row>
    <row r="51" spans="4:35" ht="14.4" customHeight="1" x14ac:dyDescent="0.3">
      <c r="E51" s="255" t="s">
        <v>119</v>
      </c>
      <c r="F51" s="258">
        <f>'DC2'!C5</f>
        <v>20</v>
      </c>
      <c r="G51" s="259">
        <f>'DC2'!D5</f>
        <v>480</v>
      </c>
      <c r="H51"/>
      <c r="P51" s="253"/>
      <c r="Q51" s="4">
        <v>580000</v>
      </c>
      <c r="R51">
        <v>0.47</v>
      </c>
      <c r="AB51" s="118"/>
      <c r="AC51" s="118"/>
      <c r="AD51" s="124"/>
      <c r="AE51" s="125"/>
      <c r="AG51" s="126"/>
      <c r="AI51" s="127"/>
    </row>
    <row r="52" spans="4:35" ht="14.4" customHeight="1" x14ac:dyDescent="0.3">
      <c r="E52" s="255" t="s">
        <v>120</v>
      </c>
      <c r="F52" s="258">
        <f>'DC2'!C6</f>
        <v>10</v>
      </c>
      <c r="G52" s="259">
        <f>'DC2'!D6</f>
        <v>250</v>
      </c>
      <c r="H52"/>
      <c r="P52" s="253"/>
      <c r="Q52" s="4"/>
      <c r="R52">
        <f>R51*Q51</f>
        <v>272600</v>
      </c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301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8">
        <v>3</v>
      </c>
      <c r="AC53" s="118">
        <v>0</v>
      </c>
      <c r="AD53" s="124">
        <v>0</v>
      </c>
      <c r="AE53" s="125">
        <v>1</v>
      </c>
      <c r="AF53">
        <f t="shared" si="24"/>
        <v>1</v>
      </c>
      <c r="AG53" s="126">
        <f t="shared" si="25"/>
        <v>0</v>
      </c>
      <c r="AH53">
        <f t="shared" si="26"/>
        <v>0</v>
      </c>
      <c r="AI53" s="127">
        <f t="shared" si="27"/>
        <v>1</v>
      </c>
    </row>
    <row r="54" spans="4:35" ht="14.4" customHeight="1" x14ac:dyDescent="0.3">
      <c r="E54" s="255" t="s">
        <v>122</v>
      </c>
      <c r="F54" s="260">
        <f>'DC2'!C8</f>
        <v>1</v>
      </c>
      <c r="G54" t="s">
        <v>34</v>
      </c>
      <c r="P54" s="301"/>
      <c r="R54">
        <f>R53+R52</f>
        <v>442600</v>
      </c>
      <c r="AB54" s="118"/>
      <c r="AC54" s="118"/>
      <c r="AD54" s="124"/>
      <c r="AE54" s="125"/>
      <c r="AG54" s="126"/>
      <c r="AI54" s="127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2" t="s">
        <v>36</v>
      </c>
      <c r="P55" s="301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8">
        <v>3</v>
      </c>
      <c r="AC55" s="118">
        <v>0</v>
      </c>
      <c r="AD55" s="124">
        <v>0</v>
      </c>
      <c r="AE55" s="125">
        <v>1</v>
      </c>
      <c r="AF55">
        <f t="shared" si="24"/>
        <v>1</v>
      </c>
      <c r="AG55" s="126">
        <f t="shared" si="25"/>
        <v>0</v>
      </c>
      <c r="AH55">
        <f t="shared" si="26"/>
        <v>0</v>
      </c>
      <c r="AI55" s="127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302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8">
        <v>0</v>
      </c>
      <c r="AC56" s="118">
        <v>1</v>
      </c>
      <c r="AD56" s="124">
        <v>0</v>
      </c>
      <c r="AE56" s="125">
        <v>1</v>
      </c>
      <c r="AF56">
        <f t="shared" si="24"/>
        <v>1</v>
      </c>
      <c r="AG56" s="126">
        <f t="shared" si="25"/>
        <v>0</v>
      </c>
      <c r="AH56">
        <f t="shared" si="26"/>
        <v>0</v>
      </c>
      <c r="AI56" s="127">
        <f t="shared" si="27"/>
        <v>1</v>
      </c>
    </row>
    <row r="57" spans="4:35" ht="15" thickBot="1" x14ac:dyDescent="0.35">
      <c r="D57" s="152"/>
      <c r="F57" s="242" t="s">
        <v>38</v>
      </c>
      <c r="G57" s="243" t="s">
        <v>0</v>
      </c>
      <c r="H57" s="243" t="s">
        <v>1</v>
      </c>
      <c r="I57" s="243" t="s">
        <v>2</v>
      </c>
      <c r="J57" s="243" t="s">
        <v>3</v>
      </c>
      <c r="K57" s="243" t="s">
        <v>4</v>
      </c>
      <c r="L57" s="243" t="s">
        <v>5</v>
      </c>
      <c r="M57" s="243" t="s">
        <v>6</v>
      </c>
      <c r="N57" s="243" t="s">
        <v>7</v>
      </c>
      <c r="O57" s="243" t="s">
        <v>8</v>
      </c>
      <c r="P57" s="244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24"/>
        <v>1</v>
      </c>
      <c r="AG57" s="126">
        <f t="shared" si="25"/>
        <v>0</v>
      </c>
      <c r="AH57">
        <f t="shared" si="26"/>
        <v>0</v>
      </c>
      <c r="AI57" s="127">
        <f t="shared" si="27"/>
        <v>1</v>
      </c>
    </row>
    <row r="58" spans="4:35" x14ac:dyDescent="0.3">
      <c r="E58" s="10" t="s">
        <v>10</v>
      </c>
      <c r="F58" s="55"/>
      <c r="G58" s="245">
        <f>'DC2'!C13</f>
        <v>0</v>
      </c>
      <c r="H58" s="245">
        <f>'DC2'!D13</f>
        <v>0</v>
      </c>
      <c r="I58" s="245">
        <f>'DC2'!E13</f>
        <v>0</v>
      </c>
      <c r="J58" s="248">
        <f>'DC2'!F13</f>
        <v>20</v>
      </c>
      <c r="K58" s="245">
        <f>'DC2'!G13</f>
        <v>20</v>
      </c>
      <c r="L58" s="245">
        <f>'DC2'!H13</f>
        <v>30</v>
      </c>
      <c r="M58" s="245">
        <f>'DC2'!I13</f>
        <v>25</v>
      </c>
      <c r="N58" s="245">
        <f>'DC2'!J13</f>
        <v>60</v>
      </c>
      <c r="O58" s="245">
        <f>'DC2'!K13</f>
        <v>0</v>
      </c>
      <c r="P58" s="246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24"/>
        <v>1</v>
      </c>
      <c r="AG58" s="126">
        <f t="shared" si="25"/>
        <v>0</v>
      </c>
      <c r="AH58">
        <f t="shared" si="26"/>
        <v>0</v>
      </c>
      <c r="AI58" s="127">
        <f t="shared" si="27"/>
        <v>1</v>
      </c>
    </row>
    <row r="59" spans="4:35" x14ac:dyDescent="0.3">
      <c r="E59" s="13" t="s">
        <v>11</v>
      </c>
      <c r="F59" s="240"/>
      <c r="G59" s="239">
        <f>'DC2'!C14</f>
        <v>0</v>
      </c>
      <c r="H59" s="239">
        <f>'DC2'!D14</f>
        <v>10</v>
      </c>
      <c r="I59" s="239">
        <f>'DC2'!E14</f>
        <v>0</v>
      </c>
      <c r="J59" s="239">
        <f>'DC2'!F14</f>
        <v>0</v>
      </c>
      <c r="K59" s="239">
        <f>'DC2'!G14</f>
        <v>0</v>
      </c>
      <c r="L59" s="239">
        <f>'DC2'!H14</f>
        <v>0</v>
      </c>
      <c r="M59" s="239">
        <f>'DC2'!I14</f>
        <v>0</v>
      </c>
      <c r="N59" s="239">
        <f>'DC2'!J14</f>
        <v>0</v>
      </c>
      <c r="O59" s="239">
        <f>'DC2'!K14</f>
        <v>0</v>
      </c>
      <c r="P59" s="241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24"/>
        <v>1</v>
      </c>
      <c r="AG59" s="126">
        <f t="shared" si="25"/>
        <v>0</v>
      </c>
      <c r="AH59">
        <f t="shared" si="26"/>
        <v>0</v>
      </c>
      <c r="AI59" s="127">
        <f t="shared" si="27"/>
        <v>1</v>
      </c>
    </row>
    <row r="60" spans="4:35" x14ac:dyDescent="0.3">
      <c r="E60" s="15" t="s">
        <v>12</v>
      </c>
      <c r="F60" s="58"/>
      <c r="G60" s="239">
        <f>'DC2'!C15</f>
        <v>0</v>
      </c>
      <c r="H60" s="239">
        <f>'DC2'!D15</f>
        <v>0</v>
      </c>
      <c r="I60" s="239">
        <f>'DC2'!E15</f>
        <v>0</v>
      </c>
      <c r="J60" s="239">
        <f>'DC2'!F15</f>
        <v>60</v>
      </c>
      <c r="K60" s="239">
        <f>'DC2'!G15</f>
        <v>50</v>
      </c>
      <c r="L60" s="239">
        <f>'DC2'!H15</f>
        <v>10</v>
      </c>
      <c r="M60" s="239">
        <f>'DC2'!I15</f>
        <v>40</v>
      </c>
      <c r="N60" s="239">
        <f>'DC2'!J15</f>
        <v>0</v>
      </c>
      <c r="O60" s="239">
        <f>'DC2'!K15</f>
        <v>50</v>
      </c>
      <c r="P60" s="241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24"/>
        <v>0</v>
      </c>
      <c r="AG60" s="126">
        <f t="shared" si="25"/>
        <v>0</v>
      </c>
      <c r="AH60">
        <f t="shared" si="26"/>
        <v>1</v>
      </c>
      <c r="AI60" s="127">
        <f t="shared" si="27"/>
        <v>1</v>
      </c>
    </row>
    <row r="61" spans="4:35" x14ac:dyDescent="0.3">
      <c r="E61" s="16" t="s">
        <v>13</v>
      </c>
      <c r="F61" s="58"/>
      <c r="G61" s="239">
        <f>'DC2'!C16</f>
        <v>0</v>
      </c>
      <c r="H61" s="239">
        <f>'DC2'!D16</f>
        <v>40</v>
      </c>
      <c r="I61" s="239">
        <f>'DC2'!E16</f>
        <v>0</v>
      </c>
      <c r="J61" s="239">
        <f>'DC2'!F16</f>
        <v>0</v>
      </c>
      <c r="K61" s="239">
        <f>'DC2'!G16</f>
        <v>0</v>
      </c>
      <c r="L61" s="239">
        <f>'DC2'!H16</f>
        <v>0</v>
      </c>
      <c r="M61" s="239">
        <f>'DC2'!I16</f>
        <v>0</v>
      </c>
      <c r="N61" s="239">
        <f>'DC2'!J16</f>
        <v>0</v>
      </c>
      <c r="O61" s="239">
        <f>'DC2'!K16</f>
        <v>0</v>
      </c>
      <c r="P61" s="241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8">
        <v>1</v>
      </c>
      <c r="AC61" s="118">
        <v>1</v>
      </c>
      <c r="AD61" s="124">
        <v>1</v>
      </c>
      <c r="AE61" s="125">
        <v>1</v>
      </c>
      <c r="AF61">
        <f t="shared" si="24"/>
        <v>0</v>
      </c>
      <c r="AG61" s="126">
        <f t="shared" si="25"/>
        <v>1</v>
      </c>
      <c r="AH61">
        <f t="shared" si="26"/>
        <v>1</v>
      </c>
      <c r="AI61" s="127">
        <f t="shared" si="27"/>
        <v>1</v>
      </c>
    </row>
    <row r="62" spans="4:35" ht="15" thickBot="1" x14ac:dyDescent="0.35">
      <c r="E62" s="59" t="s">
        <v>42</v>
      </c>
      <c r="F62" s="60"/>
      <c r="G62" s="61">
        <f>SUM(G58:G61)</f>
        <v>0</v>
      </c>
      <c r="H62" s="61">
        <f t="shared" ref="H62:O62" si="38">SUM(H58:H61)</f>
        <v>50</v>
      </c>
      <c r="I62" s="61">
        <f t="shared" si="38"/>
        <v>0</v>
      </c>
      <c r="J62" s="61">
        <f t="shared" si="38"/>
        <v>80</v>
      </c>
      <c r="K62" s="61">
        <f t="shared" si="38"/>
        <v>70</v>
      </c>
      <c r="L62" s="61">
        <f t="shared" si="38"/>
        <v>40</v>
      </c>
      <c r="M62" s="61">
        <f t="shared" si="38"/>
        <v>65</v>
      </c>
      <c r="N62" s="61">
        <f t="shared" si="38"/>
        <v>60</v>
      </c>
      <c r="O62" s="61">
        <f t="shared" si="38"/>
        <v>50</v>
      </c>
      <c r="P62" s="62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24"/>
        <v>0</v>
      </c>
      <c r="AG62" s="126">
        <f t="shared" si="25"/>
        <v>1</v>
      </c>
      <c r="AH62">
        <f t="shared" si="26"/>
        <v>1</v>
      </c>
      <c r="AI62" s="127">
        <f t="shared" si="27"/>
        <v>1</v>
      </c>
    </row>
    <row r="63" spans="4:35" x14ac:dyDescent="0.3">
      <c r="E63" s="63" t="s">
        <v>14</v>
      </c>
      <c r="F63" s="64"/>
      <c r="G63" s="65">
        <f>'DC2'!C17</f>
        <v>20</v>
      </c>
      <c r="H63" s="65">
        <f>'DC2'!D17</f>
        <v>0</v>
      </c>
      <c r="I63" s="290"/>
      <c r="J63" s="290"/>
      <c r="K63" s="290"/>
      <c r="L63" s="290"/>
      <c r="M63" s="290"/>
      <c r="N63" s="290"/>
      <c r="O63" s="290"/>
      <c r="P63" s="291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24"/>
        <v>0</v>
      </c>
      <c r="AG63" s="126">
        <f t="shared" si="25"/>
        <v>1</v>
      </c>
      <c r="AH63">
        <f t="shared" si="26"/>
        <v>1</v>
      </c>
      <c r="AI63" s="127">
        <f t="shared" si="27"/>
        <v>1</v>
      </c>
    </row>
    <row r="64" spans="4:35" x14ac:dyDescent="0.3">
      <c r="E64" s="66" t="s">
        <v>44</v>
      </c>
      <c r="F64" s="67">
        <f>'DC2'!C11</f>
        <v>30</v>
      </c>
      <c r="G64" s="68">
        <f>F64+G63+G66-G62</f>
        <v>50</v>
      </c>
      <c r="H64" s="68">
        <f t="shared" ref="H64:P64" si="39">G64+H63+H66-H62</f>
        <v>20</v>
      </c>
      <c r="I64" s="68">
        <f t="shared" si="39"/>
        <v>20</v>
      </c>
      <c r="J64" s="68">
        <f t="shared" si="39"/>
        <v>20</v>
      </c>
      <c r="K64" s="68">
        <f t="shared" si="39"/>
        <v>30</v>
      </c>
      <c r="L64" s="68">
        <f t="shared" si="39"/>
        <v>30</v>
      </c>
      <c r="M64" s="68">
        <f t="shared" si="39"/>
        <v>25</v>
      </c>
      <c r="N64" s="68">
        <f t="shared" si="39"/>
        <v>25</v>
      </c>
      <c r="O64" s="68">
        <f t="shared" si="39"/>
        <v>35</v>
      </c>
      <c r="P64" s="69">
        <f t="shared" si="39"/>
        <v>25</v>
      </c>
      <c r="R64" s="70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24"/>
        <v>0</v>
      </c>
      <c r="AG64" s="126">
        <f t="shared" si="25"/>
        <v>1</v>
      </c>
      <c r="AH64">
        <f t="shared" si="26"/>
        <v>1</v>
      </c>
      <c r="AI64" s="127">
        <f t="shared" si="27"/>
        <v>1</v>
      </c>
    </row>
    <row r="65" spans="4:35" x14ac:dyDescent="0.3">
      <c r="D65" s="48" t="s">
        <v>46</v>
      </c>
      <c r="E65" s="66" t="s">
        <v>47</v>
      </c>
      <c r="F65" s="71"/>
      <c r="G65" s="68">
        <f>IF(F64-G62+G63&lt;=$F$56, G62-G63-F64+$F$56,0)</f>
        <v>0</v>
      </c>
      <c r="H65" s="68">
        <f t="shared" ref="H65:P65" si="40">IF(G64-H62+H63&lt;=$F$56, H62-H63-G64+$F$56,0)</f>
        <v>20</v>
      </c>
      <c r="I65" s="68">
        <f t="shared" si="40"/>
        <v>0</v>
      </c>
      <c r="J65" s="68">
        <f t="shared" si="40"/>
        <v>80</v>
      </c>
      <c r="K65" s="68">
        <f t="shared" si="40"/>
        <v>70</v>
      </c>
      <c r="L65" s="68">
        <f t="shared" si="40"/>
        <v>30</v>
      </c>
      <c r="M65" s="68">
        <f t="shared" si="40"/>
        <v>55</v>
      </c>
      <c r="N65" s="68">
        <f t="shared" si="40"/>
        <v>55</v>
      </c>
      <c r="O65" s="68">
        <f t="shared" si="40"/>
        <v>45</v>
      </c>
      <c r="P65" s="69">
        <f t="shared" si="40"/>
        <v>0</v>
      </c>
      <c r="R65" s="70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24"/>
        <v>0</v>
      </c>
      <c r="AG65" s="126">
        <f t="shared" si="25"/>
        <v>1</v>
      </c>
      <c r="AH65">
        <f t="shared" si="26"/>
        <v>1</v>
      </c>
      <c r="AI65" s="127">
        <f t="shared" si="27"/>
        <v>1</v>
      </c>
    </row>
    <row r="66" spans="4:35" x14ac:dyDescent="0.3">
      <c r="E66" s="72" t="s">
        <v>49</v>
      </c>
      <c r="F66" s="71"/>
      <c r="G66" s="68">
        <f t="shared" ref="G66:P66" si="41" xml:space="preserve"> CEILING(G65/$F$55,1)*$F$55</f>
        <v>0</v>
      </c>
      <c r="H66" s="68">
        <f t="shared" si="41"/>
        <v>20</v>
      </c>
      <c r="I66" s="68">
        <f t="shared" si="41"/>
        <v>0</v>
      </c>
      <c r="J66" s="68">
        <f t="shared" si="41"/>
        <v>80</v>
      </c>
      <c r="K66" s="68">
        <f t="shared" si="41"/>
        <v>80</v>
      </c>
      <c r="L66" s="68">
        <f t="shared" si="41"/>
        <v>40</v>
      </c>
      <c r="M66" s="68">
        <f t="shared" si="41"/>
        <v>60</v>
      </c>
      <c r="N66" s="68">
        <f t="shared" si="41"/>
        <v>60</v>
      </c>
      <c r="O66" s="68">
        <f t="shared" si="41"/>
        <v>60</v>
      </c>
      <c r="P66" s="69">
        <f t="shared" si="41"/>
        <v>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8">
        <v>2</v>
      </c>
      <c r="AC66" s="118">
        <v>1</v>
      </c>
      <c r="AD66" s="124">
        <v>1</v>
      </c>
      <c r="AE66" s="125">
        <v>1</v>
      </c>
      <c r="AF66">
        <f t="shared" si="24"/>
        <v>0</v>
      </c>
      <c r="AG66" s="126">
        <f t="shared" si="25"/>
        <v>1</v>
      </c>
      <c r="AH66">
        <f t="shared" si="26"/>
        <v>1</v>
      </c>
      <c r="AI66" s="127">
        <f t="shared" si="27"/>
        <v>1</v>
      </c>
    </row>
    <row r="67" spans="4:35" ht="15" thickBot="1" x14ac:dyDescent="0.35">
      <c r="E67" s="73" t="s">
        <v>50</v>
      </c>
      <c r="F67" s="74"/>
      <c r="G67" s="75">
        <f>H66</f>
        <v>20</v>
      </c>
      <c r="H67" s="75">
        <f t="shared" ref="H67:P67" si="42">I66</f>
        <v>0</v>
      </c>
      <c r="I67" s="75">
        <f t="shared" si="42"/>
        <v>80</v>
      </c>
      <c r="J67" s="75">
        <f t="shared" si="42"/>
        <v>80</v>
      </c>
      <c r="K67" s="75">
        <f t="shared" si="42"/>
        <v>40</v>
      </c>
      <c r="L67" s="75">
        <f t="shared" si="42"/>
        <v>60</v>
      </c>
      <c r="M67" s="75">
        <f t="shared" si="42"/>
        <v>60</v>
      </c>
      <c r="N67" s="75">
        <f t="shared" si="42"/>
        <v>60</v>
      </c>
      <c r="O67" s="75">
        <f t="shared" si="42"/>
        <v>0</v>
      </c>
      <c r="P67" s="76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24"/>
        <v>0</v>
      </c>
      <c r="AG67" s="126">
        <f t="shared" si="25"/>
        <v>1</v>
      </c>
      <c r="AH67">
        <f t="shared" si="26"/>
        <v>1</v>
      </c>
      <c r="AI67" s="127">
        <f t="shared" si="27"/>
        <v>1</v>
      </c>
    </row>
    <row r="68" spans="4:35" x14ac:dyDescent="0.3">
      <c r="E68" s="77" t="s">
        <v>51</v>
      </c>
      <c r="F68" s="78"/>
      <c r="G68" s="79">
        <f>QUOTIENT(MOD(G67+$F$50-1,$F$49),$F$50)</f>
        <v>0</v>
      </c>
      <c r="H68" s="79">
        <f t="shared" ref="H68:P68" si="43">QUOTIENT(MOD(H67+$F$50-1,$F$49),$F$50)</f>
        <v>0</v>
      </c>
      <c r="I68" s="79">
        <f t="shared" si="43"/>
        <v>0</v>
      </c>
      <c r="J68" s="79">
        <f t="shared" si="43"/>
        <v>0</v>
      </c>
      <c r="K68" s="79">
        <f t="shared" si="43"/>
        <v>0</v>
      </c>
      <c r="L68" s="79">
        <f t="shared" si="43"/>
        <v>0</v>
      </c>
      <c r="M68" s="79">
        <f t="shared" si="43"/>
        <v>0</v>
      </c>
      <c r="N68" s="79">
        <f t="shared" si="43"/>
        <v>0</v>
      </c>
      <c r="O68" s="79">
        <f t="shared" si="43"/>
        <v>0</v>
      </c>
      <c r="P68" s="80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24"/>
        <v>0</v>
      </c>
      <c r="AG68" s="126">
        <f t="shared" si="25"/>
        <v>1</v>
      </c>
      <c r="AH68">
        <f t="shared" si="26"/>
        <v>1</v>
      </c>
      <c r="AI68" s="127">
        <f t="shared" si="27"/>
        <v>1</v>
      </c>
    </row>
    <row r="69" spans="4:35" x14ac:dyDescent="0.3">
      <c r="D69" s="48"/>
      <c r="E69" s="81" t="s">
        <v>52</v>
      </c>
      <c r="F69" s="153"/>
      <c r="G69" s="83">
        <f>QUOTIENT(G67+$F$50-1,$F$49)</f>
        <v>1</v>
      </c>
      <c r="H69" s="83">
        <f t="shared" ref="H69:P69" si="44">QUOTIENT(H67+$F$50-1,$F$49)</f>
        <v>0</v>
      </c>
      <c r="I69" s="83">
        <f t="shared" si="44"/>
        <v>4</v>
      </c>
      <c r="J69" s="83">
        <f t="shared" si="44"/>
        <v>4</v>
      </c>
      <c r="K69" s="83">
        <f t="shared" si="44"/>
        <v>2</v>
      </c>
      <c r="L69" s="83">
        <f t="shared" si="44"/>
        <v>3</v>
      </c>
      <c r="M69" s="83">
        <f t="shared" si="44"/>
        <v>3</v>
      </c>
      <c r="N69" s="83">
        <f t="shared" si="44"/>
        <v>3</v>
      </c>
      <c r="O69" s="83">
        <f t="shared" si="44"/>
        <v>0</v>
      </c>
      <c r="P69" s="84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24"/>
        <v>0</v>
      </c>
      <c r="AG69" s="126">
        <f t="shared" si="25"/>
        <v>1</v>
      </c>
      <c r="AH69">
        <f t="shared" si="26"/>
        <v>1</v>
      </c>
      <c r="AI69" s="127">
        <f t="shared" si="27"/>
        <v>1</v>
      </c>
    </row>
    <row r="70" spans="4:35" ht="15" thickBot="1" x14ac:dyDescent="0.35">
      <c r="E70" s="85" t="s">
        <v>53</v>
      </c>
      <c r="F70" s="86"/>
      <c r="G70" s="87">
        <f>IF($Q$70="Choosing Supplier 1", G69*$G$49+G68*$G$50,G69*$G$51+G68*$G$52)</f>
        <v>500</v>
      </c>
      <c r="H70" s="87">
        <f t="shared" ref="H70:P70" si="45">IF($Q$70="Choosing Supplier 1", H69*$G$49+H68*$G$50,H69*$G$51+H68*$G$52)</f>
        <v>0</v>
      </c>
      <c r="I70" s="87">
        <f t="shared" si="45"/>
        <v>2000</v>
      </c>
      <c r="J70" s="87">
        <f t="shared" si="45"/>
        <v>2000</v>
      </c>
      <c r="K70" s="87">
        <f t="shared" si="45"/>
        <v>1000</v>
      </c>
      <c r="L70" s="87">
        <f t="shared" si="45"/>
        <v>1500</v>
      </c>
      <c r="M70" s="87">
        <f t="shared" si="45"/>
        <v>1500</v>
      </c>
      <c r="N70" s="87">
        <f t="shared" si="45"/>
        <v>1500</v>
      </c>
      <c r="O70" s="87">
        <f t="shared" si="45"/>
        <v>0</v>
      </c>
      <c r="P70" s="88">
        <f t="shared" si="45"/>
        <v>0</v>
      </c>
      <c r="Q70" s="289" t="str">
        <f>IF($G$49&lt;$G$51,IF($F$144="Yes","Choosing Supplier 1","Choosing Supplier 2"),IF($F$165="Yes","Choosing Supplier 2","Choosing Supplier 1"))</f>
        <v>Choosing Supplier 1</v>
      </c>
      <c r="R70" t="s">
        <v>143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24"/>
        <v>1</v>
      </c>
      <c r="AG70" s="126">
        <f t="shared" si="25"/>
        <v>1</v>
      </c>
      <c r="AH70">
        <f t="shared" si="26"/>
        <v>1</v>
      </c>
      <c r="AI70" s="127">
        <f t="shared" si="27"/>
        <v>1</v>
      </c>
    </row>
    <row r="71" spans="4:35" x14ac:dyDescent="0.3">
      <c r="E71" s="154" t="s">
        <v>17</v>
      </c>
      <c r="F71" s="90"/>
      <c r="G71" s="91">
        <f>'DC2'!C18</f>
        <v>210</v>
      </c>
      <c r="H71" s="91">
        <f>'DC2'!D18</f>
        <v>211</v>
      </c>
      <c r="I71" s="91">
        <f>'DC2'!E18</f>
        <v>213</v>
      </c>
      <c r="J71" s="91">
        <f>'DC2'!F18</f>
        <v>215</v>
      </c>
      <c r="K71" s="91">
        <f>'DC2'!G18</f>
        <v>215</v>
      </c>
      <c r="L71" s="91">
        <f>'DC2'!H18</f>
        <v>216</v>
      </c>
      <c r="M71" s="91">
        <f>'DC2'!I18</f>
        <v>214</v>
      </c>
      <c r="N71" s="91">
        <f>'DC2'!J18</f>
        <v>212</v>
      </c>
      <c r="O71" s="91">
        <f>'DC2'!K18</f>
        <v>210</v>
      </c>
      <c r="P71" s="92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8">
        <v>3</v>
      </c>
      <c r="AC71" s="118">
        <v>1</v>
      </c>
      <c r="AD71" s="124">
        <v>0</v>
      </c>
      <c r="AE71" s="125">
        <v>2</v>
      </c>
      <c r="AF71">
        <f t="shared" si="24"/>
        <v>1</v>
      </c>
      <c r="AG71" s="126">
        <f t="shared" si="25"/>
        <v>0</v>
      </c>
      <c r="AH71">
        <f t="shared" si="26"/>
        <v>1</v>
      </c>
      <c r="AI71" s="127">
        <f t="shared" si="27"/>
        <v>2</v>
      </c>
    </row>
    <row r="72" spans="4:35" x14ac:dyDescent="0.3">
      <c r="D72" s="48" t="s">
        <v>54</v>
      </c>
      <c r="E72" s="155" t="s">
        <v>55</v>
      </c>
      <c r="F72" s="94"/>
      <c r="G72" s="95">
        <f t="shared" ref="G72:P72" si="46">G71*G67</f>
        <v>4200</v>
      </c>
      <c r="H72" s="95">
        <f t="shared" si="46"/>
        <v>0</v>
      </c>
      <c r="I72" s="95">
        <f t="shared" si="46"/>
        <v>17040</v>
      </c>
      <c r="J72" s="95">
        <f t="shared" si="46"/>
        <v>17200</v>
      </c>
      <c r="K72" s="95">
        <f t="shared" si="46"/>
        <v>8600</v>
      </c>
      <c r="L72" s="95">
        <f t="shared" si="46"/>
        <v>12960</v>
      </c>
      <c r="M72" s="95">
        <f t="shared" si="46"/>
        <v>12840</v>
      </c>
      <c r="N72" s="95">
        <f t="shared" si="46"/>
        <v>12720</v>
      </c>
      <c r="O72" s="95">
        <f t="shared" si="46"/>
        <v>0</v>
      </c>
      <c r="P72" s="134">
        <f t="shared" si="46"/>
        <v>0</v>
      </c>
      <c r="Q72" s="48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24"/>
        <v>1</v>
      </c>
      <c r="AG72" s="126">
        <f t="shared" si="25"/>
        <v>0</v>
      </c>
      <c r="AH72">
        <f t="shared" si="26"/>
        <v>1</v>
      </c>
      <c r="AI72" s="127">
        <f t="shared" si="27"/>
        <v>2</v>
      </c>
    </row>
    <row r="73" spans="4:35" ht="15" thickBot="1" x14ac:dyDescent="0.35">
      <c r="E73" s="156" t="s">
        <v>57</v>
      </c>
      <c r="F73" s="99"/>
      <c r="G73" s="100">
        <f t="shared" ref="G73:P73" si="47">G70+G72</f>
        <v>4700</v>
      </c>
      <c r="H73" s="100">
        <f t="shared" si="47"/>
        <v>0</v>
      </c>
      <c r="I73" s="100">
        <f t="shared" si="47"/>
        <v>19040</v>
      </c>
      <c r="J73" s="100">
        <f t="shared" si="47"/>
        <v>19200</v>
      </c>
      <c r="K73" s="100">
        <f t="shared" si="47"/>
        <v>9600</v>
      </c>
      <c r="L73" s="100">
        <f t="shared" si="47"/>
        <v>14460</v>
      </c>
      <c r="M73" s="100">
        <f t="shared" si="47"/>
        <v>14340</v>
      </c>
      <c r="N73" s="100">
        <f t="shared" si="47"/>
        <v>14220</v>
      </c>
      <c r="O73" s="100">
        <f t="shared" si="47"/>
        <v>0</v>
      </c>
      <c r="P73" s="101">
        <f t="shared" si="47"/>
        <v>0</v>
      </c>
      <c r="Q73" s="48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24"/>
        <v>1</v>
      </c>
      <c r="AG73" s="126">
        <f t="shared" si="25"/>
        <v>0</v>
      </c>
      <c r="AH73">
        <f t="shared" si="26"/>
        <v>1</v>
      </c>
      <c r="AI73" s="127">
        <f t="shared" si="27"/>
        <v>2</v>
      </c>
    </row>
    <row r="74" spans="4:35" x14ac:dyDescent="0.3">
      <c r="E74" s="89" t="s">
        <v>18</v>
      </c>
      <c r="F74" s="102"/>
      <c r="G74" s="91">
        <f>'DC2'!C19</f>
        <v>411</v>
      </c>
      <c r="H74" s="91">
        <f>'DC2'!D19</f>
        <v>414</v>
      </c>
      <c r="I74" s="91">
        <f>'DC2'!E19</f>
        <v>412</v>
      </c>
      <c r="J74" s="91">
        <f>'DC2'!F19</f>
        <v>413</v>
      </c>
      <c r="K74" s="91">
        <f>'DC2'!G19</f>
        <v>418</v>
      </c>
      <c r="L74" s="91">
        <f>'DC2'!H19</f>
        <v>428</v>
      </c>
      <c r="M74" s="91">
        <f>'DC2'!I19</f>
        <v>426</v>
      </c>
      <c r="N74" s="91">
        <f>'DC2'!J19</f>
        <v>419</v>
      </c>
      <c r="O74" s="91">
        <f>'DC2'!K19</f>
        <v>415</v>
      </c>
      <c r="P74" s="92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24"/>
        <v>1</v>
      </c>
      <c r="AG74" s="126">
        <f t="shared" si="25"/>
        <v>0</v>
      </c>
      <c r="AH74">
        <f t="shared" si="26"/>
        <v>1</v>
      </c>
      <c r="AI74" s="127">
        <f t="shared" si="27"/>
        <v>2</v>
      </c>
    </row>
    <row r="75" spans="4:35" x14ac:dyDescent="0.3">
      <c r="E75" s="93" t="s">
        <v>59</v>
      </c>
      <c r="F75" s="103"/>
      <c r="G75" s="104">
        <f>G74*G67</f>
        <v>8220</v>
      </c>
      <c r="H75" s="104">
        <f t="shared" ref="H75:P75" si="48">H74*H67</f>
        <v>0</v>
      </c>
      <c r="I75" s="104">
        <f t="shared" si="48"/>
        <v>32960</v>
      </c>
      <c r="J75" s="104">
        <f t="shared" si="48"/>
        <v>33040</v>
      </c>
      <c r="K75" s="104">
        <f t="shared" si="48"/>
        <v>16720</v>
      </c>
      <c r="L75" s="104">
        <f t="shared" si="48"/>
        <v>25680</v>
      </c>
      <c r="M75" s="104">
        <f t="shared" si="48"/>
        <v>25560</v>
      </c>
      <c r="N75" s="104">
        <f t="shared" si="48"/>
        <v>25140</v>
      </c>
      <c r="O75" s="104">
        <f t="shared" si="48"/>
        <v>0</v>
      </c>
      <c r="P75" s="105">
        <f t="shared" si="48"/>
        <v>0</v>
      </c>
      <c r="Q75" s="48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24"/>
        <v>1</v>
      </c>
      <c r="AG75" s="126">
        <f t="shared" si="25"/>
        <v>0</v>
      </c>
      <c r="AH75">
        <f t="shared" si="26"/>
        <v>1</v>
      </c>
      <c r="AI75" s="127">
        <f t="shared" si="27"/>
        <v>2</v>
      </c>
    </row>
    <row r="76" spans="4:35" ht="13.8" customHeight="1" thickBot="1" x14ac:dyDescent="0.35">
      <c r="E76" s="106" t="s">
        <v>61</v>
      </c>
      <c r="F76" s="107"/>
      <c r="G76" s="108">
        <f>G75-G73</f>
        <v>3520</v>
      </c>
      <c r="H76" s="108">
        <f t="shared" ref="H76:P76" si="49">H75-H73</f>
        <v>0</v>
      </c>
      <c r="I76" s="108">
        <f t="shared" si="49"/>
        <v>13920</v>
      </c>
      <c r="J76" s="108">
        <f t="shared" si="49"/>
        <v>13840</v>
      </c>
      <c r="K76" s="108">
        <f t="shared" si="49"/>
        <v>7120</v>
      </c>
      <c r="L76" s="108">
        <f t="shared" si="49"/>
        <v>11220</v>
      </c>
      <c r="M76" s="108">
        <f t="shared" si="49"/>
        <v>11220</v>
      </c>
      <c r="N76" s="108">
        <f t="shared" si="49"/>
        <v>10920</v>
      </c>
      <c r="O76" s="108">
        <f t="shared" si="49"/>
        <v>0</v>
      </c>
      <c r="P76" s="109">
        <f t="shared" si="49"/>
        <v>0</v>
      </c>
      <c r="Q76" s="48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8">
        <v>0</v>
      </c>
      <c r="AC76" s="118">
        <v>2</v>
      </c>
      <c r="AD76" s="124">
        <v>0</v>
      </c>
      <c r="AE76" s="125">
        <v>2</v>
      </c>
      <c r="AF76">
        <f t="shared" si="24"/>
        <v>1</v>
      </c>
      <c r="AG76" s="126">
        <f t="shared" si="25"/>
        <v>0</v>
      </c>
      <c r="AH76">
        <f t="shared" si="26"/>
        <v>1</v>
      </c>
      <c r="AI76" s="127">
        <f t="shared" si="27"/>
        <v>2</v>
      </c>
    </row>
    <row r="77" spans="4:35" ht="13.8" customHeight="1" thickBot="1" x14ac:dyDescent="0.35">
      <c r="E77" s="157" t="s">
        <v>63</v>
      </c>
      <c r="F77" s="215"/>
      <c r="G77" s="216">
        <f>SUM(H58:H59)</f>
        <v>10</v>
      </c>
      <c r="H77" s="216">
        <f t="shared" ref="H77:P77" si="50">SUM(I58:I59)</f>
        <v>0</v>
      </c>
      <c r="I77" s="216">
        <f t="shared" si="50"/>
        <v>20</v>
      </c>
      <c r="J77" s="216">
        <f t="shared" si="50"/>
        <v>20</v>
      </c>
      <c r="K77" s="216">
        <f t="shared" si="50"/>
        <v>30</v>
      </c>
      <c r="L77" s="216">
        <f t="shared" si="50"/>
        <v>25</v>
      </c>
      <c r="M77" s="216">
        <f t="shared" si="50"/>
        <v>60</v>
      </c>
      <c r="N77" s="216">
        <f t="shared" si="50"/>
        <v>0</v>
      </c>
      <c r="O77" s="216">
        <f t="shared" si="50"/>
        <v>10</v>
      </c>
      <c r="P77" s="217">
        <f t="shared" si="50"/>
        <v>0</v>
      </c>
      <c r="Q77" s="48" t="s">
        <v>142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24"/>
        <v>1</v>
      </c>
      <c r="AG77" s="126">
        <f t="shared" si="25"/>
        <v>0</v>
      </c>
      <c r="AH77">
        <f t="shared" si="26"/>
        <v>1</v>
      </c>
      <c r="AI77" s="127">
        <f t="shared" si="27"/>
        <v>2</v>
      </c>
    </row>
    <row r="78" spans="4:35" ht="13.8" customHeight="1" thickBot="1" x14ac:dyDescent="0.35">
      <c r="E78" s="114" t="s">
        <v>66</v>
      </c>
      <c r="F78" s="110"/>
      <c r="G78" s="79">
        <f>IF($Q$70= "Choosing Supplier 1", MIN(G$155,G$77), MIN(G$77,G$176))</f>
        <v>0</v>
      </c>
      <c r="H78" s="79">
        <f>IF($Q$70= "Choosing Supplier 1", MIN(H$155,H$77), MIN(H$77,H$176))</f>
        <v>0</v>
      </c>
      <c r="I78" s="79">
        <f t="shared" ref="I78:P78" si="51">IF($Q$70= "Choosing Supplier 1", MIN(I$155,I$77), MIN(I$77,I$176))</f>
        <v>0</v>
      </c>
      <c r="J78" s="79">
        <f t="shared" si="51"/>
        <v>0</v>
      </c>
      <c r="K78" s="79">
        <f t="shared" si="51"/>
        <v>0</v>
      </c>
      <c r="L78" s="79">
        <f t="shared" si="51"/>
        <v>0</v>
      </c>
      <c r="M78" s="79">
        <f t="shared" si="51"/>
        <v>20</v>
      </c>
      <c r="N78" s="79">
        <f t="shared" si="51"/>
        <v>0</v>
      </c>
      <c r="O78" s="79">
        <f t="shared" si="51"/>
        <v>0</v>
      </c>
      <c r="P78" s="80">
        <f t="shared" si="51"/>
        <v>0</v>
      </c>
      <c r="Q78" s="48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24"/>
        <v>1</v>
      </c>
      <c r="AG78" s="126">
        <f t="shared" si="25"/>
        <v>0</v>
      </c>
      <c r="AH78">
        <f t="shared" si="26"/>
        <v>1</v>
      </c>
      <c r="AI78" s="127">
        <f t="shared" si="27"/>
        <v>2</v>
      </c>
    </row>
    <row r="79" spans="4:35" ht="13.8" customHeight="1" x14ac:dyDescent="0.3">
      <c r="E79" s="265" t="s">
        <v>125</v>
      </c>
      <c r="F79" s="262"/>
      <c r="G79" s="263">
        <f t="shared" ref="G79:P79" si="52">MIN(MAX(CEILING(IF($Q$70 = "Choosing Supplier 1", G$155,G176)/$F$55,1)*$F$55-(H66-H65),0),G77)</f>
        <v>0</v>
      </c>
      <c r="H79" s="263">
        <f t="shared" si="52"/>
        <v>0</v>
      </c>
      <c r="I79" s="263">
        <f>MIN(MAX(CEILING(IF($Q$70 = "Choosing Supplier 1", I$155,I176)/$F$55,1)*$F$55-(J66-J65),0),I77)</f>
        <v>0</v>
      </c>
      <c r="J79" s="263">
        <f t="shared" si="52"/>
        <v>0</v>
      </c>
      <c r="K79" s="263">
        <f t="shared" si="52"/>
        <v>0</v>
      </c>
      <c r="L79" s="263">
        <f t="shared" si="52"/>
        <v>0</v>
      </c>
      <c r="M79" s="263">
        <f t="shared" si="52"/>
        <v>15</v>
      </c>
      <c r="N79" s="263">
        <f t="shared" si="52"/>
        <v>0</v>
      </c>
      <c r="O79" s="263">
        <f t="shared" si="52"/>
        <v>0</v>
      </c>
      <c r="P79" s="264">
        <f t="shared" si="52"/>
        <v>0</v>
      </c>
      <c r="Q79" s="48"/>
      <c r="AD79" s="115"/>
      <c r="AE79" s="116"/>
      <c r="AG79" s="113"/>
      <c r="AI79" s="113"/>
    </row>
    <row r="80" spans="4:35" x14ac:dyDescent="0.3">
      <c r="E80" s="158" t="s">
        <v>67</v>
      </c>
      <c r="F80" s="159"/>
      <c r="G80" s="83">
        <f>QUOTIENT(MOD(G78+$F$50-1,$F$49),$F$50)</f>
        <v>0</v>
      </c>
      <c r="H80" s="83">
        <f t="shared" ref="H80:P80" si="53">QUOTIENT(MOD(H78+$F$50-1,$F$49),$F$50)</f>
        <v>0</v>
      </c>
      <c r="I80" s="83">
        <f t="shared" si="53"/>
        <v>0</v>
      </c>
      <c r="J80" s="83">
        <f t="shared" si="53"/>
        <v>0</v>
      </c>
      <c r="K80" s="83">
        <f t="shared" si="53"/>
        <v>0</v>
      </c>
      <c r="L80" s="83">
        <f t="shared" si="53"/>
        <v>0</v>
      </c>
      <c r="M80" s="83">
        <f t="shared" si="53"/>
        <v>0</v>
      </c>
      <c r="N80" s="83">
        <f t="shared" si="53"/>
        <v>0</v>
      </c>
      <c r="O80" s="83">
        <f t="shared" si="53"/>
        <v>0</v>
      </c>
      <c r="P80" s="84">
        <f t="shared" si="53"/>
        <v>0</v>
      </c>
      <c r="Q80" s="56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8">
        <v>0</v>
      </c>
      <c r="AC80" s="118">
        <v>2</v>
      </c>
      <c r="AD80" s="124">
        <v>0</v>
      </c>
      <c r="AE80" s="125">
        <v>2</v>
      </c>
      <c r="AF80">
        <f t="shared" si="24"/>
        <v>1</v>
      </c>
      <c r="AG80" s="126">
        <f t="shared" si="25"/>
        <v>0</v>
      </c>
      <c r="AH80">
        <f t="shared" si="26"/>
        <v>1</v>
      </c>
      <c r="AI80" s="127">
        <f t="shared" si="27"/>
        <v>2</v>
      </c>
    </row>
    <row r="81" spans="4:35" x14ac:dyDescent="0.3">
      <c r="E81" s="160" t="s">
        <v>72</v>
      </c>
      <c r="F81" s="82"/>
      <c r="G81" s="83">
        <f>QUOTIENT(G78+$F$50-1,$F$49)</f>
        <v>0</v>
      </c>
      <c r="H81" s="83">
        <f t="shared" ref="H81:P81" si="54">QUOTIENT(H78+$F$50-1,$F$49)</f>
        <v>0</v>
      </c>
      <c r="I81" s="83">
        <f t="shared" si="54"/>
        <v>0</v>
      </c>
      <c r="J81" s="83">
        <f t="shared" si="54"/>
        <v>0</v>
      </c>
      <c r="K81" s="83">
        <f t="shared" si="54"/>
        <v>0</v>
      </c>
      <c r="L81" s="83">
        <f t="shared" si="54"/>
        <v>0</v>
      </c>
      <c r="M81" s="83">
        <f t="shared" si="54"/>
        <v>1</v>
      </c>
      <c r="N81" s="83">
        <f t="shared" si="54"/>
        <v>0</v>
      </c>
      <c r="O81" s="83">
        <f t="shared" si="54"/>
        <v>0</v>
      </c>
      <c r="P81" s="84">
        <f t="shared" si="54"/>
        <v>0</v>
      </c>
      <c r="Q81" s="56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8">
        <v>0</v>
      </c>
      <c r="AC81" s="118">
        <v>2</v>
      </c>
      <c r="AD81" s="124">
        <v>0</v>
      </c>
      <c r="AE81" s="125">
        <v>2</v>
      </c>
      <c r="AF81">
        <f t="shared" si="24"/>
        <v>0</v>
      </c>
      <c r="AG81" s="126">
        <f t="shared" si="25"/>
        <v>0</v>
      </c>
      <c r="AH81">
        <f t="shared" si="26"/>
        <v>2</v>
      </c>
      <c r="AI81" s="127">
        <f t="shared" si="27"/>
        <v>2</v>
      </c>
    </row>
    <row r="82" spans="4:35" ht="15" thickBot="1" x14ac:dyDescent="0.35">
      <c r="E82" s="161" t="s">
        <v>73</v>
      </c>
      <c r="F82" s="129"/>
      <c r="G82" s="130">
        <f>G81*$G$49+G80*$G$50</f>
        <v>0</v>
      </c>
      <c r="H82" s="130">
        <f t="shared" ref="H82:P82" si="55">H81*$G$49+H80*$G$50</f>
        <v>0</v>
      </c>
      <c r="I82" s="130">
        <f t="shared" si="55"/>
        <v>0</v>
      </c>
      <c r="J82" s="130">
        <f t="shared" si="55"/>
        <v>0</v>
      </c>
      <c r="K82" s="130">
        <f t="shared" si="55"/>
        <v>0</v>
      </c>
      <c r="L82" s="130">
        <f t="shared" si="55"/>
        <v>0</v>
      </c>
      <c r="M82" s="130">
        <f t="shared" si="55"/>
        <v>500</v>
      </c>
      <c r="N82" s="130">
        <f t="shared" si="55"/>
        <v>0</v>
      </c>
      <c r="O82" s="130">
        <f t="shared" si="55"/>
        <v>0</v>
      </c>
      <c r="P82" s="131">
        <f t="shared" si="55"/>
        <v>0</v>
      </c>
      <c r="Q82" s="132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8">
        <v>1</v>
      </c>
      <c r="AC82" s="118">
        <v>2</v>
      </c>
      <c r="AD82" s="124">
        <v>1</v>
      </c>
      <c r="AE82" s="125">
        <v>2</v>
      </c>
      <c r="AF82">
        <f t="shared" si="24"/>
        <v>0</v>
      </c>
      <c r="AG82" s="126">
        <f t="shared" si="25"/>
        <v>1</v>
      </c>
      <c r="AH82">
        <f t="shared" si="26"/>
        <v>2</v>
      </c>
      <c r="AI82" s="127">
        <f t="shared" si="27"/>
        <v>2</v>
      </c>
    </row>
    <row r="83" spans="4:35" ht="15" thickBot="1" x14ac:dyDescent="0.35">
      <c r="D83" s="48" t="s">
        <v>74</v>
      </c>
      <c r="E83" s="133" t="s">
        <v>75</v>
      </c>
      <c r="F83" s="90"/>
      <c r="G83" s="138">
        <f t="shared" ref="G83:J83" si="56">G79*G71</f>
        <v>0</v>
      </c>
      <c r="H83" s="138">
        <f t="shared" si="56"/>
        <v>0</v>
      </c>
      <c r="I83" s="138">
        <f t="shared" si="56"/>
        <v>0</v>
      </c>
      <c r="J83" s="138">
        <f t="shared" si="56"/>
        <v>0</v>
      </c>
      <c r="K83" s="138">
        <f>K79*K71</f>
        <v>0</v>
      </c>
      <c r="L83" s="138">
        <f t="shared" ref="L83:P83" si="57">L79*L71</f>
        <v>0</v>
      </c>
      <c r="M83" s="138">
        <f t="shared" si="57"/>
        <v>3210</v>
      </c>
      <c r="N83" s="138">
        <f t="shared" si="57"/>
        <v>0</v>
      </c>
      <c r="O83" s="138">
        <f t="shared" si="57"/>
        <v>0</v>
      </c>
      <c r="P83" s="139">
        <f t="shared" si="57"/>
        <v>0</v>
      </c>
      <c r="Q83" s="132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8">
        <v>1</v>
      </c>
      <c r="AC83" s="118">
        <v>2</v>
      </c>
      <c r="AD83" s="162">
        <v>1</v>
      </c>
      <c r="AE83" s="163">
        <v>2</v>
      </c>
      <c r="AF83" s="164">
        <f t="shared" si="24"/>
        <v>0</v>
      </c>
      <c r="AG83" s="165">
        <f t="shared" si="25"/>
        <v>1</v>
      </c>
      <c r="AH83" s="164">
        <f t="shared" si="26"/>
        <v>2</v>
      </c>
      <c r="AI83" s="166">
        <f t="shared" si="27"/>
        <v>2</v>
      </c>
    </row>
    <row r="84" spans="4:35" ht="15" thickBot="1" x14ac:dyDescent="0.35">
      <c r="D84" s="48"/>
      <c r="E84" s="135" t="s">
        <v>76</v>
      </c>
      <c r="F84" s="136"/>
      <c r="G84" s="108">
        <f>G83+G82</f>
        <v>0</v>
      </c>
      <c r="H84" s="108">
        <f t="shared" ref="H84:P84" si="58">H83+H82</f>
        <v>0</v>
      </c>
      <c r="I84" s="108">
        <f t="shared" si="58"/>
        <v>0</v>
      </c>
      <c r="J84" s="108">
        <f t="shared" si="58"/>
        <v>0</v>
      </c>
      <c r="K84" s="108">
        <f t="shared" si="58"/>
        <v>0</v>
      </c>
      <c r="L84" s="108">
        <f t="shared" si="58"/>
        <v>0</v>
      </c>
      <c r="M84" s="108">
        <f t="shared" si="58"/>
        <v>3710</v>
      </c>
      <c r="N84" s="108">
        <f t="shared" si="58"/>
        <v>0</v>
      </c>
      <c r="O84" s="108">
        <f t="shared" si="58"/>
        <v>0</v>
      </c>
      <c r="P84" s="109">
        <f t="shared" si="58"/>
        <v>0</v>
      </c>
      <c r="Q84" s="56"/>
      <c r="AB84" s="167"/>
    </row>
    <row r="85" spans="4:35" x14ac:dyDescent="0.3">
      <c r="E85" s="137" t="s">
        <v>77</v>
      </c>
      <c r="F85" s="90"/>
      <c r="G85" s="138">
        <f t="shared" ref="G85:J85" si="59">G79*G74</f>
        <v>0</v>
      </c>
      <c r="H85" s="138">
        <f t="shared" si="59"/>
        <v>0</v>
      </c>
      <c r="I85" s="138">
        <f t="shared" si="59"/>
        <v>0</v>
      </c>
      <c r="J85" s="138">
        <f t="shared" si="59"/>
        <v>0</v>
      </c>
      <c r="K85" s="138">
        <f>K79*K74</f>
        <v>0</v>
      </c>
      <c r="L85" s="138">
        <f t="shared" ref="L85:P85" si="60">L79*L74</f>
        <v>0</v>
      </c>
      <c r="M85" s="138">
        <f t="shared" si="60"/>
        <v>6390</v>
      </c>
      <c r="N85" s="138">
        <f t="shared" si="60"/>
        <v>0</v>
      </c>
      <c r="O85" s="138">
        <f t="shared" si="60"/>
        <v>0</v>
      </c>
      <c r="P85" s="139">
        <f t="shared" si="60"/>
        <v>0</v>
      </c>
      <c r="Q85" s="56"/>
      <c r="AB85" s="167"/>
    </row>
    <row r="86" spans="4:35" ht="15" thickBot="1" x14ac:dyDescent="0.35">
      <c r="E86" s="135" t="s">
        <v>87</v>
      </c>
      <c r="F86" s="140"/>
      <c r="G86" s="141">
        <f>G85-G84</f>
        <v>0</v>
      </c>
      <c r="H86" s="141">
        <f>H85-H84</f>
        <v>0</v>
      </c>
      <c r="I86" s="141">
        <f t="shared" ref="I86:P86" si="61">I85-I84</f>
        <v>0</v>
      </c>
      <c r="J86" s="141">
        <f t="shared" si="61"/>
        <v>0</v>
      </c>
      <c r="K86" s="141">
        <f t="shared" si="61"/>
        <v>0</v>
      </c>
      <c r="L86" s="141">
        <f t="shared" si="61"/>
        <v>0</v>
      </c>
      <c r="M86" s="141">
        <f t="shared" si="61"/>
        <v>2680</v>
      </c>
      <c r="N86" s="141">
        <f t="shared" si="61"/>
        <v>0</v>
      </c>
      <c r="O86" s="141">
        <f t="shared" si="61"/>
        <v>0</v>
      </c>
      <c r="P86" s="143">
        <f t="shared" si="61"/>
        <v>0</v>
      </c>
      <c r="Q86" s="48" t="s">
        <v>62</v>
      </c>
      <c r="AB86" s="167"/>
    </row>
    <row r="87" spans="4:35" ht="15" thickBot="1" x14ac:dyDescent="0.35">
      <c r="E87" s="144" t="s">
        <v>79</v>
      </c>
      <c r="F87" s="145"/>
      <c r="G87" s="146">
        <f>G76-G86</f>
        <v>3520</v>
      </c>
      <c r="H87" s="146">
        <f>H76-H86</f>
        <v>0</v>
      </c>
      <c r="I87" s="146">
        <f t="shared" ref="I87:P87" si="62">I76-I86</f>
        <v>13920</v>
      </c>
      <c r="J87" s="146">
        <f t="shared" si="62"/>
        <v>13840</v>
      </c>
      <c r="K87" s="146">
        <f t="shared" si="62"/>
        <v>7120</v>
      </c>
      <c r="L87" s="146">
        <f t="shared" si="62"/>
        <v>11220</v>
      </c>
      <c r="M87" s="146">
        <f t="shared" si="62"/>
        <v>8540</v>
      </c>
      <c r="N87" s="146">
        <f t="shared" si="62"/>
        <v>10920</v>
      </c>
      <c r="O87" s="146">
        <f t="shared" si="62"/>
        <v>0</v>
      </c>
      <c r="P87" s="147">
        <f t="shared" si="62"/>
        <v>0</v>
      </c>
      <c r="AB87" s="167"/>
    </row>
    <row r="88" spans="4:35" x14ac:dyDescent="0.3">
      <c r="E88" s="148" t="s">
        <v>80</v>
      </c>
      <c r="F88" s="149"/>
      <c r="G88" s="150">
        <f t="shared" ref="G88:P88" si="63">G77/G67</f>
        <v>0.5</v>
      </c>
      <c r="H88" s="150" t="e">
        <f t="shared" si="63"/>
        <v>#DIV/0!</v>
      </c>
      <c r="I88" s="150">
        <f t="shared" si="63"/>
        <v>0.25</v>
      </c>
      <c r="J88" s="150">
        <f t="shared" si="63"/>
        <v>0.25</v>
      </c>
      <c r="K88" s="150">
        <f t="shared" si="63"/>
        <v>0.75</v>
      </c>
      <c r="L88" s="150">
        <f t="shared" si="63"/>
        <v>0.41666666666666669</v>
      </c>
      <c r="M88" s="150">
        <f t="shared" si="63"/>
        <v>1</v>
      </c>
      <c r="N88" s="150">
        <f t="shared" si="63"/>
        <v>0</v>
      </c>
      <c r="O88" s="150" t="e">
        <f t="shared" si="63"/>
        <v>#DIV/0!</v>
      </c>
      <c r="P88" s="150" t="e">
        <f t="shared" si="63"/>
        <v>#DIV/0!</v>
      </c>
      <c r="AB88" s="167"/>
    </row>
    <row r="89" spans="4:35" x14ac:dyDescent="0.3">
      <c r="E89" s="148" t="s">
        <v>81</v>
      </c>
      <c r="F89" s="149"/>
      <c r="G89" s="150">
        <f t="shared" ref="G89:P89" si="64">G84/G73</f>
        <v>0</v>
      </c>
      <c r="H89" s="150" t="e">
        <f t="shared" si="64"/>
        <v>#DIV/0!</v>
      </c>
      <c r="I89" s="150">
        <f t="shared" si="64"/>
        <v>0</v>
      </c>
      <c r="J89" s="150">
        <f t="shared" si="64"/>
        <v>0</v>
      </c>
      <c r="K89" s="150">
        <f t="shared" si="64"/>
        <v>0</v>
      </c>
      <c r="L89" s="150">
        <f t="shared" si="64"/>
        <v>0</v>
      </c>
      <c r="M89" s="150">
        <f t="shared" si="64"/>
        <v>0.25871687587168757</v>
      </c>
      <c r="N89" s="150">
        <f t="shared" si="64"/>
        <v>0</v>
      </c>
      <c r="O89" s="150" t="e">
        <f t="shared" si="64"/>
        <v>#DIV/0!</v>
      </c>
      <c r="P89" s="150" t="e">
        <f t="shared" si="64"/>
        <v>#DIV/0!</v>
      </c>
      <c r="AB89" s="167"/>
    </row>
    <row r="90" spans="4:35" x14ac:dyDescent="0.3">
      <c r="E90" s="148" t="s">
        <v>82</v>
      </c>
      <c r="F90" s="151"/>
      <c r="G90" s="150">
        <f t="shared" ref="G90:P90" si="65">G86/G76</f>
        <v>0</v>
      </c>
      <c r="H90" s="150" t="e">
        <f t="shared" si="65"/>
        <v>#DIV/0!</v>
      </c>
      <c r="I90" s="150">
        <f t="shared" si="65"/>
        <v>0</v>
      </c>
      <c r="J90" s="150">
        <f t="shared" si="65"/>
        <v>0</v>
      </c>
      <c r="K90" s="150">
        <f t="shared" si="65"/>
        <v>0</v>
      </c>
      <c r="L90" s="150">
        <f t="shared" si="65"/>
        <v>0</v>
      </c>
      <c r="M90" s="150">
        <f t="shared" si="65"/>
        <v>0.23885918003565063</v>
      </c>
      <c r="N90" s="150">
        <f t="shared" si="65"/>
        <v>0</v>
      </c>
      <c r="O90" s="150" t="e">
        <f t="shared" si="65"/>
        <v>#DIV/0!</v>
      </c>
      <c r="P90" s="150" t="e">
        <f t="shared" si="65"/>
        <v>#DIV/0!</v>
      </c>
      <c r="AB90" s="167"/>
    </row>
    <row r="91" spans="4:35" x14ac:dyDescent="0.3">
      <c r="E91" s="168"/>
      <c r="F91" s="169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AB91" s="167"/>
    </row>
    <row r="92" spans="4:35" x14ac:dyDescent="0.3">
      <c r="F92" s="4"/>
      <c r="AB92" s="167"/>
    </row>
    <row r="93" spans="4:35" x14ac:dyDescent="0.3">
      <c r="D93" s="50" t="s">
        <v>88</v>
      </c>
      <c r="E93" s="51" t="s">
        <v>89</v>
      </c>
      <c r="F93" s="4"/>
      <c r="R93" s="118" t="s">
        <v>152</v>
      </c>
      <c r="AB93" s="167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7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3"/>
      <c r="AB95" s="167"/>
    </row>
    <row r="96" spans="4:35" ht="14.4" customHeight="1" x14ac:dyDescent="0.3">
      <c r="E96" s="255" t="s">
        <v>119</v>
      </c>
      <c r="F96" s="258">
        <f>'DC3'!C5</f>
        <v>20</v>
      </c>
      <c r="G96" s="261">
        <f>'DC3'!D5</f>
        <v>400</v>
      </c>
      <c r="P96" s="253"/>
      <c r="AB96" s="167"/>
    </row>
    <row r="97" spans="5:28" ht="14.4" customHeight="1" x14ac:dyDescent="0.3">
      <c r="E97" s="255" t="s">
        <v>120</v>
      </c>
      <c r="F97" s="258">
        <f>'DC3'!C6</f>
        <v>10</v>
      </c>
      <c r="G97" s="261">
        <f>'DC3'!D6</f>
        <v>250</v>
      </c>
      <c r="P97" s="253"/>
      <c r="AB97" s="167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301">
        <v>3</v>
      </c>
      <c r="AB98" s="167"/>
    </row>
    <row r="99" spans="5:28" ht="14.4" customHeight="1" x14ac:dyDescent="0.3">
      <c r="E99" s="255" t="s">
        <v>122</v>
      </c>
      <c r="F99" s="260">
        <f>'DC3'!C8</f>
        <v>1</v>
      </c>
      <c r="G99" t="s">
        <v>34</v>
      </c>
      <c r="P99" s="301"/>
      <c r="AB99" s="167"/>
    </row>
    <row r="100" spans="5:28" ht="14.4" customHeight="1" x14ac:dyDescent="0.3">
      <c r="E100" s="1" t="s">
        <v>86</v>
      </c>
      <c r="F100" s="7">
        <f>'DC3'!C9</f>
        <v>15</v>
      </c>
      <c r="G100" t="s">
        <v>35</v>
      </c>
      <c r="L100" s="52" t="s">
        <v>36</v>
      </c>
      <c r="P100" s="301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302"/>
    </row>
    <row r="102" spans="5:28" ht="15" thickBot="1" x14ac:dyDescent="0.35">
      <c r="F102" s="53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5"/>
      <c r="G103" s="65">
        <f>'DC3'!C13</f>
        <v>0</v>
      </c>
      <c r="H103" s="65">
        <f>'DC3'!D13</f>
        <v>20</v>
      </c>
      <c r="I103" s="65">
        <f>'DC3'!E13</f>
        <v>30</v>
      </c>
      <c r="J103" s="65">
        <f>'DC3'!F13</f>
        <v>20</v>
      </c>
      <c r="K103" s="65">
        <f>'DC3'!G13</f>
        <v>10</v>
      </c>
      <c r="L103" s="65">
        <f>'DC3'!H13</f>
        <v>45</v>
      </c>
      <c r="M103" s="65">
        <f>'DC3'!I13</f>
        <v>100</v>
      </c>
      <c r="N103" s="65">
        <f>'DC3'!J13</f>
        <v>15</v>
      </c>
      <c r="O103" s="65">
        <f>'DC3'!K13</f>
        <v>0</v>
      </c>
      <c r="P103" s="209">
        <f>'DC3'!L13</f>
        <v>10</v>
      </c>
    </row>
    <row r="104" spans="5:28" x14ac:dyDescent="0.3">
      <c r="E104" s="13" t="s">
        <v>11</v>
      </c>
      <c r="F104" s="57"/>
      <c r="G104" s="210">
        <f>'DC3'!C14</f>
        <v>40</v>
      </c>
      <c r="H104" s="210">
        <f>'DC3'!D14</f>
        <v>30</v>
      </c>
      <c r="I104" s="210">
        <f>'DC3'!E14</f>
        <v>0</v>
      </c>
      <c r="J104" s="210">
        <f>'DC3'!F14</f>
        <v>0</v>
      </c>
      <c r="K104" s="210">
        <f>'DC3'!G14</f>
        <v>0</v>
      </c>
      <c r="L104" s="210">
        <f>'DC3'!H14</f>
        <v>0</v>
      </c>
      <c r="M104" s="210">
        <f>'DC3'!I14</f>
        <v>0</v>
      </c>
      <c r="N104" s="210">
        <f>'DC3'!J14</f>
        <v>0</v>
      </c>
      <c r="O104" s="210">
        <f>'DC3'!K14</f>
        <v>0</v>
      </c>
      <c r="P104" s="36">
        <f>'DC3'!L14</f>
        <v>0</v>
      </c>
    </row>
    <row r="105" spans="5:28" x14ac:dyDescent="0.3">
      <c r="E105" s="15" t="s">
        <v>12</v>
      </c>
      <c r="F105" s="58"/>
      <c r="G105" s="210">
        <f>'DC3'!C15</f>
        <v>0</v>
      </c>
      <c r="H105" s="210">
        <f>'DC3'!D15</f>
        <v>0</v>
      </c>
      <c r="I105" s="210">
        <f>'DC3'!E15</f>
        <v>40</v>
      </c>
      <c r="J105" s="210">
        <f>'DC3'!F15</f>
        <v>30</v>
      </c>
      <c r="K105" s="210">
        <f>'DC3'!G15</f>
        <v>40</v>
      </c>
      <c r="L105" s="210">
        <f>'DC3'!H15</f>
        <v>20</v>
      </c>
      <c r="M105" s="210">
        <f>'DC3'!I15</f>
        <v>30</v>
      </c>
      <c r="N105" s="210">
        <f>'DC3'!J15</f>
        <v>0</v>
      </c>
      <c r="O105" s="210">
        <f>'DC3'!K15</f>
        <v>30</v>
      </c>
      <c r="P105" s="36">
        <f>'DC3'!L15</f>
        <v>20</v>
      </c>
    </row>
    <row r="106" spans="5:28" ht="15" thickBot="1" x14ac:dyDescent="0.35">
      <c r="E106" s="16" t="s">
        <v>13</v>
      </c>
      <c r="F106" s="211"/>
      <c r="G106" s="212">
        <f>'DC3'!C16</f>
        <v>0</v>
      </c>
      <c r="H106" s="212">
        <f>'DC3'!D16</f>
        <v>20</v>
      </c>
      <c r="I106" s="212">
        <f>'DC3'!E16</f>
        <v>0</v>
      </c>
      <c r="J106" s="212">
        <f>'DC3'!F16</f>
        <v>0</v>
      </c>
      <c r="K106" s="212">
        <f>'DC3'!G16</f>
        <v>0</v>
      </c>
      <c r="L106" s="212">
        <f>'DC3'!H16</f>
        <v>0</v>
      </c>
      <c r="M106" s="212">
        <f>'DC3'!I16</f>
        <v>0</v>
      </c>
      <c r="N106" s="212">
        <f>'DC3'!J16</f>
        <v>0</v>
      </c>
      <c r="O106" s="212">
        <f>'DC3'!K16</f>
        <v>0</v>
      </c>
      <c r="P106" s="213">
        <f>'DC3'!L16</f>
        <v>0</v>
      </c>
    </row>
    <row r="107" spans="5:28" ht="15" thickBot="1" x14ac:dyDescent="0.35">
      <c r="E107" s="214" t="s">
        <v>42</v>
      </c>
      <c r="F107" s="206"/>
      <c r="G107" s="207">
        <f>SUM(G103:G106)</f>
        <v>40</v>
      </c>
      <c r="H107" s="207">
        <f t="shared" ref="H107:P107" si="66">SUM(H103:H106)</f>
        <v>70</v>
      </c>
      <c r="I107" s="207">
        <f t="shared" si="66"/>
        <v>70</v>
      </c>
      <c r="J107" s="207">
        <f t="shared" si="66"/>
        <v>50</v>
      </c>
      <c r="K107" s="207">
        <f t="shared" si="66"/>
        <v>50</v>
      </c>
      <c r="L107" s="207">
        <f t="shared" si="66"/>
        <v>65</v>
      </c>
      <c r="M107" s="207">
        <f t="shared" si="66"/>
        <v>130</v>
      </c>
      <c r="N107" s="207">
        <f t="shared" si="66"/>
        <v>15</v>
      </c>
      <c r="O107" s="207">
        <f t="shared" si="66"/>
        <v>30</v>
      </c>
      <c r="P107" s="208">
        <f t="shared" si="66"/>
        <v>30</v>
      </c>
    </row>
    <row r="108" spans="5:28" x14ac:dyDescent="0.3">
      <c r="E108" s="171" t="s">
        <v>14</v>
      </c>
      <c r="F108" s="64"/>
      <c r="G108" s="65">
        <f>'DC3'!C17</f>
        <v>20</v>
      </c>
      <c r="H108" s="65">
        <f>'DC3'!D17</f>
        <v>0</v>
      </c>
      <c r="I108" s="172"/>
      <c r="J108" s="172"/>
      <c r="K108" s="172"/>
      <c r="L108" s="172"/>
      <c r="M108" s="172"/>
      <c r="N108" s="172"/>
      <c r="O108" s="172"/>
      <c r="P108" s="173"/>
    </row>
    <row r="109" spans="5:28" x14ac:dyDescent="0.3">
      <c r="E109" s="174" t="s">
        <v>44</v>
      </c>
      <c r="F109" s="67">
        <f>'DC3'!C11</f>
        <v>20</v>
      </c>
      <c r="G109" s="68">
        <f>F109+G108+G111-G107</f>
        <v>15</v>
      </c>
      <c r="H109" s="175">
        <f t="shared" ref="H109:P109" si="67">G109+H108+H111-H107</f>
        <v>20</v>
      </c>
      <c r="I109" s="175">
        <f t="shared" si="67"/>
        <v>10</v>
      </c>
      <c r="J109" s="175">
        <f t="shared" si="67"/>
        <v>20</v>
      </c>
      <c r="K109" s="175">
        <f t="shared" si="67"/>
        <v>15</v>
      </c>
      <c r="L109" s="175">
        <f t="shared" si="67"/>
        <v>10</v>
      </c>
      <c r="M109" s="175">
        <f t="shared" si="67"/>
        <v>15</v>
      </c>
      <c r="N109" s="175">
        <f t="shared" si="67"/>
        <v>15</v>
      </c>
      <c r="O109" s="175">
        <f t="shared" si="67"/>
        <v>15</v>
      </c>
      <c r="P109" s="176">
        <f t="shared" si="67"/>
        <v>15</v>
      </c>
      <c r="R109" s="70" t="s">
        <v>45</v>
      </c>
    </row>
    <row r="110" spans="5:28" x14ac:dyDescent="0.3">
      <c r="E110" s="174" t="s">
        <v>47</v>
      </c>
      <c r="F110" s="292"/>
      <c r="G110" s="68">
        <f>IF(F109-G107+G108&lt;=$F$101, G107-G108-F109+$F$101,0)</f>
        <v>10</v>
      </c>
      <c r="H110" s="68">
        <f t="shared" ref="H110:P110" si="68">IF(G109-H107+H108&lt;=$F$101, H107-H108-G109+$F$101,0)</f>
        <v>65</v>
      </c>
      <c r="I110" s="68">
        <f t="shared" si="68"/>
        <v>60</v>
      </c>
      <c r="J110" s="68">
        <f t="shared" si="68"/>
        <v>50</v>
      </c>
      <c r="K110" s="68">
        <f t="shared" si="68"/>
        <v>40</v>
      </c>
      <c r="L110" s="68">
        <f t="shared" si="68"/>
        <v>60</v>
      </c>
      <c r="M110" s="68">
        <f t="shared" si="68"/>
        <v>130</v>
      </c>
      <c r="N110" s="68">
        <f t="shared" si="68"/>
        <v>10</v>
      </c>
      <c r="O110" s="68">
        <f t="shared" si="68"/>
        <v>25</v>
      </c>
      <c r="P110" s="69">
        <f t="shared" si="68"/>
        <v>25</v>
      </c>
      <c r="R110" s="70" t="s">
        <v>48</v>
      </c>
    </row>
    <row r="111" spans="5:28" x14ac:dyDescent="0.3">
      <c r="E111" s="177" t="s">
        <v>49</v>
      </c>
      <c r="F111" s="292"/>
      <c r="G111" s="175">
        <f xml:space="preserve"> CEILING(G110/$F$100,1)*$F$100</f>
        <v>15</v>
      </c>
      <c r="H111" s="175">
        <f t="shared" ref="H111:P111" si="69" xml:space="preserve"> CEILING(H110/$F$100,1)*$F$100</f>
        <v>75</v>
      </c>
      <c r="I111" s="175">
        <f t="shared" si="69"/>
        <v>60</v>
      </c>
      <c r="J111" s="175">
        <f t="shared" si="69"/>
        <v>60</v>
      </c>
      <c r="K111" s="175">
        <f t="shared" si="69"/>
        <v>45</v>
      </c>
      <c r="L111" s="175">
        <f t="shared" si="69"/>
        <v>60</v>
      </c>
      <c r="M111" s="175">
        <f t="shared" si="69"/>
        <v>135</v>
      </c>
      <c r="N111" s="175">
        <f t="shared" si="69"/>
        <v>15</v>
      </c>
      <c r="O111" s="175">
        <f t="shared" si="69"/>
        <v>30</v>
      </c>
      <c r="P111" s="176">
        <f t="shared" si="69"/>
        <v>30</v>
      </c>
    </row>
    <row r="112" spans="5:28" ht="15" thickBot="1" x14ac:dyDescent="0.35">
      <c r="E112" s="178" t="s">
        <v>50</v>
      </c>
      <c r="F112" s="74"/>
      <c r="G112" s="75">
        <f t="shared" ref="G112:P112" si="70">G111</f>
        <v>15</v>
      </c>
      <c r="H112" s="75">
        <f t="shared" si="70"/>
        <v>75</v>
      </c>
      <c r="I112" s="75">
        <f t="shared" si="70"/>
        <v>60</v>
      </c>
      <c r="J112" s="75">
        <f t="shared" si="70"/>
        <v>60</v>
      </c>
      <c r="K112" s="75">
        <f t="shared" si="70"/>
        <v>45</v>
      </c>
      <c r="L112" s="75">
        <f t="shared" si="70"/>
        <v>60</v>
      </c>
      <c r="M112" s="75">
        <f t="shared" si="70"/>
        <v>135</v>
      </c>
      <c r="N112" s="75">
        <f t="shared" si="70"/>
        <v>15</v>
      </c>
      <c r="O112" s="75">
        <f t="shared" si="70"/>
        <v>30</v>
      </c>
      <c r="P112" s="76">
        <f t="shared" si="70"/>
        <v>30</v>
      </c>
    </row>
    <row r="113" spans="4:37" x14ac:dyDescent="0.3">
      <c r="E113" s="114" t="s">
        <v>51</v>
      </c>
      <c r="F113" s="78"/>
      <c r="G113" s="79">
        <f>QUOTIENT(MOD(G112+$F$95-1,$F$94),$F$95)</f>
        <v>0</v>
      </c>
      <c r="H113" s="79">
        <f t="shared" ref="H113:P113" si="71">QUOTIENT(MOD(H112+$F$95-1,$F$94),$F$95)</f>
        <v>0</v>
      </c>
      <c r="I113" s="79">
        <f>QUOTIENT(MOD(I112+$F$95-1,$F$94),$F$95)</f>
        <v>0</v>
      </c>
      <c r="J113" s="79">
        <f t="shared" si="71"/>
        <v>0</v>
      </c>
      <c r="K113" s="79">
        <f t="shared" si="71"/>
        <v>1</v>
      </c>
      <c r="L113" s="79">
        <f t="shared" si="71"/>
        <v>0</v>
      </c>
      <c r="M113" s="79">
        <f t="shared" si="71"/>
        <v>0</v>
      </c>
      <c r="N113" s="79">
        <f t="shared" si="71"/>
        <v>0</v>
      </c>
      <c r="O113" s="79">
        <f t="shared" si="71"/>
        <v>1</v>
      </c>
      <c r="P113" s="80">
        <f t="shared" si="71"/>
        <v>1</v>
      </c>
    </row>
    <row r="114" spans="4:37" x14ac:dyDescent="0.3">
      <c r="D114" s="48"/>
      <c r="E114" s="179" t="s">
        <v>52</v>
      </c>
      <c r="F114" s="153"/>
      <c r="G114" s="83">
        <f>QUOTIENT(G112+$F$95-1,$F$94)</f>
        <v>1</v>
      </c>
      <c r="H114" s="83">
        <f t="shared" ref="H114:P114" si="72">QUOTIENT(H112+$F$95-1,$F$94)</f>
        <v>4</v>
      </c>
      <c r="I114" s="83">
        <f t="shared" si="72"/>
        <v>3</v>
      </c>
      <c r="J114" s="83">
        <f t="shared" si="72"/>
        <v>3</v>
      </c>
      <c r="K114" s="83">
        <f t="shared" si="72"/>
        <v>2</v>
      </c>
      <c r="L114" s="83">
        <f t="shared" si="72"/>
        <v>3</v>
      </c>
      <c r="M114" s="83">
        <f t="shared" si="72"/>
        <v>7</v>
      </c>
      <c r="N114" s="83">
        <f t="shared" si="72"/>
        <v>1</v>
      </c>
      <c r="O114" s="83">
        <f t="shared" si="72"/>
        <v>1</v>
      </c>
      <c r="P114" s="84">
        <f t="shared" si="72"/>
        <v>1</v>
      </c>
    </row>
    <row r="115" spans="4:37" ht="15" thickBot="1" x14ac:dyDescent="0.35">
      <c r="E115" s="180" t="s">
        <v>53</v>
      </c>
      <c r="F115" s="86"/>
      <c r="G115" s="87">
        <f>IF($Q$115="Choosing Supplier 1", G114*$G$94+G113*$G$95,G114*$G$96+G113*$G$97)</f>
        <v>200</v>
      </c>
      <c r="H115" s="87">
        <f t="shared" ref="H115:P115" si="73">IF($Q$115="Choosing Supplier 1", H114*$G$94+H113*$G$95,H114*$G$96+H113*$G$97)</f>
        <v>800</v>
      </c>
      <c r="I115" s="87">
        <f t="shared" si="73"/>
        <v>600</v>
      </c>
      <c r="J115" s="87">
        <f t="shared" si="73"/>
        <v>600</v>
      </c>
      <c r="K115" s="87">
        <f t="shared" si="73"/>
        <v>520</v>
      </c>
      <c r="L115" s="87">
        <f t="shared" si="73"/>
        <v>600</v>
      </c>
      <c r="M115" s="87">
        <f t="shared" si="73"/>
        <v>1400</v>
      </c>
      <c r="N115" s="87">
        <f t="shared" si="73"/>
        <v>200</v>
      </c>
      <c r="O115" s="87">
        <f t="shared" si="73"/>
        <v>320</v>
      </c>
      <c r="P115" s="88">
        <f t="shared" si="73"/>
        <v>320</v>
      </c>
      <c r="Q115" s="289" t="str">
        <f>IF($G$94&lt;$G$96,IF($F$144="Yes","Choosing Supplier 1","Choosing Supplier 2"),IF($F$165="Yes","Choosing Supplier 2","Choosing Supplier 1"))</f>
        <v>Choosing Supplier 1</v>
      </c>
      <c r="R115" t="s">
        <v>143</v>
      </c>
    </row>
    <row r="116" spans="4:37" x14ac:dyDescent="0.3">
      <c r="E116" s="89" t="s">
        <v>17</v>
      </c>
      <c r="F116" s="90"/>
      <c r="G116" s="91">
        <f>'DC3'!C18</f>
        <v>210</v>
      </c>
      <c r="H116" s="91">
        <f>'DC3'!D18</f>
        <v>211</v>
      </c>
      <c r="I116" s="91">
        <f>'DC3'!E18</f>
        <v>213</v>
      </c>
      <c r="J116" s="91">
        <f>'DC3'!F18</f>
        <v>215</v>
      </c>
      <c r="K116" s="91">
        <f>'DC3'!G18</f>
        <v>215</v>
      </c>
      <c r="L116" s="91">
        <f>'DC3'!H18</f>
        <v>216</v>
      </c>
      <c r="M116" s="91">
        <f>'DC3'!I18</f>
        <v>214</v>
      </c>
      <c r="N116" s="91">
        <f>'DC3'!J18</f>
        <v>212</v>
      </c>
      <c r="O116" s="91">
        <f>'DC3'!K18</f>
        <v>210</v>
      </c>
      <c r="P116" s="92">
        <f>'DC3'!L18</f>
        <v>209</v>
      </c>
    </row>
    <row r="117" spans="4:37" x14ac:dyDescent="0.3">
      <c r="D117" s="48" t="s">
        <v>54</v>
      </c>
      <c r="E117" s="93" t="s">
        <v>55</v>
      </c>
      <c r="F117" s="94"/>
      <c r="G117" s="95">
        <f>G116*G112</f>
        <v>3150</v>
      </c>
      <c r="H117" s="95">
        <f t="shared" ref="H117:P117" si="74">H116*H112</f>
        <v>15825</v>
      </c>
      <c r="I117" s="95">
        <f t="shared" si="74"/>
        <v>12780</v>
      </c>
      <c r="J117" s="95">
        <f t="shared" si="74"/>
        <v>12900</v>
      </c>
      <c r="K117" s="95">
        <f t="shared" si="74"/>
        <v>9675</v>
      </c>
      <c r="L117" s="95">
        <f t="shared" si="74"/>
        <v>12960</v>
      </c>
      <c r="M117" s="95">
        <f t="shared" si="74"/>
        <v>28890</v>
      </c>
      <c r="N117" s="95">
        <f t="shared" si="74"/>
        <v>3180</v>
      </c>
      <c r="O117" s="95">
        <f t="shared" si="74"/>
        <v>6300</v>
      </c>
      <c r="P117" s="134">
        <f t="shared" si="74"/>
        <v>6270</v>
      </c>
      <c r="Q117" s="48" t="s">
        <v>56</v>
      </c>
    </row>
    <row r="118" spans="4:37" ht="15" thickBot="1" x14ac:dyDescent="0.35">
      <c r="E118" s="98" t="s">
        <v>57</v>
      </c>
      <c r="F118" s="99"/>
      <c r="G118" s="100">
        <f t="shared" ref="G118:P118" si="75">G115+G117</f>
        <v>3350</v>
      </c>
      <c r="H118" s="100">
        <f t="shared" si="75"/>
        <v>16625</v>
      </c>
      <c r="I118" s="100">
        <f t="shared" si="75"/>
        <v>13380</v>
      </c>
      <c r="J118" s="100">
        <f t="shared" si="75"/>
        <v>13500</v>
      </c>
      <c r="K118" s="100">
        <f t="shared" si="75"/>
        <v>10195</v>
      </c>
      <c r="L118" s="100">
        <f t="shared" si="75"/>
        <v>13560</v>
      </c>
      <c r="M118" s="100">
        <f t="shared" si="75"/>
        <v>30290</v>
      </c>
      <c r="N118" s="100">
        <f t="shared" si="75"/>
        <v>3380</v>
      </c>
      <c r="O118" s="100">
        <f t="shared" si="75"/>
        <v>6620</v>
      </c>
      <c r="P118" s="101">
        <f t="shared" si="75"/>
        <v>6590</v>
      </c>
      <c r="Q118" s="48" t="s">
        <v>58</v>
      </c>
    </row>
    <row r="119" spans="4:37" x14ac:dyDescent="0.3">
      <c r="E119" s="89" t="s">
        <v>18</v>
      </c>
      <c r="F119" s="102"/>
      <c r="G119" s="91">
        <f>'DC3'!C19</f>
        <v>410</v>
      </c>
      <c r="H119" s="91">
        <f>'DC3'!D19</f>
        <v>413</v>
      </c>
      <c r="I119" s="91">
        <f>'DC3'!E19</f>
        <v>410</v>
      </c>
      <c r="J119" s="91">
        <f>'DC3'!F19</f>
        <v>415</v>
      </c>
      <c r="K119" s="91">
        <f>'DC3'!G19</f>
        <v>418</v>
      </c>
      <c r="L119" s="91">
        <f>'DC3'!H19</f>
        <v>430</v>
      </c>
      <c r="M119" s="91">
        <f>'DC3'!I19</f>
        <v>423</v>
      </c>
      <c r="N119" s="91">
        <f>'DC3'!J19</f>
        <v>419</v>
      </c>
      <c r="O119" s="91">
        <f>'DC3'!K19</f>
        <v>417</v>
      </c>
      <c r="P119" s="92">
        <f>'DC3'!L19</f>
        <v>422</v>
      </c>
    </row>
    <row r="120" spans="4:37" x14ac:dyDescent="0.3">
      <c r="E120" s="93" t="s">
        <v>59</v>
      </c>
      <c r="F120" s="103"/>
      <c r="G120" s="104">
        <f>G119*G112</f>
        <v>6150</v>
      </c>
      <c r="H120" s="104">
        <f t="shared" ref="H120:P120" si="76">H119*H112</f>
        <v>30975</v>
      </c>
      <c r="I120" s="104">
        <f t="shared" si="76"/>
        <v>24600</v>
      </c>
      <c r="J120" s="104">
        <f t="shared" si="76"/>
        <v>24900</v>
      </c>
      <c r="K120" s="104">
        <f t="shared" si="76"/>
        <v>18810</v>
      </c>
      <c r="L120" s="104">
        <f t="shared" si="76"/>
        <v>25800</v>
      </c>
      <c r="M120" s="104">
        <f t="shared" si="76"/>
        <v>57105</v>
      </c>
      <c r="N120" s="104">
        <f t="shared" si="76"/>
        <v>6285</v>
      </c>
      <c r="O120" s="104">
        <f t="shared" si="76"/>
        <v>12510</v>
      </c>
      <c r="P120" s="105">
        <f t="shared" si="76"/>
        <v>12660</v>
      </c>
      <c r="Q120" s="48" t="s">
        <v>60</v>
      </c>
    </row>
    <row r="121" spans="4:37" ht="13.8" customHeight="1" thickBot="1" x14ac:dyDescent="0.35">
      <c r="E121" s="106" t="s">
        <v>61</v>
      </c>
      <c r="F121" s="107"/>
      <c r="G121" s="108">
        <f>G120-G118</f>
        <v>2800</v>
      </c>
      <c r="H121" s="108">
        <f t="shared" ref="H121:P121" si="77">H120-H118</f>
        <v>14350</v>
      </c>
      <c r="I121" s="108">
        <f t="shared" si="77"/>
        <v>11220</v>
      </c>
      <c r="J121" s="108">
        <f t="shared" si="77"/>
        <v>11400</v>
      </c>
      <c r="K121" s="108">
        <f t="shared" si="77"/>
        <v>8615</v>
      </c>
      <c r="L121" s="108">
        <f t="shared" si="77"/>
        <v>12240</v>
      </c>
      <c r="M121" s="108">
        <f t="shared" si="77"/>
        <v>26815</v>
      </c>
      <c r="N121" s="108">
        <f t="shared" si="77"/>
        <v>2905</v>
      </c>
      <c r="O121" s="108">
        <f t="shared" si="77"/>
        <v>5890</v>
      </c>
      <c r="P121" s="109">
        <f t="shared" si="77"/>
        <v>6070</v>
      </c>
      <c r="Q121" s="48" t="s">
        <v>62</v>
      </c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</row>
    <row r="122" spans="4:37" ht="13.8" customHeight="1" thickBot="1" x14ac:dyDescent="0.35">
      <c r="E122" s="157" t="s">
        <v>63</v>
      </c>
      <c r="F122" s="215"/>
      <c r="G122" s="216">
        <f>SUM(G103:G104)</f>
        <v>40</v>
      </c>
      <c r="H122" s="216">
        <f t="shared" ref="H122:P122" si="78">SUM(H103:H104)</f>
        <v>50</v>
      </c>
      <c r="I122" s="216">
        <f t="shared" si="78"/>
        <v>30</v>
      </c>
      <c r="J122" s="216">
        <f t="shared" si="78"/>
        <v>20</v>
      </c>
      <c r="K122" s="216">
        <f t="shared" si="78"/>
        <v>10</v>
      </c>
      <c r="L122" s="216">
        <f t="shared" si="78"/>
        <v>45</v>
      </c>
      <c r="M122" s="216">
        <f t="shared" si="78"/>
        <v>100</v>
      </c>
      <c r="N122" s="216">
        <f t="shared" si="78"/>
        <v>15</v>
      </c>
      <c r="O122" s="216">
        <f t="shared" si="78"/>
        <v>0</v>
      </c>
      <c r="P122" s="217">
        <f t="shared" si="78"/>
        <v>10</v>
      </c>
      <c r="Q122" s="48" t="s">
        <v>142</v>
      </c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</row>
    <row r="123" spans="4:37" ht="13.8" customHeight="1" x14ac:dyDescent="0.3">
      <c r="E123" s="114" t="s">
        <v>66</v>
      </c>
      <c r="F123" s="110"/>
      <c r="G123" s="79">
        <f>IF($Q$115= "Choosing Supplier 1", MIN(G$155,G$122), MIN(G$122,G$176))</f>
        <v>0</v>
      </c>
      <c r="H123" s="79">
        <f t="shared" ref="H123:P123" si="79">IF($Q$115= "Choosing Supplier 1", MIN(H$155,H$122), MIN(H$122,H$176))</f>
        <v>0</v>
      </c>
      <c r="I123" s="79">
        <f t="shared" si="79"/>
        <v>0</v>
      </c>
      <c r="J123" s="79">
        <f t="shared" si="79"/>
        <v>0</v>
      </c>
      <c r="K123" s="79">
        <f t="shared" si="79"/>
        <v>0</v>
      </c>
      <c r="L123" s="79">
        <f t="shared" si="79"/>
        <v>0</v>
      </c>
      <c r="M123" s="79">
        <f t="shared" si="79"/>
        <v>20</v>
      </c>
      <c r="N123" s="79">
        <f t="shared" si="79"/>
        <v>0</v>
      </c>
      <c r="O123" s="79">
        <f t="shared" si="79"/>
        <v>0</v>
      </c>
      <c r="P123" s="80">
        <f t="shared" si="79"/>
        <v>0</v>
      </c>
      <c r="Q123" s="48"/>
      <c r="X123" s="267"/>
      <c r="Y123" s="267"/>
      <c r="Z123" s="267"/>
      <c r="AA123" s="267"/>
      <c r="AB123" s="268"/>
      <c r="AC123" s="268"/>
      <c r="AD123" s="267"/>
      <c r="AE123" s="268"/>
      <c r="AF123" s="267"/>
      <c r="AG123" s="267"/>
      <c r="AH123" s="267"/>
      <c r="AI123" s="267"/>
      <c r="AJ123" s="267"/>
      <c r="AK123" s="267"/>
    </row>
    <row r="124" spans="4:37" ht="13.8" customHeight="1" x14ac:dyDescent="0.3">
      <c r="E124" s="265" t="s">
        <v>125</v>
      </c>
      <c r="F124" s="262"/>
      <c r="G124" s="263">
        <f>MIN(MAX(CEILING(IF($Q$115 = "Choosing Supplier 1", G$155,G176)/$F$100,1)*$F$100-(G111-G110),0),G122)</f>
        <v>0</v>
      </c>
      <c r="H124" s="263">
        <f t="shared" ref="H124:P124" si="80">MIN(MAX(CEILING(IF($Q$115 = "Choosing Supplier 1", H$155,H176)/$F$100,1)*$F$100-(H111-H110),0),H122)</f>
        <v>0</v>
      </c>
      <c r="I124" s="263">
        <f t="shared" si="80"/>
        <v>0</v>
      </c>
      <c r="J124" s="263">
        <f t="shared" si="80"/>
        <v>0</v>
      </c>
      <c r="K124" s="263">
        <f t="shared" si="80"/>
        <v>0</v>
      </c>
      <c r="L124" s="263">
        <f t="shared" si="80"/>
        <v>0</v>
      </c>
      <c r="M124" s="263">
        <f t="shared" si="80"/>
        <v>25</v>
      </c>
      <c r="N124" s="263">
        <f t="shared" si="80"/>
        <v>0</v>
      </c>
      <c r="O124" s="263">
        <f t="shared" si="80"/>
        <v>0</v>
      </c>
      <c r="P124" s="264">
        <f t="shared" si="80"/>
        <v>0</v>
      </c>
      <c r="Q124" s="48"/>
      <c r="X124" s="267"/>
      <c r="Y124" s="267"/>
      <c r="Z124" s="267"/>
      <c r="AA124" s="267"/>
      <c r="AB124" s="268"/>
      <c r="AC124" s="268"/>
      <c r="AD124" s="267"/>
      <c r="AE124" s="268"/>
      <c r="AF124" s="267"/>
      <c r="AG124" s="267"/>
      <c r="AH124" s="267"/>
      <c r="AI124" s="267"/>
      <c r="AJ124" s="267"/>
      <c r="AK124" s="267"/>
    </row>
    <row r="125" spans="4:37" x14ac:dyDescent="0.3">
      <c r="E125" s="158" t="s">
        <v>67</v>
      </c>
      <c r="F125" s="159"/>
      <c r="G125" s="83">
        <f t="shared" ref="G125:P125" si="81">QUOTIENT(MOD(G123+$F$95-1,$F$94),$F$95)</f>
        <v>0</v>
      </c>
      <c r="H125" s="83">
        <f t="shared" si="81"/>
        <v>0</v>
      </c>
      <c r="I125" s="83">
        <f t="shared" si="81"/>
        <v>0</v>
      </c>
      <c r="J125" s="83">
        <f t="shared" si="81"/>
        <v>0</v>
      </c>
      <c r="K125" s="83">
        <f t="shared" si="81"/>
        <v>0</v>
      </c>
      <c r="L125" s="83">
        <f t="shared" si="81"/>
        <v>0</v>
      </c>
      <c r="M125" s="83">
        <f t="shared" si="81"/>
        <v>0</v>
      </c>
      <c r="N125" s="83">
        <f t="shared" si="81"/>
        <v>0</v>
      </c>
      <c r="O125" s="83">
        <f t="shared" si="81"/>
        <v>0</v>
      </c>
      <c r="P125" s="84">
        <f t="shared" si="81"/>
        <v>0</v>
      </c>
      <c r="Q125" s="56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</row>
    <row r="126" spans="4:37" x14ac:dyDescent="0.3">
      <c r="E126" s="160" t="s">
        <v>72</v>
      </c>
      <c r="F126" s="82"/>
      <c r="G126" s="83">
        <f t="shared" ref="G126:P126" si="82">QUOTIENT(G123+$F$95-1,$F$94)</f>
        <v>0</v>
      </c>
      <c r="H126" s="83">
        <f t="shared" si="82"/>
        <v>0</v>
      </c>
      <c r="I126" s="83">
        <f t="shared" si="82"/>
        <v>0</v>
      </c>
      <c r="J126" s="83">
        <f t="shared" si="82"/>
        <v>0</v>
      </c>
      <c r="K126" s="83">
        <f t="shared" si="82"/>
        <v>0</v>
      </c>
      <c r="L126" s="83">
        <f t="shared" si="82"/>
        <v>0</v>
      </c>
      <c r="M126" s="83">
        <f t="shared" si="82"/>
        <v>1</v>
      </c>
      <c r="N126" s="83">
        <f t="shared" si="82"/>
        <v>0</v>
      </c>
      <c r="O126" s="83">
        <f t="shared" si="82"/>
        <v>0</v>
      </c>
      <c r="P126" s="84">
        <f t="shared" si="82"/>
        <v>0</v>
      </c>
      <c r="Q126" s="56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</row>
    <row r="127" spans="4:37" ht="15" thickBot="1" x14ac:dyDescent="0.35">
      <c r="E127" s="161" t="s">
        <v>73</v>
      </c>
      <c r="F127" s="129"/>
      <c r="G127" s="130">
        <f>G126*$G$94+G125*$G$95</f>
        <v>0</v>
      </c>
      <c r="H127" s="130">
        <f t="shared" ref="H127:P127" si="83">H126*$G$94+H125*$G$95</f>
        <v>0</v>
      </c>
      <c r="I127" s="130">
        <f t="shared" si="83"/>
        <v>0</v>
      </c>
      <c r="J127" s="130">
        <f t="shared" si="83"/>
        <v>0</v>
      </c>
      <c r="K127" s="130">
        <f t="shared" si="83"/>
        <v>0</v>
      </c>
      <c r="L127" s="130">
        <f t="shared" si="83"/>
        <v>0</v>
      </c>
      <c r="M127" s="130">
        <f t="shared" si="83"/>
        <v>200</v>
      </c>
      <c r="N127" s="130">
        <f t="shared" si="83"/>
        <v>0</v>
      </c>
      <c r="O127" s="130">
        <f t="shared" si="83"/>
        <v>0</v>
      </c>
      <c r="P127" s="131">
        <f t="shared" si="83"/>
        <v>0</v>
      </c>
      <c r="Q127" s="132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</row>
    <row r="128" spans="4:37" x14ac:dyDescent="0.3">
      <c r="D128" s="48" t="s">
        <v>74</v>
      </c>
      <c r="E128" s="133" t="s">
        <v>75</v>
      </c>
      <c r="F128" s="90"/>
      <c r="G128" s="138">
        <f t="shared" ref="G128:J128" si="84">G124*G116</f>
        <v>0</v>
      </c>
      <c r="H128" s="138">
        <f t="shared" si="84"/>
        <v>0</v>
      </c>
      <c r="I128" s="138">
        <f t="shared" si="84"/>
        <v>0</v>
      </c>
      <c r="J128" s="138">
        <f t="shared" si="84"/>
        <v>0</v>
      </c>
      <c r="K128" s="138">
        <f>K124*K116</f>
        <v>0</v>
      </c>
      <c r="L128" s="138">
        <f t="shared" ref="L128:P128" si="85">L124*L116</f>
        <v>0</v>
      </c>
      <c r="M128" s="138">
        <f t="shared" si="85"/>
        <v>5350</v>
      </c>
      <c r="N128" s="138">
        <f t="shared" si="85"/>
        <v>0</v>
      </c>
      <c r="O128" s="138">
        <f t="shared" si="85"/>
        <v>0</v>
      </c>
      <c r="P128" s="139">
        <f t="shared" si="85"/>
        <v>0</v>
      </c>
      <c r="Q128" s="132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ht="15" thickBot="1" x14ac:dyDescent="0.35">
      <c r="D129" s="48"/>
      <c r="E129" s="135" t="s">
        <v>76</v>
      </c>
      <c r="F129" s="136"/>
      <c r="G129" s="108">
        <f>G128+G127</f>
        <v>0</v>
      </c>
      <c r="H129" s="108">
        <f t="shared" ref="H129:P129" si="86">H128+H127</f>
        <v>0</v>
      </c>
      <c r="I129" s="108">
        <f t="shared" si="86"/>
        <v>0</v>
      </c>
      <c r="J129" s="108">
        <f t="shared" si="86"/>
        <v>0</v>
      </c>
      <c r="K129" s="108">
        <f t="shared" si="86"/>
        <v>0</v>
      </c>
      <c r="L129" s="108">
        <f t="shared" si="86"/>
        <v>0</v>
      </c>
      <c r="M129" s="108">
        <f t="shared" si="86"/>
        <v>5550</v>
      </c>
      <c r="N129" s="108">
        <f t="shared" si="86"/>
        <v>0</v>
      </c>
      <c r="O129" s="108">
        <f t="shared" si="86"/>
        <v>0</v>
      </c>
      <c r="P129" s="109">
        <f t="shared" si="86"/>
        <v>0</v>
      </c>
      <c r="Q129" s="56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x14ac:dyDescent="0.3">
      <c r="E130" s="137" t="s">
        <v>77</v>
      </c>
      <c r="F130" s="90"/>
      <c r="G130" s="138">
        <f t="shared" ref="G130:J130" si="87">G124*G119</f>
        <v>0</v>
      </c>
      <c r="H130" s="138">
        <f t="shared" si="87"/>
        <v>0</v>
      </c>
      <c r="I130" s="138">
        <f t="shared" si="87"/>
        <v>0</v>
      </c>
      <c r="J130" s="138">
        <f t="shared" si="87"/>
        <v>0</v>
      </c>
      <c r="K130" s="138">
        <f>K124*K119</f>
        <v>0</v>
      </c>
      <c r="L130" s="138">
        <f t="shared" ref="L130:P130" si="88">L124*L119</f>
        <v>0</v>
      </c>
      <c r="M130" s="138">
        <f t="shared" si="88"/>
        <v>10575</v>
      </c>
      <c r="N130" s="138">
        <f t="shared" si="88"/>
        <v>0</v>
      </c>
      <c r="O130" s="138">
        <f t="shared" si="88"/>
        <v>0</v>
      </c>
      <c r="P130" s="139">
        <f t="shared" si="88"/>
        <v>0</v>
      </c>
      <c r="Q130" s="56"/>
    </row>
    <row r="131" spans="4:37" ht="15" thickBot="1" x14ac:dyDescent="0.35">
      <c r="E131" s="135" t="s">
        <v>78</v>
      </c>
      <c r="F131" s="140"/>
      <c r="G131" s="141">
        <f>G130-G129</f>
        <v>0</v>
      </c>
      <c r="H131" s="141">
        <f>H130-H129</f>
        <v>0</v>
      </c>
      <c r="I131" s="141">
        <f t="shared" ref="I131:P131" si="89">I130-I129</f>
        <v>0</v>
      </c>
      <c r="J131" s="141">
        <f t="shared" si="89"/>
        <v>0</v>
      </c>
      <c r="K131" s="141">
        <f t="shared" si="89"/>
        <v>0</v>
      </c>
      <c r="L131" s="141">
        <f t="shared" si="89"/>
        <v>0</v>
      </c>
      <c r="M131" s="141">
        <f t="shared" si="89"/>
        <v>5025</v>
      </c>
      <c r="N131" s="141">
        <f t="shared" si="89"/>
        <v>0</v>
      </c>
      <c r="O131" s="141">
        <f t="shared" si="89"/>
        <v>0</v>
      </c>
      <c r="P131" s="143">
        <f t="shared" si="89"/>
        <v>0</v>
      </c>
      <c r="Q131" s="48" t="s">
        <v>62</v>
      </c>
    </row>
    <row r="132" spans="4:37" ht="15" thickBot="1" x14ac:dyDescent="0.35">
      <c r="E132" s="144" t="s">
        <v>79</v>
      </c>
      <c r="F132" s="145"/>
      <c r="G132" s="146">
        <f t="shared" ref="G132:P132" si="90">G121-G131</f>
        <v>2800</v>
      </c>
      <c r="H132" s="146">
        <f t="shared" si="90"/>
        <v>14350</v>
      </c>
      <c r="I132" s="146">
        <f t="shared" si="90"/>
        <v>11220</v>
      </c>
      <c r="J132" s="146">
        <f t="shared" si="90"/>
        <v>11400</v>
      </c>
      <c r="K132" s="146">
        <f t="shared" si="90"/>
        <v>8615</v>
      </c>
      <c r="L132" s="146">
        <f t="shared" si="90"/>
        <v>12240</v>
      </c>
      <c r="M132" s="146">
        <f t="shared" si="90"/>
        <v>21790</v>
      </c>
      <c r="N132" s="146">
        <f t="shared" si="90"/>
        <v>2905</v>
      </c>
      <c r="O132" s="146">
        <f t="shared" si="90"/>
        <v>5890</v>
      </c>
      <c r="P132" s="147">
        <f t="shared" si="90"/>
        <v>6070</v>
      </c>
      <c r="AB132" s="167"/>
    </row>
    <row r="133" spans="4:37" x14ac:dyDescent="0.3">
      <c r="E133" s="148" t="s">
        <v>80</v>
      </c>
      <c r="F133" s="149"/>
      <c r="G133" s="150">
        <f t="shared" ref="G133:P133" si="91">G122/G112</f>
        <v>2.6666666666666665</v>
      </c>
      <c r="H133" s="150">
        <f t="shared" si="91"/>
        <v>0.66666666666666663</v>
      </c>
      <c r="I133" s="150">
        <f t="shared" si="91"/>
        <v>0.5</v>
      </c>
      <c r="J133" s="150">
        <f t="shared" si="91"/>
        <v>0.33333333333333331</v>
      </c>
      <c r="K133" s="150">
        <f t="shared" si="91"/>
        <v>0.22222222222222221</v>
      </c>
      <c r="L133" s="150">
        <f t="shared" si="91"/>
        <v>0.75</v>
      </c>
      <c r="M133" s="150">
        <f t="shared" si="91"/>
        <v>0.7407407407407407</v>
      </c>
      <c r="N133" s="150">
        <f t="shared" si="91"/>
        <v>1</v>
      </c>
      <c r="O133" s="150">
        <f t="shared" si="91"/>
        <v>0</v>
      </c>
      <c r="P133" s="150">
        <f t="shared" si="91"/>
        <v>0.33333333333333331</v>
      </c>
      <c r="AB133" s="167"/>
    </row>
    <row r="134" spans="4:37" x14ac:dyDescent="0.3">
      <c r="E134" s="148" t="s">
        <v>81</v>
      </c>
      <c r="F134" s="149"/>
      <c r="G134" s="150">
        <f t="shared" ref="G134:P134" si="92">G129/G118</f>
        <v>0</v>
      </c>
      <c r="H134" s="150">
        <f t="shared" si="92"/>
        <v>0</v>
      </c>
      <c r="I134" s="150">
        <f t="shared" si="92"/>
        <v>0</v>
      </c>
      <c r="J134" s="150">
        <f t="shared" si="92"/>
        <v>0</v>
      </c>
      <c r="K134" s="150">
        <f t="shared" si="92"/>
        <v>0</v>
      </c>
      <c r="L134" s="150">
        <f t="shared" si="92"/>
        <v>0</v>
      </c>
      <c r="M134" s="150">
        <f t="shared" si="92"/>
        <v>0.18322878837900297</v>
      </c>
      <c r="N134" s="150">
        <f t="shared" si="92"/>
        <v>0</v>
      </c>
      <c r="O134" s="150">
        <f t="shared" si="92"/>
        <v>0</v>
      </c>
      <c r="P134" s="150">
        <f t="shared" si="92"/>
        <v>0</v>
      </c>
      <c r="AB134" s="167"/>
    </row>
    <row r="135" spans="4:37" x14ac:dyDescent="0.3">
      <c r="E135" s="148" t="s">
        <v>82</v>
      </c>
      <c r="F135" s="151"/>
      <c r="G135" s="150">
        <f t="shared" ref="G135:P135" si="93">G131/G121</f>
        <v>0</v>
      </c>
      <c r="H135" s="150">
        <f t="shared" si="93"/>
        <v>0</v>
      </c>
      <c r="I135" s="150">
        <f t="shared" si="93"/>
        <v>0</v>
      </c>
      <c r="J135" s="150">
        <f t="shared" si="93"/>
        <v>0</v>
      </c>
      <c r="K135" s="150">
        <f t="shared" si="93"/>
        <v>0</v>
      </c>
      <c r="L135" s="150">
        <f t="shared" si="93"/>
        <v>0</v>
      </c>
      <c r="M135" s="150">
        <f t="shared" si="93"/>
        <v>0.18739511467462242</v>
      </c>
      <c r="N135" s="150">
        <f t="shared" si="93"/>
        <v>0</v>
      </c>
      <c r="O135" s="150">
        <f t="shared" si="93"/>
        <v>0</v>
      </c>
      <c r="P135" s="150">
        <f t="shared" si="93"/>
        <v>0</v>
      </c>
    </row>
    <row r="136" spans="4:37" x14ac:dyDescent="0.3">
      <c r="E136" s="181"/>
      <c r="F136" s="169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</row>
    <row r="137" spans="4:37" x14ac:dyDescent="0.3">
      <c r="E137" s="181"/>
      <c r="F137" s="169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56"/>
    </row>
    <row r="139" spans="4:37" x14ac:dyDescent="0.3">
      <c r="D139" s="182" t="s">
        <v>112</v>
      </c>
      <c r="E139" s="183" t="s">
        <v>137</v>
      </c>
      <c r="F139" s="184"/>
      <c r="G139" s="182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30</v>
      </c>
      <c r="G141" t="s">
        <v>35</v>
      </c>
      <c r="L141" s="269"/>
      <c r="O141" s="301" t="s">
        <v>138</v>
      </c>
      <c r="P141" s="301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301"/>
      <c r="P142" s="301"/>
    </row>
    <row r="143" spans="4:37" x14ac:dyDescent="0.3">
      <c r="E143" s="1" t="s">
        <v>129</v>
      </c>
      <c r="F143" s="7">
        <f>Supplier1!C4</f>
        <v>210</v>
      </c>
      <c r="O143" s="301"/>
      <c r="P143" s="301"/>
    </row>
    <row r="144" spans="4:37" ht="16.2" customHeight="1" thickBot="1" x14ac:dyDescent="0.35">
      <c r="E144" s="1" t="s">
        <v>130</v>
      </c>
      <c r="F144" s="6" t="str">
        <f>Supplier1!C11</f>
        <v>Yes</v>
      </c>
      <c r="L144" s="52" t="s">
        <v>36</v>
      </c>
      <c r="O144" s="302"/>
      <c r="P144" s="302"/>
    </row>
    <row r="145" spans="4:17" ht="15" thickBot="1" x14ac:dyDescent="0.35">
      <c r="F145" s="53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0" t="s">
        <v>134</v>
      </c>
      <c r="F146" s="286"/>
      <c r="G146" s="282">
        <f>IF($Q$26 = "Choosing Supplier 1", IF($F$144="Yes", G23,0),0)</f>
        <v>40</v>
      </c>
      <c r="H146" s="282">
        <f t="shared" ref="H146:P146" si="94">IF($Q$26 = "Choosing Supplier 1", IF($F$144="Yes", H23,0),0)</f>
        <v>60</v>
      </c>
      <c r="I146" s="282">
        <f t="shared" si="94"/>
        <v>70</v>
      </c>
      <c r="J146" s="282">
        <f t="shared" si="94"/>
        <v>50</v>
      </c>
      <c r="K146" s="282">
        <f t="shared" si="94"/>
        <v>60</v>
      </c>
      <c r="L146" s="282">
        <f t="shared" si="94"/>
        <v>100</v>
      </c>
      <c r="M146" s="282">
        <f t="shared" si="94"/>
        <v>40</v>
      </c>
      <c r="N146" s="282">
        <f t="shared" si="94"/>
        <v>10</v>
      </c>
      <c r="O146" s="282">
        <f t="shared" si="94"/>
        <v>0</v>
      </c>
      <c r="P146" s="283">
        <f t="shared" si="94"/>
        <v>0</v>
      </c>
    </row>
    <row r="147" spans="4:17" x14ac:dyDescent="0.3">
      <c r="E147" s="270" t="s">
        <v>135</v>
      </c>
      <c r="F147" s="271"/>
      <c r="G147" s="272">
        <f>IF($Q$70 = "Choosing Supplier 1", IF($F$144="Yes", G67,0),0)</f>
        <v>20</v>
      </c>
      <c r="H147" s="272">
        <f t="shared" ref="H147:P147" si="95">IF($Q$70 = "Choosing Supplier 1", IF($F$144="Yes", H67,0),0)</f>
        <v>0</v>
      </c>
      <c r="I147" s="272">
        <f t="shared" si="95"/>
        <v>80</v>
      </c>
      <c r="J147" s="272">
        <f t="shared" si="95"/>
        <v>80</v>
      </c>
      <c r="K147" s="272">
        <f t="shared" si="95"/>
        <v>40</v>
      </c>
      <c r="L147" s="272">
        <f t="shared" si="95"/>
        <v>60</v>
      </c>
      <c r="M147" s="272">
        <f t="shared" si="95"/>
        <v>60</v>
      </c>
      <c r="N147" s="272">
        <f t="shared" si="95"/>
        <v>60</v>
      </c>
      <c r="O147" s="272">
        <f t="shared" si="95"/>
        <v>0</v>
      </c>
      <c r="P147" s="273">
        <f t="shared" si="95"/>
        <v>0</v>
      </c>
    </row>
    <row r="148" spans="4:17" ht="15" thickBot="1" x14ac:dyDescent="0.35">
      <c r="E148" s="270" t="s">
        <v>136</v>
      </c>
      <c r="F148" s="274"/>
      <c r="G148" s="275">
        <f>IF($Q$115 = "Choosing Supplier 1", IF($F$144="Yes", G112,0),0)</f>
        <v>15</v>
      </c>
      <c r="H148" s="275">
        <f t="shared" ref="H148:P148" si="96">IF($Q$115 = "Choosing Supplier 1", IF($F$144="Yes", H112,0),0)</f>
        <v>75</v>
      </c>
      <c r="I148" s="275">
        <f t="shared" si="96"/>
        <v>60</v>
      </c>
      <c r="J148" s="275">
        <f t="shared" si="96"/>
        <v>60</v>
      </c>
      <c r="K148" s="275">
        <f t="shared" si="96"/>
        <v>45</v>
      </c>
      <c r="L148" s="275">
        <f t="shared" si="96"/>
        <v>60</v>
      </c>
      <c r="M148" s="275">
        <f t="shared" si="96"/>
        <v>135</v>
      </c>
      <c r="N148" s="275">
        <f t="shared" si="96"/>
        <v>15</v>
      </c>
      <c r="O148" s="275">
        <f t="shared" si="96"/>
        <v>30</v>
      </c>
      <c r="P148" s="276">
        <f t="shared" si="96"/>
        <v>30</v>
      </c>
    </row>
    <row r="149" spans="4:17" x14ac:dyDescent="0.3">
      <c r="E149" s="185" t="s">
        <v>92</v>
      </c>
      <c r="F149" s="186"/>
      <c r="G149" s="287">
        <f>SUM(G146:G148)</f>
        <v>75</v>
      </c>
      <c r="H149" s="287">
        <f t="shared" ref="H149:P149" si="97">SUM(H146:H148)</f>
        <v>135</v>
      </c>
      <c r="I149" s="287">
        <f t="shared" si="97"/>
        <v>210</v>
      </c>
      <c r="J149" s="287">
        <f t="shared" si="97"/>
        <v>190</v>
      </c>
      <c r="K149" s="287">
        <f t="shared" si="97"/>
        <v>145</v>
      </c>
      <c r="L149" s="287">
        <f t="shared" si="97"/>
        <v>220</v>
      </c>
      <c r="M149" s="287">
        <f t="shared" si="97"/>
        <v>235</v>
      </c>
      <c r="N149" s="287">
        <f t="shared" si="97"/>
        <v>85</v>
      </c>
      <c r="O149" s="287">
        <f t="shared" si="97"/>
        <v>30</v>
      </c>
      <c r="P149" s="288">
        <f t="shared" si="97"/>
        <v>30</v>
      </c>
    </row>
    <row r="150" spans="4:17" x14ac:dyDescent="0.3">
      <c r="E150" s="189" t="s">
        <v>93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</row>
    <row r="151" spans="4:17" x14ac:dyDescent="0.3">
      <c r="E151" s="174" t="s">
        <v>94</v>
      </c>
      <c r="F151" s="35">
        <f>Supplier1!C9</f>
        <v>50</v>
      </c>
      <c r="G151" s="68">
        <f t="shared" ref="G151:P151" si="98">F151+G153-G149</f>
        <v>35</v>
      </c>
      <c r="H151" s="68">
        <f t="shared" si="98"/>
        <v>50</v>
      </c>
      <c r="I151" s="68">
        <f t="shared" si="98"/>
        <v>50</v>
      </c>
      <c r="J151" s="68">
        <f t="shared" si="98"/>
        <v>40</v>
      </c>
      <c r="K151" s="68">
        <f t="shared" si="98"/>
        <v>45</v>
      </c>
      <c r="L151" s="68">
        <f t="shared" si="98"/>
        <v>35</v>
      </c>
      <c r="M151" s="68">
        <f t="shared" si="98"/>
        <v>40</v>
      </c>
      <c r="N151" s="68">
        <f t="shared" si="98"/>
        <v>45</v>
      </c>
      <c r="O151" s="68">
        <f t="shared" si="98"/>
        <v>45</v>
      </c>
      <c r="P151" s="69">
        <f t="shared" si="98"/>
        <v>45</v>
      </c>
    </row>
    <row r="152" spans="4:17" x14ac:dyDescent="0.3">
      <c r="E152" s="174" t="s">
        <v>95</v>
      </c>
      <c r="F152" s="71"/>
      <c r="G152" s="68">
        <f t="shared" ref="G152:P152" si="99">IF(F151-G149&lt;=$F$142, G149-F151+$F$142,0)</f>
        <v>55</v>
      </c>
      <c r="H152" s="68">
        <f t="shared" si="99"/>
        <v>130</v>
      </c>
      <c r="I152" s="68">
        <f t="shared" si="99"/>
        <v>190</v>
      </c>
      <c r="J152" s="68">
        <f t="shared" si="99"/>
        <v>170</v>
      </c>
      <c r="K152" s="68">
        <f t="shared" si="99"/>
        <v>135</v>
      </c>
      <c r="L152" s="68">
        <f t="shared" si="99"/>
        <v>205</v>
      </c>
      <c r="M152" s="68">
        <f t="shared" si="99"/>
        <v>230</v>
      </c>
      <c r="N152" s="68">
        <f t="shared" si="99"/>
        <v>75</v>
      </c>
      <c r="O152" s="68">
        <f t="shared" si="99"/>
        <v>15</v>
      </c>
      <c r="P152" s="69">
        <f t="shared" si="99"/>
        <v>15</v>
      </c>
    </row>
    <row r="153" spans="4:17" x14ac:dyDescent="0.3">
      <c r="E153" s="177" t="s">
        <v>96</v>
      </c>
      <c r="F153" s="71"/>
      <c r="G153" s="68">
        <f xml:space="preserve"> CEILING(G152/$F$141,1)*$F$141</f>
        <v>60</v>
      </c>
      <c r="H153" s="68">
        <f t="shared" ref="H153:P153" si="100" xml:space="preserve"> CEILING(H152/$F$141,1)*$F$141</f>
        <v>150</v>
      </c>
      <c r="I153" s="68">
        <f t="shared" si="100"/>
        <v>210</v>
      </c>
      <c r="J153" s="68">
        <f t="shared" si="100"/>
        <v>180</v>
      </c>
      <c r="K153" s="68">
        <f t="shared" si="100"/>
        <v>150</v>
      </c>
      <c r="L153" s="68">
        <f t="shared" si="100"/>
        <v>210</v>
      </c>
      <c r="M153" s="68">
        <f t="shared" si="100"/>
        <v>240</v>
      </c>
      <c r="N153" s="68">
        <f t="shared" si="100"/>
        <v>90</v>
      </c>
      <c r="O153" s="68">
        <f t="shared" si="100"/>
        <v>30</v>
      </c>
      <c r="P153" s="69">
        <f t="shared" si="100"/>
        <v>30</v>
      </c>
    </row>
    <row r="154" spans="4:17" ht="15" thickBot="1" x14ac:dyDescent="0.35">
      <c r="E154" s="193" t="s">
        <v>97</v>
      </c>
      <c r="F154" s="194"/>
      <c r="G154" s="195">
        <f>H153</f>
        <v>150</v>
      </c>
      <c r="H154" s="195">
        <f>I153</f>
        <v>210</v>
      </c>
      <c r="I154" s="195">
        <f t="shared" ref="I154:P154" si="101">J153</f>
        <v>180</v>
      </c>
      <c r="J154" s="195">
        <f t="shared" si="101"/>
        <v>150</v>
      </c>
      <c r="K154" s="195">
        <f t="shared" si="101"/>
        <v>210</v>
      </c>
      <c r="L154" s="195">
        <f t="shared" si="101"/>
        <v>240</v>
      </c>
      <c r="M154" s="195">
        <f t="shared" si="101"/>
        <v>90</v>
      </c>
      <c r="N154" s="195">
        <f t="shared" si="101"/>
        <v>30</v>
      </c>
      <c r="O154" s="195">
        <f t="shared" si="101"/>
        <v>30</v>
      </c>
      <c r="P154" s="196">
        <f t="shared" si="101"/>
        <v>0</v>
      </c>
      <c r="Q154" s="132"/>
    </row>
    <row r="155" spans="4:17" ht="15" thickBot="1" x14ac:dyDescent="0.35">
      <c r="E155" s="197" t="s">
        <v>98</v>
      </c>
      <c r="F155" s="198"/>
      <c r="G155" s="199">
        <f>IF(G152&gt;$F$143,G152-$F$143,0)</f>
        <v>0</v>
      </c>
      <c r="H155" s="199">
        <f t="shared" ref="H155:P156" si="102">IF(H152&gt;$F$143,H152-$F$143,0)</f>
        <v>0</v>
      </c>
      <c r="I155" s="199">
        <f>IF(I152&gt;$F$143,I152-$F$143,0)</f>
        <v>0</v>
      </c>
      <c r="J155" s="199">
        <f t="shared" si="102"/>
        <v>0</v>
      </c>
      <c r="K155" s="199">
        <f t="shared" si="102"/>
        <v>0</v>
      </c>
      <c r="L155" s="199">
        <f t="shared" si="102"/>
        <v>0</v>
      </c>
      <c r="M155" s="199">
        <f t="shared" si="102"/>
        <v>20</v>
      </c>
      <c r="N155" s="199">
        <f t="shared" si="102"/>
        <v>0</v>
      </c>
      <c r="O155" s="199">
        <f t="shared" si="102"/>
        <v>0</v>
      </c>
      <c r="P155" s="200">
        <f t="shared" si="102"/>
        <v>0</v>
      </c>
      <c r="Q155" s="132"/>
    </row>
    <row r="156" spans="4:17" ht="15" thickBot="1" x14ac:dyDescent="0.35">
      <c r="E156" s="197" t="s">
        <v>99</v>
      </c>
      <c r="F156" s="198"/>
      <c r="G156" s="199">
        <f>IF(G153&gt;$F$143,G153-$F$143,0)</f>
        <v>0</v>
      </c>
      <c r="H156" s="199">
        <f t="shared" si="102"/>
        <v>0</v>
      </c>
      <c r="I156" s="199">
        <f>IF(I153&gt;$F$143,I153-$F$143,0)</f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30</v>
      </c>
      <c r="N156" s="199">
        <f t="shared" si="102"/>
        <v>0</v>
      </c>
      <c r="O156" s="199">
        <f t="shared" si="102"/>
        <v>0</v>
      </c>
      <c r="P156" s="200">
        <f t="shared" si="102"/>
        <v>0</v>
      </c>
      <c r="Q156" s="132"/>
    </row>
    <row r="157" spans="4:17" x14ac:dyDescent="0.3">
      <c r="I157" s="201"/>
      <c r="J157" s="202"/>
    </row>
    <row r="158" spans="4:17" x14ac:dyDescent="0.3">
      <c r="I158" s="201"/>
      <c r="J158" s="202"/>
    </row>
    <row r="159" spans="4:17" x14ac:dyDescent="0.3">
      <c r="I159" s="201"/>
      <c r="J159" s="202"/>
    </row>
    <row r="160" spans="4:17" x14ac:dyDescent="0.3">
      <c r="D160" s="182" t="s">
        <v>113</v>
      </c>
      <c r="E160" s="183" t="s">
        <v>90</v>
      </c>
      <c r="F160" s="184"/>
      <c r="G160" s="277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301" t="s">
        <v>138</v>
      </c>
      <c r="P162" s="301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301"/>
      <c r="P163" s="301"/>
    </row>
    <row r="164" spans="3:19" ht="15" customHeight="1" x14ac:dyDescent="0.3">
      <c r="E164" s="1" t="s">
        <v>129</v>
      </c>
      <c r="F164" s="7">
        <f>Supplier2!C4</f>
        <v>200</v>
      </c>
      <c r="O164" s="301"/>
      <c r="P164" s="301"/>
    </row>
    <row r="165" spans="3:19" ht="16.8" customHeight="1" thickBot="1" x14ac:dyDescent="0.35">
      <c r="E165" s="1" t="s">
        <v>130</v>
      </c>
      <c r="F165" s="6" t="str">
        <f>Supplier2!C11</f>
        <v>No</v>
      </c>
      <c r="L165" s="52" t="s">
        <v>36</v>
      </c>
      <c r="O165" s="302"/>
      <c r="P165" s="302"/>
    </row>
    <row r="166" spans="3:19" ht="15" thickBot="1" x14ac:dyDescent="0.35">
      <c r="F166" s="278" t="s">
        <v>38</v>
      </c>
      <c r="G166" s="279" t="s">
        <v>0</v>
      </c>
      <c r="H166" s="279" t="s">
        <v>1</v>
      </c>
      <c r="I166" s="279" t="s">
        <v>91</v>
      </c>
      <c r="J166" s="279" t="s">
        <v>3</v>
      </c>
      <c r="K166" s="279" t="s">
        <v>4</v>
      </c>
      <c r="L166" s="279" t="s">
        <v>5</v>
      </c>
      <c r="M166" s="279" t="s">
        <v>6</v>
      </c>
      <c r="N166" s="279" t="s">
        <v>7</v>
      </c>
      <c r="O166" s="279" t="s">
        <v>8</v>
      </c>
      <c r="P166" s="280" t="s">
        <v>9</v>
      </c>
    </row>
    <row r="167" spans="3:19" x14ac:dyDescent="0.3">
      <c r="E167" s="270" t="s">
        <v>134</v>
      </c>
      <c r="F167" s="281"/>
      <c r="G167" s="282">
        <f>IF($Q$26 = "Choosing Supplier 2", IF($F$165="Yes", G23,0),0)</f>
        <v>0</v>
      </c>
      <c r="H167" s="282">
        <f t="shared" ref="H167:P167" si="103">IF($Q$26 = "Choosing Supplier 2", IF($F$165="Yes", H23,0),0)</f>
        <v>0</v>
      </c>
      <c r="I167" s="282">
        <f t="shared" si="103"/>
        <v>0</v>
      </c>
      <c r="J167" s="282">
        <f t="shared" si="103"/>
        <v>0</v>
      </c>
      <c r="K167" s="282">
        <f t="shared" si="103"/>
        <v>0</v>
      </c>
      <c r="L167" s="282">
        <f t="shared" si="103"/>
        <v>0</v>
      </c>
      <c r="M167" s="282">
        <f t="shared" si="103"/>
        <v>0</v>
      </c>
      <c r="N167" s="282">
        <f t="shared" si="103"/>
        <v>0</v>
      </c>
      <c r="O167" s="282">
        <f t="shared" si="103"/>
        <v>0</v>
      </c>
      <c r="P167" s="283">
        <f t="shared" si="103"/>
        <v>0</v>
      </c>
      <c r="R167" t="s">
        <v>145</v>
      </c>
      <c r="S167" t="s">
        <v>144</v>
      </c>
    </row>
    <row r="168" spans="3:19" x14ac:dyDescent="0.3">
      <c r="E168" s="270" t="s">
        <v>135</v>
      </c>
      <c r="F168" s="284"/>
      <c r="G168" s="272">
        <f>IF($Q$70 = "Choosing Supplier 2", IF($F$165="Yes", G67,0),0)</f>
        <v>0</v>
      </c>
      <c r="H168" s="272">
        <f t="shared" ref="H168:P168" si="104">IF($Q$70 = "Choosing Supplier 2", IF($F$165="Yes", H67,0),0)</f>
        <v>0</v>
      </c>
      <c r="I168" s="272">
        <f t="shared" si="104"/>
        <v>0</v>
      </c>
      <c r="J168" s="272">
        <f t="shared" si="104"/>
        <v>0</v>
      </c>
      <c r="K168" s="272">
        <f t="shared" si="104"/>
        <v>0</v>
      </c>
      <c r="L168" s="272">
        <f t="shared" si="104"/>
        <v>0</v>
      </c>
      <c r="M168" s="272">
        <f t="shared" si="104"/>
        <v>0</v>
      </c>
      <c r="N168" s="272">
        <f t="shared" si="104"/>
        <v>0</v>
      </c>
      <c r="O168" s="272">
        <f t="shared" si="104"/>
        <v>0</v>
      </c>
      <c r="P168" s="273">
        <f t="shared" si="104"/>
        <v>0</v>
      </c>
      <c r="R168" t="s">
        <v>146</v>
      </c>
      <c r="S168" t="s">
        <v>148</v>
      </c>
    </row>
    <row r="169" spans="3:19" ht="15" thickBot="1" x14ac:dyDescent="0.35">
      <c r="E169" s="270" t="s">
        <v>136</v>
      </c>
      <c r="F169" s="285"/>
      <c r="G169" s="275">
        <f>IF($Q$115 = "Choosing Supplier 2", IF($F$165="Yes", G112,0),0)</f>
        <v>0</v>
      </c>
      <c r="H169" s="275">
        <f t="shared" ref="H169:P169" si="105">IF($Q$115 = "Choosing Supplier 2", IF($F$165="Yes", H112,0),0)</f>
        <v>0</v>
      </c>
      <c r="I169" s="275">
        <f t="shared" si="105"/>
        <v>0</v>
      </c>
      <c r="J169" s="275">
        <f t="shared" si="105"/>
        <v>0</v>
      </c>
      <c r="K169" s="275">
        <f t="shared" si="105"/>
        <v>0</v>
      </c>
      <c r="L169" s="275">
        <f t="shared" si="105"/>
        <v>0</v>
      </c>
      <c r="M169" s="275">
        <f t="shared" si="105"/>
        <v>0</v>
      </c>
      <c r="N169" s="275">
        <f t="shared" si="105"/>
        <v>0</v>
      </c>
      <c r="O169" s="275">
        <f t="shared" si="105"/>
        <v>0</v>
      </c>
      <c r="P169" s="276">
        <f t="shared" si="105"/>
        <v>0</v>
      </c>
      <c r="R169" t="s">
        <v>147</v>
      </c>
      <c r="S169" t="s">
        <v>149</v>
      </c>
    </row>
    <row r="170" spans="3:19" x14ac:dyDescent="0.3">
      <c r="E170" s="185" t="s">
        <v>139</v>
      </c>
      <c r="F170" s="186"/>
      <c r="G170" s="187">
        <f>SUM(G167:G169)</f>
        <v>0</v>
      </c>
      <c r="H170" s="187">
        <f t="shared" ref="H170:P170" si="106">SUM(H167:H169)</f>
        <v>0</v>
      </c>
      <c r="I170" s="187">
        <f t="shared" si="106"/>
        <v>0</v>
      </c>
      <c r="J170" s="187">
        <f t="shared" si="106"/>
        <v>0</v>
      </c>
      <c r="K170" s="187">
        <f t="shared" si="106"/>
        <v>0</v>
      </c>
      <c r="L170" s="187">
        <f t="shared" si="106"/>
        <v>0</v>
      </c>
      <c r="M170" s="187">
        <f t="shared" si="106"/>
        <v>0</v>
      </c>
      <c r="N170" s="187">
        <f t="shared" si="106"/>
        <v>0</v>
      </c>
      <c r="O170" s="187">
        <f t="shared" si="106"/>
        <v>0</v>
      </c>
      <c r="P170" s="188">
        <f t="shared" si="106"/>
        <v>0</v>
      </c>
    </row>
    <row r="171" spans="3:19" x14ac:dyDescent="0.3">
      <c r="E171" s="189" t="s">
        <v>93</v>
      </c>
      <c r="F171" s="190"/>
      <c r="G171" s="191"/>
      <c r="H171" s="191"/>
      <c r="I171" s="191"/>
      <c r="J171" s="191"/>
      <c r="K171" s="191"/>
      <c r="L171" s="191"/>
      <c r="M171" s="191"/>
      <c r="N171" s="191"/>
      <c r="O171" s="191"/>
      <c r="P171" s="192"/>
    </row>
    <row r="172" spans="3:19" x14ac:dyDescent="0.3">
      <c r="E172" s="174" t="s">
        <v>94</v>
      </c>
      <c r="F172" s="67">
        <f>Supplier2!C9</f>
        <v>60</v>
      </c>
      <c r="G172" s="68">
        <f t="shared" ref="G172:P172" si="107">F172+G174-G170</f>
        <v>60</v>
      </c>
      <c r="H172" s="68">
        <f t="shared" si="107"/>
        <v>60</v>
      </c>
      <c r="I172" s="68">
        <f t="shared" si="107"/>
        <v>60</v>
      </c>
      <c r="J172" s="68">
        <f t="shared" si="107"/>
        <v>60</v>
      </c>
      <c r="K172" s="68">
        <f t="shared" si="107"/>
        <v>60</v>
      </c>
      <c r="L172" s="68">
        <f t="shared" si="107"/>
        <v>60</v>
      </c>
      <c r="M172" s="68">
        <f t="shared" si="107"/>
        <v>60</v>
      </c>
      <c r="N172" s="68">
        <f t="shared" si="107"/>
        <v>60</v>
      </c>
      <c r="O172" s="68">
        <f t="shared" si="107"/>
        <v>60</v>
      </c>
      <c r="P172" s="69">
        <f t="shared" si="107"/>
        <v>60</v>
      </c>
    </row>
    <row r="173" spans="3:19" x14ac:dyDescent="0.3">
      <c r="E173" s="174" t="s">
        <v>95</v>
      </c>
      <c r="F173" s="71"/>
      <c r="G173" s="68">
        <f t="shared" ref="G173:I173" si="108">IF(F172-G170&lt;=$F$163, G170-F172+$F$163,0)</f>
        <v>0</v>
      </c>
      <c r="H173" s="68">
        <f t="shared" si="108"/>
        <v>0</v>
      </c>
      <c r="I173" s="68">
        <f t="shared" si="108"/>
        <v>0</v>
      </c>
      <c r="J173" s="68">
        <f>IF(I172-J170&lt;=$F$163, J170-I172+$F$163,0)</f>
        <v>0</v>
      </c>
      <c r="K173" s="68">
        <f t="shared" ref="K173:P173" si="109">IF(J172-K170&lt;=$F$163, K170-J172+$F$163,0)</f>
        <v>0</v>
      </c>
      <c r="L173" s="68">
        <f t="shared" si="109"/>
        <v>0</v>
      </c>
      <c r="M173" s="68">
        <f t="shared" si="109"/>
        <v>0</v>
      </c>
      <c r="N173" s="68">
        <f t="shared" si="109"/>
        <v>0</v>
      </c>
      <c r="O173" s="68">
        <f t="shared" si="109"/>
        <v>0</v>
      </c>
      <c r="P173" s="69">
        <f t="shared" si="109"/>
        <v>0</v>
      </c>
    </row>
    <row r="174" spans="3:19" x14ac:dyDescent="0.3">
      <c r="E174" s="177" t="s">
        <v>96</v>
      </c>
      <c r="F174" s="71"/>
      <c r="G174" s="68">
        <f xml:space="preserve"> CEILING(G173/$F$141,1)*$F$141</f>
        <v>0</v>
      </c>
      <c r="H174" s="68">
        <f t="shared" ref="H174:P174" si="110" xml:space="preserve"> CEILING(H173/$F$141,1)*$F$141</f>
        <v>0</v>
      </c>
      <c r="I174" s="68">
        <f t="shared" si="110"/>
        <v>0</v>
      </c>
      <c r="J174" s="68">
        <f t="shared" si="110"/>
        <v>0</v>
      </c>
      <c r="K174" s="68">
        <f t="shared" si="110"/>
        <v>0</v>
      </c>
      <c r="L174" s="68">
        <f t="shared" si="110"/>
        <v>0</v>
      </c>
      <c r="M174" s="68">
        <f t="shared" si="110"/>
        <v>0</v>
      </c>
      <c r="N174" s="68">
        <f t="shared" si="110"/>
        <v>0</v>
      </c>
      <c r="O174" s="68">
        <f t="shared" si="110"/>
        <v>0</v>
      </c>
      <c r="P174" s="69">
        <f t="shared" si="110"/>
        <v>0</v>
      </c>
    </row>
    <row r="175" spans="3:19" ht="15" thickBot="1" x14ac:dyDescent="0.35">
      <c r="E175" s="193" t="s">
        <v>97</v>
      </c>
      <c r="F175" s="194"/>
      <c r="G175" s="195">
        <f>H174</f>
        <v>0</v>
      </c>
      <c r="H175" s="195">
        <f>I174</f>
        <v>0</v>
      </c>
      <c r="I175" s="195">
        <f t="shared" ref="I175:P175" si="111">J174</f>
        <v>0</v>
      </c>
      <c r="J175" s="195">
        <f t="shared" si="111"/>
        <v>0</v>
      </c>
      <c r="K175" s="195">
        <f t="shared" si="111"/>
        <v>0</v>
      </c>
      <c r="L175" s="195">
        <f t="shared" si="111"/>
        <v>0</v>
      </c>
      <c r="M175" s="195">
        <f t="shared" si="111"/>
        <v>0</v>
      </c>
      <c r="N175" s="195">
        <f t="shared" si="111"/>
        <v>0</v>
      </c>
      <c r="O175" s="195">
        <f t="shared" si="111"/>
        <v>0</v>
      </c>
      <c r="P175" s="196">
        <f t="shared" si="111"/>
        <v>0</v>
      </c>
    </row>
    <row r="176" spans="3:19" ht="15" thickBot="1" x14ac:dyDescent="0.35">
      <c r="C176" t="s">
        <v>140</v>
      </c>
      <c r="E176" s="197" t="s">
        <v>141</v>
      </c>
      <c r="F176" s="198"/>
      <c r="G176" s="199">
        <f>IF(G173&gt;$F$164,G173-$F$164,0)</f>
        <v>0</v>
      </c>
      <c r="H176" s="199">
        <f t="shared" ref="H176:P177" si="112">IF(H173&gt;$F$164,H173-$F$164,0)</f>
        <v>0</v>
      </c>
      <c r="I176" s="199">
        <f t="shared" si="112"/>
        <v>0</v>
      </c>
      <c r="J176" s="199">
        <f t="shared" si="112"/>
        <v>0</v>
      </c>
      <c r="K176" s="199">
        <f t="shared" si="112"/>
        <v>0</v>
      </c>
      <c r="L176" s="199">
        <f t="shared" si="112"/>
        <v>0</v>
      </c>
      <c r="M176" s="199">
        <f t="shared" si="112"/>
        <v>0</v>
      </c>
      <c r="N176" s="199">
        <f t="shared" si="112"/>
        <v>0</v>
      </c>
      <c r="O176" s="199">
        <f t="shared" si="112"/>
        <v>0</v>
      </c>
      <c r="P176" s="200">
        <f t="shared" si="112"/>
        <v>0</v>
      </c>
    </row>
    <row r="177" spans="4:16" ht="15" thickBot="1" x14ac:dyDescent="0.35">
      <c r="E177" s="197" t="s">
        <v>99</v>
      </c>
      <c r="F177" s="198"/>
      <c r="G177" s="199">
        <f>IF(G174&gt;$F$164,G174-$F$164,0)</f>
        <v>0</v>
      </c>
      <c r="H177" s="199">
        <f t="shared" si="112"/>
        <v>0</v>
      </c>
      <c r="I177" s="199">
        <f t="shared" si="112"/>
        <v>0</v>
      </c>
      <c r="J177" s="199">
        <f t="shared" si="112"/>
        <v>0</v>
      </c>
      <c r="K177" s="199">
        <f t="shared" si="112"/>
        <v>0</v>
      </c>
      <c r="L177" s="199">
        <f t="shared" si="112"/>
        <v>0</v>
      </c>
      <c r="M177" s="199">
        <f t="shared" si="112"/>
        <v>0</v>
      </c>
      <c r="N177" s="199">
        <f t="shared" si="112"/>
        <v>0</v>
      </c>
      <c r="O177" s="199">
        <f t="shared" si="112"/>
        <v>0</v>
      </c>
      <c r="P177" s="200">
        <f t="shared" si="112"/>
        <v>0</v>
      </c>
    </row>
    <row r="178" spans="4:16" x14ac:dyDescent="0.3">
      <c r="I178" s="201"/>
      <c r="J178" s="202"/>
    </row>
    <row r="179" spans="4:16" x14ac:dyDescent="0.3">
      <c r="I179" s="201"/>
      <c r="J179" s="202"/>
    </row>
    <row r="180" spans="4:16" x14ac:dyDescent="0.3">
      <c r="I180" s="201"/>
      <c r="J180" s="202"/>
    </row>
    <row r="181" spans="4:16" x14ac:dyDescent="0.3">
      <c r="I181" s="201"/>
      <c r="J181" s="202"/>
    </row>
    <row r="182" spans="4:16" x14ac:dyDescent="0.3">
      <c r="I182" s="203">
        <f>MIN(I131,I86,I42)</f>
        <v>0</v>
      </c>
      <c r="J182" s="202"/>
    </row>
    <row r="183" spans="4:16" x14ac:dyDescent="0.3">
      <c r="I183" s="201"/>
      <c r="J183" s="202"/>
    </row>
    <row r="184" spans="4:16" x14ac:dyDescent="0.3">
      <c r="D184" s="47" t="s">
        <v>100</v>
      </c>
      <c r="I184" s="204" t="s">
        <v>101</v>
      </c>
    </row>
    <row r="185" spans="4:16" x14ac:dyDescent="0.3">
      <c r="D185" t="s">
        <v>102</v>
      </c>
      <c r="I185" s="47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5" t="s">
        <v>106</v>
      </c>
      <c r="E188" s="47" t="s">
        <v>107</v>
      </c>
      <c r="I188" s="204" t="s">
        <v>108</v>
      </c>
    </row>
    <row r="189" spans="4:16" x14ac:dyDescent="0.3">
      <c r="I189" s="47" t="s">
        <v>109</v>
      </c>
    </row>
  </sheetData>
  <mergeCells count="7">
    <mergeCell ref="O162:O165"/>
    <mergeCell ref="P162:P165"/>
    <mergeCell ref="P9:P12"/>
    <mergeCell ref="P53:P56"/>
    <mergeCell ref="P98:P101"/>
    <mergeCell ref="O141:O144"/>
    <mergeCell ref="P141:P14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92"/>
  <sheetViews>
    <sheetView tabSelected="1" topLeftCell="A145" zoomScale="85" zoomScaleNormal="85" workbookViewId="0">
      <selection activeCell="J165" sqref="J165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3" width="10.21875" style="4" bestFit="1" customWidth="1"/>
    <col min="14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20" max="20" width="11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5</v>
      </c>
      <c r="K14" s="248">
        <f>'DC1'!G13</f>
        <v>15</v>
      </c>
      <c r="L14" s="245">
        <f>'DC1'!H13</f>
        <v>50</v>
      </c>
      <c r="M14" s="245">
        <f>'DC1'!I13</f>
        <v>20</v>
      </c>
      <c r="N14" s="245">
        <f>'DC1'!J13</f>
        <v>100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55</v>
      </c>
      <c r="K18" s="61">
        <f t="shared" si="0"/>
        <v>75</v>
      </c>
      <c r="L18" s="61">
        <f t="shared" si="0"/>
        <v>50</v>
      </c>
      <c r="M18" s="61">
        <f t="shared" si="0"/>
        <v>60</v>
      </c>
      <c r="N18" s="61">
        <f t="shared" si="0"/>
        <v>100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35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55</v>
      </c>
      <c r="K21" s="68">
        <f t="shared" si="2"/>
        <v>70</v>
      </c>
      <c r="L21" s="68">
        <f t="shared" si="2"/>
        <v>50</v>
      </c>
      <c r="M21" s="68">
        <f t="shared" si="2"/>
        <v>60</v>
      </c>
      <c r="N21" s="68">
        <f t="shared" si="2"/>
        <v>100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" si="4" xml:space="preserve"> CEILING(J21/$F$11,1)*$F$11</f>
        <v>60</v>
      </c>
      <c r="K22" s="68">
        <f t="shared" ref="K22:L22" si="5" xml:space="preserve"> CEILING(K21/$F$11,1)*$F$11</f>
        <v>70</v>
      </c>
      <c r="L22" s="68">
        <f t="shared" si="5"/>
        <v>50</v>
      </c>
      <c r="M22" s="68">
        <f t="shared" ref="M22" si="6" xml:space="preserve"> CEILING(M21/$F$11,1)*$F$11</f>
        <v>60</v>
      </c>
      <c r="N22" s="68">
        <f t="shared" ref="N22:O22" si="7" xml:space="preserve"> CEILING(N21/$F$11,1)*$F$11</f>
        <v>100</v>
      </c>
      <c r="O22" s="68">
        <f t="shared" si="7"/>
        <v>40</v>
      </c>
      <c r="P22" s="69">
        <f t="shared" ref="P22" si="8" xml:space="preserve"> CEILING(P21/$F$11,1)*$F$11</f>
        <v>10</v>
      </c>
    </row>
    <row r="23" spans="4:31" ht="15" thickBot="1" x14ac:dyDescent="0.35">
      <c r="E23" s="73" t="s">
        <v>50</v>
      </c>
      <c r="F23" s="74"/>
      <c r="G23" s="75">
        <f>IF($Q$26 = "Choosing Supplier 1", I22, H22)</f>
        <v>40</v>
      </c>
      <c r="H23" s="75">
        <f t="shared" ref="H23:P23" si="9">IF($Q$26 = "Choosing Supplier 1", J22, I22)</f>
        <v>60</v>
      </c>
      <c r="I23" s="75">
        <f t="shared" si="9"/>
        <v>70</v>
      </c>
      <c r="J23" s="75">
        <f t="shared" si="9"/>
        <v>50</v>
      </c>
      <c r="K23" s="75">
        <f t="shared" si="9"/>
        <v>60</v>
      </c>
      <c r="L23" s="75">
        <f t="shared" si="9"/>
        <v>100</v>
      </c>
      <c r="M23" s="75">
        <f t="shared" si="9"/>
        <v>40</v>
      </c>
      <c r="N23" s="75">
        <f t="shared" si="9"/>
        <v>10</v>
      </c>
      <c r="O23" s="75">
        <f t="shared" si="9"/>
        <v>0</v>
      </c>
      <c r="P23" s="76">
        <f t="shared" si="9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10">QUOTIENT(MOD(H23+$F$6-1,$F$5),$F$6)</f>
        <v>0</v>
      </c>
      <c r="I24" s="79">
        <f t="shared" si="10"/>
        <v>1</v>
      </c>
      <c r="J24" s="79">
        <f t="shared" si="10"/>
        <v>1</v>
      </c>
      <c r="K24" s="79">
        <f t="shared" si="10"/>
        <v>0</v>
      </c>
      <c r="L24" s="79">
        <f t="shared" si="10"/>
        <v>0</v>
      </c>
      <c r="M24" s="79">
        <f t="shared" si="10"/>
        <v>0</v>
      </c>
      <c r="N24" s="79">
        <f t="shared" si="10"/>
        <v>1</v>
      </c>
      <c r="O24" s="79">
        <f t="shared" si="10"/>
        <v>0</v>
      </c>
      <c r="P24" s="80">
        <f t="shared" si="10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11">QUOTIENT(H23+$F$6-1,$F$5)</f>
        <v>3</v>
      </c>
      <c r="I25" s="83">
        <f t="shared" si="11"/>
        <v>3</v>
      </c>
      <c r="J25" s="83">
        <f t="shared" si="11"/>
        <v>2</v>
      </c>
      <c r="K25" s="83">
        <f t="shared" si="11"/>
        <v>3</v>
      </c>
      <c r="L25" s="83">
        <f t="shared" si="11"/>
        <v>5</v>
      </c>
      <c r="M25" s="83">
        <f t="shared" si="11"/>
        <v>2</v>
      </c>
      <c r="N25" s="83">
        <f t="shared" si="11"/>
        <v>0</v>
      </c>
      <c r="O25" s="83">
        <f t="shared" si="11"/>
        <v>0</v>
      </c>
      <c r="P25" s="84">
        <f t="shared" si="11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12">IF($Q$26="Choosing Supplier 1", H25*$G$5+H24*$G$6,H25*$G$7+H24*$G$8)</f>
        <v>1800</v>
      </c>
      <c r="I26" s="87">
        <f t="shared" si="12"/>
        <v>2150</v>
      </c>
      <c r="J26" s="87">
        <f t="shared" si="12"/>
        <v>1550</v>
      </c>
      <c r="K26" s="87">
        <f t="shared" si="12"/>
        <v>1800</v>
      </c>
      <c r="L26" s="87">
        <f t="shared" si="12"/>
        <v>3000</v>
      </c>
      <c r="M26" s="87">
        <f t="shared" si="12"/>
        <v>1200</v>
      </c>
      <c r="N26" s="87">
        <f t="shared" si="12"/>
        <v>350</v>
      </c>
      <c r="O26" s="87">
        <f t="shared" si="12"/>
        <v>0</v>
      </c>
      <c r="P26" s="88">
        <f t="shared" si="12"/>
        <v>0</v>
      </c>
      <c r="Q26" s="289" t="str">
        <f>IF($G$5&lt;$G$7,IF($F$147="Yes","Choosing Supplier 1", "Choosing Supplier 2"),IF($F$168="Yes",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3">G27*G23</f>
        <v>8400</v>
      </c>
      <c r="H28" s="96">
        <f>H27*H23</f>
        <v>12660</v>
      </c>
      <c r="I28" s="96">
        <f t="shared" si="13"/>
        <v>14910</v>
      </c>
      <c r="J28" s="96">
        <f t="shared" si="13"/>
        <v>10750</v>
      </c>
      <c r="K28" s="96">
        <f t="shared" si="13"/>
        <v>12900</v>
      </c>
      <c r="L28" s="96">
        <f t="shared" si="13"/>
        <v>21600</v>
      </c>
      <c r="M28" s="96">
        <f t="shared" si="13"/>
        <v>8560</v>
      </c>
      <c r="N28" s="96">
        <f t="shared" si="13"/>
        <v>2120</v>
      </c>
      <c r="O28" s="96">
        <f t="shared" si="13"/>
        <v>0</v>
      </c>
      <c r="P28" s="97">
        <f t="shared" si="13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4">G26+G28</f>
        <v>9600</v>
      </c>
      <c r="H29" s="100">
        <f t="shared" si="14"/>
        <v>14460</v>
      </c>
      <c r="I29" s="100">
        <f t="shared" si="14"/>
        <v>17060</v>
      </c>
      <c r="J29" s="100">
        <f t="shared" si="14"/>
        <v>12300</v>
      </c>
      <c r="K29" s="100">
        <f t="shared" si="14"/>
        <v>14700</v>
      </c>
      <c r="L29" s="100">
        <f t="shared" si="14"/>
        <v>24600</v>
      </c>
      <c r="M29" s="100">
        <f t="shared" si="14"/>
        <v>9760</v>
      </c>
      <c r="N29" s="100">
        <f t="shared" si="14"/>
        <v>2470</v>
      </c>
      <c r="O29" s="100">
        <f t="shared" si="14"/>
        <v>0</v>
      </c>
      <c r="P29" s="101">
        <f t="shared" si="14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5">H30*H23</f>
        <v>24780</v>
      </c>
      <c r="I31" s="104">
        <f t="shared" si="15"/>
        <v>28700</v>
      </c>
      <c r="J31" s="104">
        <f t="shared" si="15"/>
        <v>20750</v>
      </c>
      <c r="K31" s="104">
        <f t="shared" si="15"/>
        <v>25080</v>
      </c>
      <c r="L31" s="104">
        <f t="shared" si="15"/>
        <v>43000</v>
      </c>
      <c r="M31" s="104">
        <f t="shared" si="15"/>
        <v>16920</v>
      </c>
      <c r="N31" s="104">
        <f t="shared" si="15"/>
        <v>4190</v>
      </c>
      <c r="O31" s="104">
        <f t="shared" si="15"/>
        <v>0</v>
      </c>
      <c r="P31" s="105">
        <f t="shared" si="15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6">H31-H29</f>
        <v>10320</v>
      </c>
      <c r="I32" s="108">
        <f t="shared" si="16"/>
        <v>11640</v>
      </c>
      <c r="J32" s="108">
        <f t="shared" si="16"/>
        <v>8450</v>
      </c>
      <c r="K32" s="108">
        <f t="shared" si="16"/>
        <v>10380</v>
      </c>
      <c r="L32" s="108">
        <f t="shared" si="16"/>
        <v>18400</v>
      </c>
      <c r="M32" s="108">
        <f t="shared" si="16"/>
        <v>7160</v>
      </c>
      <c r="N32" s="108">
        <f t="shared" si="16"/>
        <v>1720</v>
      </c>
      <c r="O32" s="108">
        <f t="shared" si="16"/>
        <v>0</v>
      </c>
      <c r="P32" s="109">
        <f t="shared" si="16"/>
        <v>0</v>
      </c>
      <c r="Q32" s="48" t="s">
        <v>62</v>
      </c>
    </row>
    <row r="33" spans="4:35" ht="13.8" customHeight="1" thickBot="1" x14ac:dyDescent="0.35">
      <c r="E33" s="157" t="s">
        <v>63</v>
      </c>
      <c r="F33" s="293"/>
      <c r="G33" s="216">
        <f t="shared" ref="G33:H33" si="17">IF($Q$26 = "Choosing Supplier 1", SUM(I14:I15),SUM(H14:H15))</f>
        <v>30</v>
      </c>
      <c r="H33" s="216">
        <f t="shared" si="17"/>
        <v>5</v>
      </c>
      <c r="I33" s="216">
        <f>IF($Q$26 = "Choosing Supplier 1", SUM(K14:K15),SUM(J14:J15))</f>
        <v>15</v>
      </c>
      <c r="J33" s="216">
        <f t="shared" ref="J33:P33" si="18">IF($Q$26 = "Choosing Supplier 1", SUM(L14:L15),SUM(K14:K15))</f>
        <v>50</v>
      </c>
      <c r="K33" s="216">
        <f t="shared" si="18"/>
        <v>20</v>
      </c>
      <c r="L33" s="216">
        <f t="shared" si="18"/>
        <v>100</v>
      </c>
      <c r="M33" s="216">
        <f t="shared" si="18"/>
        <v>0</v>
      </c>
      <c r="N33" s="216">
        <f t="shared" si="18"/>
        <v>10</v>
      </c>
      <c r="O33" s="216">
        <f t="shared" si="18"/>
        <v>0</v>
      </c>
      <c r="P33" s="217">
        <f t="shared" si="18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156</v>
      </c>
      <c r="F34" s="110"/>
      <c r="G34" s="79">
        <f>IF($Q$26= "Choosing Supplier 1", MIN(G$158,G$33), MIN(G$33,G$179))</f>
        <v>0</v>
      </c>
      <c r="H34" s="79">
        <f t="shared" ref="H34:P34" si="19">IF($Q$26= "Choosing Supplier 1", MIN(H$158,H$33), MIN(H$33,H$179))</f>
        <v>0</v>
      </c>
      <c r="I34" s="79">
        <f t="shared" si="19"/>
        <v>0</v>
      </c>
      <c r="J34" s="79">
        <f t="shared" si="19"/>
        <v>0</v>
      </c>
      <c r="K34" s="79">
        <f t="shared" si="19"/>
        <v>0</v>
      </c>
      <c r="L34" s="79">
        <f t="shared" si="19"/>
        <v>0</v>
      </c>
      <c r="M34" s="79">
        <f t="shared" si="19"/>
        <v>0</v>
      </c>
      <c r="N34" s="79">
        <f t="shared" si="19"/>
        <v>0</v>
      </c>
      <c r="O34" s="79">
        <f t="shared" si="19"/>
        <v>0</v>
      </c>
      <c r="P34" s="80">
        <f t="shared" si="19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160" t="s">
        <v>160</v>
      </c>
      <c r="F35" s="262"/>
      <c r="G35" s="299">
        <f>MIN(MAX(CEILING(IF($Q$26 = "Choosing Supplier 1", G$158,G$179)/$F$11,1)*$F$11,0),G33)</f>
        <v>0</v>
      </c>
      <c r="H35" s="299">
        <f t="shared" ref="H35:P35" si="20">MIN(MAX(CEILING(IF($Q$26 = "Choosing Supplier 1", H$158,H$179)/$F$11,1)*$F$11,0),H33)</f>
        <v>0</v>
      </c>
      <c r="I35" s="299">
        <f t="shared" si="20"/>
        <v>0</v>
      </c>
      <c r="J35" s="299">
        <f t="shared" si="20"/>
        <v>0</v>
      </c>
      <c r="K35" s="299">
        <f t="shared" si="20"/>
        <v>0</v>
      </c>
      <c r="L35" s="299">
        <f t="shared" si="20"/>
        <v>0</v>
      </c>
      <c r="M35" s="299">
        <f t="shared" si="20"/>
        <v>0</v>
      </c>
      <c r="N35" s="299">
        <f t="shared" si="20"/>
        <v>0</v>
      </c>
      <c r="O35" s="299">
        <f t="shared" si="20"/>
        <v>0</v>
      </c>
      <c r="P35" s="300">
        <f t="shared" si="20"/>
        <v>0</v>
      </c>
      <c r="Q35" s="48"/>
      <c r="AD35" s="115"/>
      <c r="AE35" s="116"/>
      <c r="AG35" s="113"/>
      <c r="AI35" s="113"/>
    </row>
    <row r="36" spans="4:35" ht="13.8" customHeight="1" thickBot="1" x14ac:dyDescent="0.35">
      <c r="E36" s="265" t="s">
        <v>125</v>
      </c>
      <c r="F36" s="262"/>
      <c r="G36" s="263">
        <f t="shared" ref="G36:O36" si="21">MIN(MAX(CEILING(IF($Q$26 = "Choosing Supplier 1", G$158,G$179)/$F$11,1)*$F$11-IF($Q$26 = "Choosing Supplier 1",I22-I21,H22-H21),0),G33)</f>
        <v>0</v>
      </c>
      <c r="H36" s="263">
        <f t="shared" si="21"/>
        <v>0</v>
      </c>
      <c r="I36" s="263">
        <f t="shared" si="21"/>
        <v>0</v>
      </c>
      <c r="J36" s="263">
        <f t="shared" si="21"/>
        <v>0</v>
      </c>
      <c r="K36" s="263">
        <f t="shared" si="21"/>
        <v>0</v>
      </c>
      <c r="L36" s="263">
        <f t="shared" si="21"/>
        <v>0</v>
      </c>
      <c r="M36" s="263">
        <f t="shared" si="21"/>
        <v>0</v>
      </c>
      <c r="N36" s="263">
        <f t="shared" si="21"/>
        <v>0</v>
      </c>
      <c r="O36" s="263">
        <f t="shared" si="21"/>
        <v>0</v>
      </c>
      <c r="P36" s="264">
        <v>0</v>
      </c>
      <c r="Q36" t="s">
        <v>153</v>
      </c>
      <c r="T36" t="s">
        <v>154</v>
      </c>
      <c r="U36" s="132" t="s">
        <v>155</v>
      </c>
      <c r="AD36" s="115"/>
      <c r="AE36" s="116"/>
      <c r="AG36" s="113"/>
      <c r="AI36" s="113"/>
    </row>
    <row r="37" spans="4:35" x14ac:dyDescent="0.3">
      <c r="E37" s="117" t="s">
        <v>67</v>
      </c>
      <c r="F37" s="82"/>
      <c r="G37" s="83">
        <f t="shared" ref="G37:J37" si="22">IF($Q$26="Choosing Supplier 1", QUOTIENT(MOD(G36+$F$6-1,$F$5),$F$6), QUOTIENT(MOD(G36+$F$8-1,$F$7),$F$8))</f>
        <v>0</v>
      </c>
      <c r="H37" s="83">
        <f t="shared" si="22"/>
        <v>0</v>
      </c>
      <c r="I37" s="83">
        <f t="shared" si="22"/>
        <v>0</v>
      </c>
      <c r="J37" s="83">
        <f t="shared" si="22"/>
        <v>0</v>
      </c>
      <c r="K37" s="83">
        <f>IF($Q$26="Choosing Supplier 1", QUOTIENT(MOD(K36+$F$6-1,$F$5),$F$6), QUOTIENT(MOD(K36+$F$8-1,$F$7),$F$8))</f>
        <v>0</v>
      </c>
      <c r="L37" s="83">
        <f t="shared" ref="L37:P37" si="23">IF($Q$26="Choosing Supplier 1", QUOTIENT(MOD(L36+$F$6-1,$F$5),$F$6), QUOTIENT(MOD(L36+$F$8-1,$F$7),$F$8))</f>
        <v>0</v>
      </c>
      <c r="M37" s="83">
        <f t="shared" si="23"/>
        <v>0</v>
      </c>
      <c r="N37" s="83">
        <f t="shared" si="23"/>
        <v>0</v>
      </c>
      <c r="O37" s="83">
        <f t="shared" si="23"/>
        <v>0</v>
      </c>
      <c r="P37" s="84">
        <f t="shared" si="23"/>
        <v>0</v>
      </c>
      <c r="Q37" s="294" t="s">
        <v>157</v>
      </c>
      <c r="AB37" s="118" t="s">
        <v>69</v>
      </c>
      <c r="AC37" s="118" t="s">
        <v>70</v>
      </c>
      <c r="AD37" s="119" t="s">
        <v>71</v>
      </c>
      <c r="AE37" s="120" t="s">
        <v>70</v>
      </c>
      <c r="AF37" s="116" t="s">
        <v>71</v>
      </c>
      <c r="AG37" s="121" t="s">
        <v>71</v>
      </c>
      <c r="AH37" s="116" t="s">
        <v>70</v>
      </c>
      <c r="AI37" s="122" t="s">
        <v>70</v>
      </c>
    </row>
    <row r="38" spans="4:35" x14ac:dyDescent="0.3">
      <c r="E38" s="123" t="s">
        <v>72</v>
      </c>
      <c r="F38" s="82"/>
      <c r="G38" s="83">
        <f t="shared" ref="G38:J38" si="24">IF($Q$26="Choosing Supplier 1", QUOTIENT(G36+$F$6-1,$F$5),QUOTIENT(G36+$F$8-1,$F$7))</f>
        <v>0</v>
      </c>
      <c r="H38" s="83">
        <f t="shared" si="24"/>
        <v>0</v>
      </c>
      <c r="I38" s="83">
        <f t="shared" si="24"/>
        <v>0</v>
      </c>
      <c r="J38" s="83">
        <f t="shared" si="24"/>
        <v>0</v>
      </c>
      <c r="K38" s="83">
        <f>IF($Q$26="Choosing Supplier 1", QUOTIENT(K36+$F$6-1,$F$5),QUOTIENT(K36+$F$8-1,$F$7))</f>
        <v>0</v>
      </c>
      <c r="L38" s="83">
        <f t="shared" ref="L38:P38" si="25">IF($Q$26="Choosing Supplier 1", QUOTIENT(L36+$F$6-1,$F$5),QUOTIENT(L36+$F$8-1,$F$7))</f>
        <v>0</v>
      </c>
      <c r="M38" s="83">
        <f t="shared" si="25"/>
        <v>0</v>
      </c>
      <c r="N38" s="83">
        <f t="shared" si="25"/>
        <v>0</v>
      </c>
      <c r="O38" s="83">
        <f t="shared" si="25"/>
        <v>0</v>
      </c>
      <c r="P38" s="84">
        <f t="shared" si="25"/>
        <v>0</v>
      </c>
      <c r="Q38" s="132" t="s">
        <v>155</v>
      </c>
      <c r="W38">
        <f>MOD(X38,$AE$28)</f>
        <v>0</v>
      </c>
      <c r="X38">
        <v>0</v>
      </c>
      <c r="Y38">
        <f>CEILING(X38,20)</f>
        <v>0</v>
      </c>
      <c r="Z38">
        <f>FLOOR(X38,20)</f>
        <v>0</v>
      </c>
      <c r="AA38">
        <f>MOD(X38,20)</f>
        <v>0</v>
      </c>
      <c r="AB38" s="118">
        <v>0</v>
      </c>
      <c r="AC38" s="118">
        <v>0</v>
      </c>
      <c r="AD38" s="124">
        <v>0</v>
      </c>
      <c r="AE38" s="125">
        <v>0</v>
      </c>
      <c r="AF38">
        <f>QUOTIENT(MOD(X38,$AE$29),$AE$28)</f>
        <v>0</v>
      </c>
      <c r="AG38" s="126">
        <f>QUOTIENT(MOD(X38+$AE$28-1,$AE$29),$AE$28)</f>
        <v>0</v>
      </c>
      <c r="AH38">
        <f>QUOTIENT(X38,$AE$29)</f>
        <v>0</v>
      </c>
      <c r="AI38" s="127">
        <f>QUOTIENT(X38+$AE$28-1,$AE$29)</f>
        <v>0</v>
      </c>
    </row>
    <row r="39" spans="4:35" ht="15" thickBot="1" x14ac:dyDescent="0.35">
      <c r="E39" s="128" t="s">
        <v>73</v>
      </c>
      <c r="F39" s="129"/>
      <c r="G39" s="130">
        <f t="shared" ref="G39:J39" si="26">IF($Q$26="Choosing Supplier 1", G38*$G$5+G37*$G$6, G38*$G$7+G37*$G$8)</f>
        <v>0</v>
      </c>
      <c r="H39" s="130">
        <f t="shared" si="26"/>
        <v>0</v>
      </c>
      <c r="I39" s="130">
        <f t="shared" si="26"/>
        <v>0</v>
      </c>
      <c r="J39" s="130">
        <f t="shared" si="26"/>
        <v>0</v>
      </c>
      <c r="K39" s="130">
        <f>IF($Q$26="Choosing Supplier 1", K38*$G$5+K37*$G$6, K38*$G$7+K37*$G$8)</f>
        <v>0</v>
      </c>
      <c r="L39" s="130">
        <f t="shared" ref="L39:P39" si="27">IF($Q$26="Choosing Supplier 1", L38*$G$5+L37*$G$6, L38*$G$7+L37*$G$8)</f>
        <v>0</v>
      </c>
      <c r="M39" s="130">
        <f t="shared" si="27"/>
        <v>0</v>
      </c>
      <c r="N39" s="130">
        <f t="shared" si="27"/>
        <v>0</v>
      </c>
      <c r="O39" s="130">
        <f t="shared" si="27"/>
        <v>0</v>
      </c>
      <c r="P39" s="131">
        <f t="shared" si="27"/>
        <v>0</v>
      </c>
      <c r="Q39" s="132" t="s">
        <v>155</v>
      </c>
      <c r="W39">
        <f t="shared" ref="W39:W67" si="28">MOD(X39,$AE$28)</f>
        <v>1</v>
      </c>
      <c r="X39">
        <v>1</v>
      </c>
      <c r="Y39">
        <f t="shared" ref="Y39:Y85" si="29">CEILING(X39,20)</f>
        <v>20</v>
      </c>
      <c r="Z39">
        <f t="shared" ref="Z39:Z85" si="30">FLOOR(X39,20)</f>
        <v>0</v>
      </c>
      <c r="AA39">
        <f t="shared" ref="AA39:AA85" si="31">MOD(X39,20)</f>
        <v>1</v>
      </c>
      <c r="AB39" s="118">
        <v>1</v>
      </c>
      <c r="AC39" s="118">
        <v>0</v>
      </c>
      <c r="AD39" s="124">
        <v>1</v>
      </c>
      <c r="AE39" s="125">
        <v>0</v>
      </c>
      <c r="AF39">
        <f t="shared" ref="AF39:AF85" si="32">QUOTIENT(MOD(X39,$AE$29),$AE$28)</f>
        <v>0</v>
      </c>
      <c r="AG39" s="126">
        <f t="shared" ref="AG39:AG85" si="33">QUOTIENT(MOD(X39+$AE$28-1,$AE$29),$AE$28)</f>
        <v>1</v>
      </c>
      <c r="AH39">
        <f t="shared" ref="AH39:AH85" si="34">QUOTIENT(X39,$AE$29)</f>
        <v>0</v>
      </c>
      <c r="AI39" s="127">
        <f t="shared" ref="AI39:AI85" si="35">QUOTIENT(X39+$AE$28-1,$AE$29)</f>
        <v>0</v>
      </c>
    </row>
    <row r="40" spans="4:35" x14ac:dyDescent="0.3">
      <c r="D40" s="48" t="s">
        <v>74</v>
      </c>
      <c r="E40" s="133" t="s">
        <v>75</v>
      </c>
      <c r="F40" s="90"/>
      <c r="G40" s="138">
        <f t="shared" ref="G40:J40" si="36">G36*G27</f>
        <v>0</v>
      </c>
      <c r="H40" s="138">
        <f t="shared" si="36"/>
        <v>0</v>
      </c>
      <c r="I40" s="138">
        <f t="shared" si="36"/>
        <v>0</v>
      </c>
      <c r="J40" s="138">
        <f t="shared" si="36"/>
        <v>0</v>
      </c>
      <c r="K40" s="138">
        <f>K36*K27</f>
        <v>0</v>
      </c>
      <c r="L40" s="138">
        <f t="shared" ref="L40:P40" si="37">L36*L27</f>
        <v>0</v>
      </c>
      <c r="M40" s="138">
        <f t="shared" si="37"/>
        <v>0</v>
      </c>
      <c r="N40" s="138">
        <f t="shared" si="37"/>
        <v>0</v>
      </c>
      <c r="O40" s="138">
        <f t="shared" si="37"/>
        <v>0</v>
      </c>
      <c r="P40" s="139">
        <f t="shared" si="37"/>
        <v>0</v>
      </c>
      <c r="Q40" s="132" t="s">
        <v>155</v>
      </c>
      <c r="W40">
        <f t="shared" si="28"/>
        <v>2</v>
      </c>
      <c r="X40">
        <v>2</v>
      </c>
      <c r="Y40">
        <f t="shared" si="29"/>
        <v>20</v>
      </c>
      <c r="Z40">
        <f t="shared" si="30"/>
        <v>0</v>
      </c>
      <c r="AA40">
        <f t="shared" si="31"/>
        <v>2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32"/>
        <v>0</v>
      </c>
      <c r="AG40" s="126">
        <f t="shared" si="33"/>
        <v>1</v>
      </c>
      <c r="AH40">
        <f t="shared" si="34"/>
        <v>0</v>
      </c>
      <c r="AI40" s="127">
        <f t="shared" si="35"/>
        <v>0</v>
      </c>
    </row>
    <row r="41" spans="4:35" ht="15" thickBot="1" x14ac:dyDescent="0.35">
      <c r="D41" s="48"/>
      <c r="E41" s="135" t="s">
        <v>76</v>
      </c>
      <c r="F41" s="136"/>
      <c r="G41" s="108">
        <f>G40+G39</f>
        <v>0</v>
      </c>
      <c r="H41" s="108">
        <f t="shared" ref="H41:P41" si="38">H40+H39</f>
        <v>0</v>
      </c>
      <c r="I41" s="108">
        <f t="shared" si="38"/>
        <v>0</v>
      </c>
      <c r="J41" s="108">
        <f t="shared" si="38"/>
        <v>0</v>
      </c>
      <c r="K41" s="108">
        <f t="shared" si="38"/>
        <v>0</v>
      </c>
      <c r="L41" s="108">
        <f t="shared" si="38"/>
        <v>0</v>
      </c>
      <c r="M41" s="108">
        <f t="shared" si="38"/>
        <v>0</v>
      </c>
      <c r="N41" s="108">
        <f t="shared" si="38"/>
        <v>0</v>
      </c>
      <c r="O41" s="108">
        <f t="shared" si="38"/>
        <v>0</v>
      </c>
      <c r="P41" s="109">
        <f t="shared" si="38"/>
        <v>0</v>
      </c>
      <c r="Q41" s="132" t="s">
        <v>155</v>
      </c>
      <c r="W41">
        <f t="shared" si="28"/>
        <v>3</v>
      </c>
      <c r="X41">
        <v>3</v>
      </c>
      <c r="Y41">
        <f t="shared" si="29"/>
        <v>20</v>
      </c>
      <c r="Z41">
        <f t="shared" si="30"/>
        <v>0</v>
      </c>
      <c r="AA41">
        <f t="shared" si="31"/>
        <v>3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32"/>
        <v>0</v>
      </c>
      <c r="AG41" s="126">
        <f t="shared" si="33"/>
        <v>1</v>
      </c>
      <c r="AH41">
        <f t="shared" si="34"/>
        <v>0</v>
      </c>
      <c r="AI41" s="127">
        <f t="shared" si="35"/>
        <v>0</v>
      </c>
    </row>
    <row r="42" spans="4:35" x14ac:dyDescent="0.3">
      <c r="E42" s="137" t="s">
        <v>158</v>
      </c>
      <c r="F42" s="90"/>
      <c r="G42" s="138">
        <f t="shared" ref="G42:J42" si="39">G36*G30</f>
        <v>0</v>
      </c>
      <c r="H42" s="138">
        <f t="shared" si="39"/>
        <v>0</v>
      </c>
      <c r="I42" s="138">
        <f t="shared" si="39"/>
        <v>0</v>
      </c>
      <c r="J42" s="138">
        <f t="shared" si="39"/>
        <v>0</v>
      </c>
      <c r="K42" s="138">
        <f>K36*K30</f>
        <v>0</v>
      </c>
      <c r="L42" s="138">
        <f t="shared" ref="L42:P42" si="40">L36*L30</f>
        <v>0</v>
      </c>
      <c r="M42" s="138">
        <f t="shared" si="40"/>
        <v>0</v>
      </c>
      <c r="N42" s="138">
        <f t="shared" si="40"/>
        <v>0</v>
      </c>
      <c r="O42" s="138">
        <f t="shared" si="40"/>
        <v>0</v>
      </c>
      <c r="P42" s="139">
        <f t="shared" si="40"/>
        <v>0</v>
      </c>
      <c r="Q42" s="132" t="s">
        <v>155</v>
      </c>
      <c r="W42">
        <f t="shared" si="28"/>
        <v>4</v>
      </c>
      <c r="X42">
        <v>4</v>
      </c>
      <c r="Y42">
        <f t="shared" si="29"/>
        <v>20</v>
      </c>
      <c r="Z42">
        <f t="shared" si="30"/>
        <v>0</v>
      </c>
      <c r="AA42">
        <f t="shared" si="31"/>
        <v>4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32"/>
        <v>0</v>
      </c>
      <c r="AG42" s="126">
        <f t="shared" si="33"/>
        <v>1</v>
      </c>
      <c r="AH42">
        <f t="shared" si="34"/>
        <v>0</v>
      </c>
      <c r="AI42" s="127">
        <f t="shared" si="35"/>
        <v>0</v>
      </c>
    </row>
    <row r="43" spans="4:35" ht="15" thickBot="1" x14ac:dyDescent="0.35">
      <c r="E43" s="135" t="s">
        <v>87</v>
      </c>
      <c r="F43" s="140"/>
      <c r="G43" s="141">
        <f>G42-G41</f>
        <v>0</v>
      </c>
      <c r="H43" s="141">
        <f>H42-H41</f>
        <v>0</v>
      </c>
      <c r="I43" s="142">
        <f t="shared" ref="I43:P43" si="41">I42-I41</f>
        <v>0</v>
      </c>
      <c r="J43" s="141">
        <f t="shared" si="41"/>
        <v>0</v>
      </c>
      <c r="K43" s="141">
        <f t="shared" si="41"/>
        <v>0</v>
      </c>
      <c r="L43" s="141">
        <f t="shared" si="41"/>
        <v>0</v>
      </c>
      <c r="M43" s="141">
        <f t="shared" si="41"/>
        <v>0</v>
      </c>
      <c r="N43" s="141">
        <f t="shared" si="41"/>
        <v>0</v>
      </c>
      <c r="O43" s="141">
        <f t="shared" si="41"/>
        <v>0</v>
      </c>
      <c r="P43" s="143">
        <f t="shared" si="41"/>
        <v>0</v>
      </c>
      <c r="Q43" s="48" t="s">
        <v>62</v>
      </c>
      <c r="S43" s="132" t="s">
        <v>155</v>
      </c>
      <c r="W43">
        <f t="shared" si="28"/>
        <v>5</v>
      </c>
      <c r="X43">
        <v>5</v>
      </c>
      <c r="Y43">
        <f t="shared" si="29"/>
        <v>20</v>
      </c>
      <c r="Z43">
        <f t="shared" si="30"/>
        <v>0</v>
      </c>
      <c r="AA43">
        <f t="shared" si="31"/>
        <v>5</v>
      </c>
      <c r="AB43" s="118">
        <v>1</v>
      </c>
      <c r="AC43" s="118">
        <v>0</v>
      </c>
      <c r="AD43" s="124">
        <v>1</v>
      </c>
      <c r="AE43" s="125">
        <v>0</v>
      </c>
      <c r="AF43">
        <f t="shared" si="32"/>
        <v>0</v>
      </c>
      <c r="AG43" s="126">
        <f t="shared" si="33"/>
        <v>1</v>
      </c>
      <c r="AH43">
        <f t="shared" si="34"/>
        <v>0</v>
      </c>
      <c r="AI43" s="127">
        <f t="shared" si="35"/>
        <v>0</v>
      </c>
    </row>
    <row r="44" spans="4:35" ht="15" thickBot="1" x14ac:dyDescent="0.35">
      <c r="E44" s="144" t="s">
        <v>79</v>
      </c>
      <c r="F44" s="145"/>
      <c r="G44" s="146">
        <f>G32-G43</f>
        <v>6800</v>
      </c>
      <c r="H44" s="146">
        <f>H32-H43</f>
        <v>10320</v>
      </c>
      <c r="I44" s="146">
        <f t="shared" ref="I44:P44" si="42">I32-I43</f>
        <v>11640</v>
      </c>
      <c r="J44" s="146">
        <f t="shared" si="42"/>
        <v>8450</v>
      </c>
      <c r="K44" s="146">
        <f t="shared" si="42"/>
        <v>10380</v>
      </c>
      <c r="L44" s="146">
        <f t="shared" si="42"/>
        <v>18400</v>
      </c>
      <c r="M44" s="146">
        <f t="shared" si="42"/>
        <v>7160</v>
      </c>
      <c r="N44" s="146">
        <f t="shared" si="42"/>
        <v>1720</v>
      </c>
      <c r="O44" s="146">
        <f t="shared" si="42"/>
        <v>0</v>
      </c>
      <c r="P44" s="147">
        <f t="shared" si="42"/>
        <v>0</v>
      </c>
      <c r="Q44" s="132" t="s">
        <v>155</v>
      </c>
      <c r="W44">
        <f t="shared" si="28"/>
        <v>6</v>
      </c>
      <c r="X44">
        <v>6</v>
      </c>
      <c r="Y44">
        <f t="shared" si="29"/>
        <v>20</v>
      </c>
      <c r="Z44">
        <f t="shared" si="30"/>
        <v>0</v>
      </c>
      <c r="AA44">
        <f t="shared" si="31"/>
        <v>6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32"/>
        <v>0</v>
      </c>
      <c r="AG44" s="126">
        <f t="shared" si="33"/>
        <v>1</v>
      </c>
      <c r="AH44">
        <f t="shared" si="34"/>
        <v>0</v>
      </c>
      <c r="AI44" s="127">
        <f t="shared" si="35"/>
        <v>0</v>
      </c>
    </row>
    <row r="45" spans="4:35" x14ac:dyDescent="0.3">
      <c r="E45" s="148" t="s">
        <v>80</v>
      </c>
      <c r="F45" s="149"/>
      <c r="G45" s="150">
        <f>G33/G23</f>
        <v>0.75</v>
      </c>
      <c r="H45" s="150">
        <f t="shared" ref="H45:P45" si="43">H33/H23</f>
        <v>8.3333333333333329E-2</v>
      </c>
      <c r="I45" s="150">
        <f t="shared" si="43"/>
        <v>0.21428571428571427</v>
      </c>
      <c r="J45" s="150">
        <f t="shared" si="43"/>
        <v>1</v>
      </c>
      <c r="K45" s="150">
        <f t="shared" si="43"/>
        <v>0.33333333333333331</v>
      </c>
      <c r="L45" s="150">
        <f t="shared" si="43"/>
        <v>1</v>
      </c>
      <c r="M45" s="150">
        <f t="shared" si="43"/>
        <v>0</v>
      </c>
      <c r="N45" s="150">
        <f t="shared" si="43"/>
        <v>1</v>
      </c>
      <c r="O45" s="150" t="e">
        <f t="shared" si="43"/>
        <v>#DIV/0!</v>
      </c>
      <c r="P45" s="150" t="e">
        <f t="shared" si="43"/>
        <v>#DIV/0!</v>
      </c>
      <c r="W45">
        <f t="shared" si="28"/>
        <v>7</v>
      </c>
      <c r="X45">
        <v>7</v>
      </c>
      <c r="Y45">
        <f t="shared" si="29"/>
        <v>20</v>
      </c>
      <c r="Z45">
        <f t="shared" si="30"/>
        <v>0</v>
      </c>
      <c r="AA45">
        <f t="shared" si="31"/>
        <v>7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32"/>
        <v>0</v>
      </c>
      <c r="AG45" s="126">
        <f t="shared" si="33"/>
        <v>1</v>
      </c>
      <c r="AH45">
        <f t="shared" si="34"/>
        <v>0</v>
      </c>
      <c r="AI45" s="127">
        <f t="shared" si="35"/>
        <v>0</v>
      </c>
    </row>
    <row r="46" spans="4:35" x14ac:dyDescent="0.3">
      <c r="E46" s="148" t="s">
        <v>81</v>
      </c>
      <c r="F46" s="149"/>
      <c r="G46" s="150">
        <f>G41/G29</f>
        <v>0</v>
      </c>
      <c r="H46" s="150">
        <f t="shared" ref="H46:P46" si="44">H41/H29</f>
        <v>0</v>
      </c>
      <c r="I46" s="150">
        <f t="shared" si="44"/>
        <v>0</v>
      </c>
      <c r="J46" s="150">
        <f t="shared" si="44"/>
        <v>0</v>
      </c>
      <c r="K46" s="150">
        <f t="shared" si="44"/>
        <v>0</v>
      </c>
      <c r="L46" s="150">
        <f t="shared" si="44"/>
        <v>0</v>
      </c>
      <c r="M46" s="150">
        <f t="shared" si="44"/>
        <v>0</v>
      </c>
      <c r="N46" s="150">
        <f t="shared" si="44"/>
        <v>0</v>
      </c>
      <c r="O46" s="150" t="e">
        <f t="shared" si="44"/>
        <v>#DIV/0!</v>
      </c>
      <c r="P46" s="150" t="e">
        <f t="shared" si="44"/>
        <v>#DIV/0!</v>
      </c>
      <c r="W46">
        <f t="shared" si="28"/>
        <v>8</v>
      </c>
      <c r="X46">
        <v>8</v>
      </c>
      <c r="Y46">
        <f t="shared" si="29"/>
        <v>20</v>
      </c>
      <c r="Z46">
        <f t="shared" si="30"/>
        <v>0</v>
      </c>
      <c r="AA46">
        <f t="shared" si="31"/>
        <v>8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32"/>
        <v>0</v>
      </c>
      <c r="AG46" s="126">
        <f t="shared" si="33"/>
        <v>1</v>
      </c>
      <c r="AH46">
        <f t="shared" si="34"/>
        <v>0</v>
      </c>
      <c r="AI46" s="127">
        <f t="shared" si="35"/>
        <v>0</v>
      </c>
    </row>
    <row r="47" spans="4:35" x14ac:dyDescent="0.3">
      <c r="E47" s="148" t="s">
        <v>82</v>
      </c>
      <c r="F47" s="151"/>
      <c r="G47" s="150">
        <f>G43/G32</f>
        <v>0</v>
      </c>
      <c r="H47" s="150">
        <f t="shared" ref="H47:P47" si="45">H43/H32</f>
        <v>0</v>
      </c>
      <c r="I47" s="150">
        <f t="shared" si="45"/>
        <v>0</v>
      </c>
      <c r="J47" s="150">
        <f t="shared" si="45"/>
        <v>0</v>
      </c>
      <c r="K47" s="150">
        <f t="shared" si="45"/>
        <v>0</v>
      </c>
      <c r="L47" s="150">
        <f t="shared" si="45"/>
        <v>0</v>
      </c>
      <c r="M47" s="150">
        <f t="shared" si="45"/>
        <v>0</v>
      </c>
      <c r="N47" s="150">
        <f t="shared" si="45"/>
        <v>0</v>
      </c>
      <c r="O47" s="150" t="e">
        <f t="shared" si="45"/>
        <v>#DIV/0!</v>
      </c>
      <c r="P47" s="150" t="e">
        <f t="shared" si="45"/>
        <v>#DIV/0!</v>
      </c>
      <c r="W47">
        <f t="shared" si="28"/>
        <v>9</v>
      </c>
      <c r="X47">
        <v>9</v>
      </c>
      <c r="Y47">
        <f t="shared" si="29"/>
        <v>20</v>
      </c>
      <c r="Z47">
        <f t="shared" si="30"/>
        <v>0</v>
      </c>
      <c r="AA47">
        <f t="shared" si="31"/>
        <v>9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32"/>
        <v>0</v>
      </c>
      <c r="AG47" s="126">
        <f t="shared" si="33"/>
        <v>1</v>
      </c>
      <c r="AH47">
        <f t="shared" si="34"/>
        <v>0</v>
      </c>
      <c r="AI47" s="127">
        <f t="shared" si="35"/>
        <v>0</v>
      </c>
    </row>
    <row r="48" spans="4:35" x14ac:dyDescent="0.3">
      <c r="F48" s="4"/>
      <c r="W48">
        <f t="shared" si="28"/>
        <v>0</v>
      </c>
      <c r="X48">
        <v>10</v>
      </c>
      <c r="Y48">
        <f t="shared" si="29"/>
        <v>20</v>
      </c>
      <c r="Z48">
        <f t="shared" si="30"/>
        <v>0</v>
      </c>
      <c r="AA48">
        <f t="shared" si="31"/>
        <v>10</v>
      </c>
      <c r="AB48" s="118">
        <v>2</v>
      </c>
      <c r="AC48" s="118">
        <v>0</v>
      </c>
      <c r="AD48" s="124">
        <v>1</v>
      </c>
      <c r="AE48" s="125">
        <v>0</v>
      </c>
      <c r="AF48">
        <f t="shared" si="32"/>
        <v>1</v>
      </c>
      <c r="AG48" s="126">
        <f t="shared" si="33"/>
        <v>1</v>
      </c>
      <c r="AH48">
        <f t="shared" si="34"/>
        <v>0</v>
      </c>
      <c r="AI48" s="127">
        <f t="shared" si="35"/>
        <v>0</v>
      </c>
    </row>
    <row r="49" spans="4:35" x14ac:dyDescent="0.3">
      <c r="D49" s="50" t="s">
        <v>83</v>
      </c>
      <c r="E49" s="51" t="s">
        <v>84</v>
      </c>
      <c r="F49" s="4"/>
      <c r="W49">
        <f t="shared" si="28"/>
        <v>1</v>
      </c>
      <c r="X49">
        <v>11</v>
      </c>
      <c r="Y49">
        <f t="shared" si="29"/>
        <v>20</v>
      </c>
      <c r="Z49">
        <f t="shared" si="30"/>
        <v>0</v>
      </c>
      <c r="AA49">
        <f t="shared" si="31"/>
        <v>11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32"/>
        <v>1</v>
      </c>
      <c r="AG49" s="126">
        <f t="shared" si="33"/>
        <v>0</v>
      </c>
      <c r="AH49">
        <f t="shared" si="34"/>
        <v>0</v>
      </c>
      <c r="AI49" s="127">
        <f t="shared" si="35"/>
        <v>1</v>
      </c>
    </row>
    <row r="50" spans="4:35" x14ac:dyDescent="0.3">
      <c r="E50" s="1" t="s">
        <v>117</v>
      </c>
      <c r="F50" s="2">
        <f>'DC2'!C3</f>
        <v>20</v>
      </c>
      <c r="G50" s="247">
        <f>'DC2'!D3</f>
        <v>500</v>
      </c>
      <c r="H50"/>
      <c r="J50" s="70" t="s">
        <v>85</v>
      </c>
      <c r="Q50" s="4"/>
      <c r="W50">
        <f t="shared" si="28"/>
        <v>2</v>
      </c>
      <c r="X50">
        <v>12</v>
      </c>
      <c r="Y50">
        <f t="shared" si="29"/>
        <v>20</v>
      </c>
      <c r="Z50">
        <f t="shared" si="30"/>
        <v>0</v>
      </c>
      <c r="AA50">
        <f t="shared" si="31"/>
        <v>12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32"/>
        <v>1</v>
      </c>
      <c r="AG50" s="126">
        <f t="shared" si="33"/>
        <v>0</v>
      </c>
      <c r="AH50">
        <f t="shared" si="34"/>
        <v>0</v>
      </c>
      <c r="AI50" s="127">
        <f t="shared" si="35"/>
        <v>1</v>
      </c>
    </row>
    <row r="51" spans="4:35" ht="14.4" customHeight="1" x14ac:dyDescent="0.3">
      <c r="E51" s="1" t="s">
        <v>118</v>
      </c>
      <c r="F51" s="2">
        <f>'DC2'!C4</f>
        <v>10</v>
      </c>
      <c r="G51" s="247">
        <f>'DC2'!D4</f>
        <v>280</v>
      </c>
      <c r="H51"/>
      <c r="P51" s="253"/>
      <c r="Q51" s="4"/>
      <c r="W51">
        <f>MOD(X51,$AE$28)</f>
        <v>3</v>
      </c>
      <c r="X51">
        <v>13</v>
      </c>
      <c r="Y51">
        <f t="shared" si="29"/>
        <v>20</v>
      </c>
      <c r="Z51">
        <f t="shared" si="30"/>
        <v>0</v>
      </c>
      <c r="AA51">
        <f t="shared" si="31"/>
        <v>13</v>
      </c>
      <c r="AB51" s="118">
        <v>3</v>
      </c>
      <c r="AC51" s="118">
        <v>0</v>
      </c>
      <c r="AD51" s="124">
        <v>0</v>
      </c>
      <c r="AE51" s="125">
        <v>1</v>
      </c>
      <c r="AF51">
        <f t="shared" si="32"/>
        <v>1</v>
      </c>
      <c r="AG51" s="126">
        <f t="shared" si="33"/>
        <v>0</v>
      </c>
      <c r="AH51">
        <f t="shared" si="34"/>
        <v>0</v>
      </c>
      <c r="AI51" s="127">
        <f t="shared" si="35"/>
        <v>1</v>
      </c>
    </row>
    <row r="52" spans="4:35" ht="14.4" customHeight="1" x14ac:dyDescent="0.3">
      <c r="E52" s="255" t="s">
        <v>119</v>
      </c>
      <c r="F52" s="258">
        <f>'DC2'!C5</f>
        <v>20</v>
      </c>
      <c r="G52" s="259">
        <f>'DC2'!D5</f>
        <v>480</v>
      </c>
      <c r="H52"/>
      <c r="P52" s="253"/>
      <c r="Q52" s="4"/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255" t="s">
        <v>120</v>
      </c>
      <c r="F53" s="258">
        <f>'DC2'!C6</f>
        <v>10</v>
      </c>
      <c r="G53" s="259">
        <f>'DC2'!D6</f>
        <v>250</v>
      </c>
      <c r="H53"/>
      <c r="P53" s="253"/>
      <c r="Q53" s="4"/>
      <c r="AB53" s="118"/>
      <c r="AC53" s="118"/>
      <c r="AD53" s="124"/>
      <c r="AE53" s="125"/>
      <c r="AG53" s="126"/>
      <c r="AI53" s="127"/>
    </row>
    <row r="54" spans="4:35" ht="14.4" customHeight="1" x14ac:dyDescent="0.3">
      <c r="E54" s="1" t="s">
        <v>121</v>
      </c>
      <c r="F54" s="5">
        <f>'DC2'!C7</f>
        <v>1</v>
      </c>
      <c r="G54" t="s">
        <v>34</v>
      </c>
      <c r="P54" s="301">
        <v>2</v>
      </c>
      <c r="W54">
        <f t="shared" si="28"/>
        <v>4</v>
      </c>
      <c r="X54">
        <v>14</v>
      </c>
      <c r="Y54">
        <f t="shared" si="29"/>
        <v>20</v>
      </c>
      <c r="Z54">
        <f t="shared" si="30"/>
        <v>0</v>
      </c>
      <c r="AA54">
        <f t="shared" si="31"/>
        <v>14</v>
      </c>
      <c r="AB54" s="118">
        <v>3</v>
      </c>
      <c r="AC54" s="118">
        <v>0</v>
      </c>
      <c r="AD54" s="124">
        <v>0</v>
      </c>
      <c r="AE54" s="125">
        <v>1</v>
      </c>
      <c r="AF54">
        <f t="shared" si="32"/>
        <v>1</v>
      </c>
      <c r="AG54" s="126">
        <f t="shared" si="33"/>
        <v>0</v>
      </c>
      <c r="AH54">
        <f t="shared" si="34"/>
        <v>0</v>
      </c>
      <c r="AI54" s="127">
        <f t="shared" si="35"/>
        <v>1</v>
      </c>
    </row>
    <row r="55" spans="4:35" ht="14.4" customHeight="1" x14ac:dyDescent="0.3">
      <c r="E55" s="255" t="s">
        <v>122</v>
      </c>
      <c r="F55" s="260">
        <f>'DC2'!C8</f>
        <v>1</v>
      </c>
      <c r="G55" t="s">
        <v>34</v>
      </c>
      <c r="P55" s="301"/>
      <c r="AB55" s="118"/>
      <c r="AC55" s="118"/>
      <c r="AD55" s="124"/>
      <c r="AE55" s="125"/>
      <c r="AG55" s="126"/>
      <c r="AI55" s="127"/>
    </row>
    <row r="56" spans="4:35" ht="14.4" customHeight="1" x14ac:dyDescent="0.3">
      <c r="E56" s="1" t="s">
        <v>86</v>
      </c>
      <c r="F56" s="7">
        <f>'DC2'!C9</f>
        <v>20</v>
      </c>
      <c r="G56" t="s">
        <v>35</v>
      </c>
      <c r="L56" s="52" t="s">
        <v>36</v>
      </c>
      <c r="P56" s="301"/>
      <c r="W56">
        <f t="shared" si="28"/>
        <v>5</v>
      </c>
      <c r="X56">
        <v>15</v>
      </c>
      <c r="Y56">
        <f t="shared" si="29"/>
        <v>20</v>
      </c>
      <c r="Z56">
        <f t="shared" si="30"/>
        <v>0</v>
      </c>
      <c r="AA56">
        <f t="shared" si="31"/>
        <v>15</v>
      </c>
      <c r="AB56" s="118">
        <v>3</v>
      </c>
      <c r="AC56" s="118">
        <v>0</v>
      </c>
      <c r="AD56" s="124">
        <v>0</v>
      </c>
      <c r="AE56" s="125">
        <v>1</v>
      </c>
      <c r="AF56">
        <f t="shared" si="32"/>
        <v>1</v>
      </c>
      <c r="AG56" s="126">
        <f t="shared" si="33"/>
        <v>0</v>
      </c>
      <c r="AH56">
        <f t="shared" si="34"/>
        <v>0</v>
      </c>
      <c r="AI56" s="127">
        <f t="shared" si="35"/>
        <v>1</v>
      </c>
    </row>
    <row r="57" spans="4:35" ht="15" customHeight="1" thickBot="1" x14ac:dyDescent="0.35">
      <c r="E57" s="1" t="s">
        <v>37</v>
      </c>
      <c r="F57" s="7">
        <f>'DC2'!C10</f>
        <v>20</v>
      </c>
      <c r="G57" t="s">
        <v>35</v>
      </c>
      <c r="P57" s="302"/>
      <c r="W57">
        <f>MOD(X57,$AE$28)</f>
        <v>6</v>
      </c>
      <c r="X57">
        <v>16</v>
      </c>
      <c r="Y57">
        <f t="shared" si="29"/>
        <v>20</v>
      </c>
      <c r="Z57">
        <f t="shared" si="30"/>
        <v>0</v>
      </c>
      <c r="AA57">
        <f t="shared" si="31"/>
        <v>16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32"/>
        <v>1</v>
      </c>
      <c r="AG57" s="126">
        <f t="shared" si="33"/>
        <v>0</v>
      </c>
      <c r="AH57">
        <f t="shared" si="34"/>
        <v>0</v>
      </c>
      <c r="AI57" s="127">
        <f t="shared" si="35"/>
        <v>1</v>
      </c>
    </row>
    <row r="58" spans="4:35" ht="15" thickBot="1" x14ac:dyDescent="0.35">
      <c r="D58" s="152"/>
      <c r="F58" s="242" t="s">
        <v>38</v>
      </c>
      <c r="G58" s="243" t="s">
        <v>0</v>
      </c>
      <c r="H58" s="243" t="s">
        <v>1</v>
      </c>
      <c r="I58" s="243" t="s">
        <v>2</v>
      </c>
      <c r="J58" s="243" t="s">
        <v>3</v>
      </c>
      <c r="K58" s="243" t="s">
        <v>4</v>
      </c>
      <c r="L58" s="243" t="s">
        <v>5</v>
      </c>
      <c r="M58" s="243" t="s">
        <v>6</v>
      </c>
      <c r="N58" s="243" t="s">
        <v>7</v>
      </c>
      <c r="O58" s="243" t="s">
        <v>8</v>
      </c>
      <c r="P58" s="244" t="s">
        <v>9</v>
      </c>
      <c r="W58">
        <f t="shared" si="28"/>
        <v>7</v>
      </c>
      <c r="X58">
        <v>17</v>
      </c>
      <c r="Y58">
        <f t="shared" si="29"/>
        <v>20</v>
      </c>
      <c r="Z58">
        <f t="shared" si="30"/>
        <v>0</v>
      </c>
      <c r="AA58">
        <f t="shared" si="31"/>
        <v>17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32"/>
        <v>1</v>
      </c>
      <c r="AG58" s="126">
        <f t="shared" si="33"/>
        <v>0</v>
      </c>
      <c r="AH58">
        <f t="shared" si="34"/>
        <v>0</v>
      </c>
      <c r="AI58" s="127">
        <f t="shared" si="35"/>
        <v>1</v>
      </c>
    </row>
    <row r="59" spans="4:35" x14ac:dyDescent="0.3">
      <c r="E59" s="10" t="s">
        <v>10</v>
      </c>
      <c r="F59" s="55"/>
      <c r="G59" s="245">
        <f>'DC2'!C13</f>
        <v>0</v>
      </c>
      <c r="H59" s="245">
        <f>'DC2'!D13</f>
        <v>0</v>
      </c>
      <c r="I59" s="245">
        <f>'DC2'!E13</f>
        <v>0</v>
      </c>
      <c r="J59" s="245">
        <f>'DC2'!F13</f>
        <v>20</v>
      </c>
      <c r="K59" s="245">
        <f>'DC2'!G13</f>
        <v>20</v>
      </c>
      <c r="L59" s="245">
        <f>'DC2'!H13</f>
        <v>30</v>
      </c>
      <c r="M59" s="245">
        <f>'DC2'!I13</f>
        <v>25</v>
      </c>
      <c r="N59" s="245">
        <f>'DC2'!J13</f>
        <v>60</v>
      </c>
      <c r="O59" s="245">
        <f>'DC2'!K13</f>
        <v>0</v>
      </c>
      <c r="P59" s="246">
        <f>'DC2'!L13</f>
        <v>10</v>
      </c>
      <c r="W59">
        <f t="shared" si="28"/>
        <v>8</v>
      </c>
      <c r="X59">
        <v>18</v>
      </c>
      <c r="Y59">
        <f t="shared" si="29"/>
        <v>20</v>
      </c>
      <c r="Z59">
        <f t="shared" si="30"/>
        <v>0</v>
      </c>
      <c r="AA59">
        <f t="shared" si="31"/>
        <v>18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32"/>
        <v>1</v>
      </c>
      <c r="AG59" s="126">
        <f t="shared" si="33"/>
        <v>0</v>
      </c>
      <c r="AH59">
        <f t="shared" si="34"/>
        <v>0</v>
      </c>
      <c r="AI59" s="127">
        <f t="shared" si="35"/>
        <v>1</v>
      </c>
    </row>
    <row r="60" spans="4:35" x14ac:dyDescent="0.3">
      <c r="E60" s="13" t="s">
        <v>11</v>
      </c>
      <c r="F60" s="240"/>
      <c r="G60" s="239">
        <f>'DC2'!C14</f>
        <v>0</v>
      </c>
      <c r="H60" s="239">
        <f>'DC2'!D14</f>
        <v>10</v>
      </c>
      <c r="I60" s="239">
        <f>'DC2'!E14</f>
        <v>0</v>
      </c>
      <c r="J60" s="239">
        <f>'DC2'!F14</f>
        <v>0</v>
      </c>
      <c r="K60" s="239">
        <f>'DC2'!G14</f>
        <v>0</v>
      </c>
      <c r="L60" s="239">
        <f>'DC2'!H14</f>
        <v>0</v>
      </c>
      <c r="M60" s="239">
        <f>'DC2'!I14</f>
        <v>0</v>
      </c>
      <c r="N60" s="239">
        <f>'DC2'!J14</f>
        <v>0</v>
      </c>
      <c r="O60" s="239">
        <f>'DC2'!K14</f>
        <v>0</v>
      </c>
      <c r="P60" s="241">
        <f>'DC2'!L14</f>
        <v>0</v>
      </c>
      <c r="W60">
        <f t="shared" si="28"/>
        <v>9</v>
      </c>
      <c r="X60">
        <v>19</v>
      </c>
      <c r="Y60">
        <f t="shared" si="29"/>
        <v>20</v>
      </c>
      <c r="Z60">
        <f t="shared" si="30"/>
        <v>0</v>
      </c>
      <c r="AA60">
        <f t="shared" si="31"/>
        <v>19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32"/>
        <v>1</v>
      </c>
      <c r="AG60" s="126">
        <f t="shared" si="33"/>
        <v>0</v>
      </c>
      <c r="AH60">
        <f t="shared" si="34"/>
        <v>0</v>
      </c>
      <c r="AI60" s="127">
        <f t="shared" si="35"/>
        <v>1</v>
      </c>
    </row>
    <row r="61" spans="4:35" x14ac:dyDescent="0.3">
      <c r="E61" s="15" t="s">
        <v>12</v>
      </c>
      <c r="F61" s="58"/>
      <c r="G61" s="239">
        <f>'DC2'!C15</f>
        <v>0</v>
      </c>
      <c r="H61" s="239">
        <f>'DC2'!D15</f>
        <v>0</v>
      </c>
      <c r="I61" s="239">
        <f>'DC2'!E15</f>
        <v>0</v>
      </c>
      <c r="J61" s="239">
        <f>'DC2'!F15</f>
        <v>60</v>
      </c>
      <c r="K61" s="239">
        <f>'DC2'!G15</f>
        <v>50</v>
      </c>
      <c r="L61" s="239">
        <f>'DC2'!H15</f>
        <v>10</v>
      </c>
      <c r="M61" s="239">
        <f>'DC2'!I15</f>
        <v>40</v>
      </c>
      <c r="N61" s="239">
        <f>'DC2'!J15</f>
        <v>0</v>
      </c>
      <c r="O61" s="239">
        <f>'DC2'!K15</f>
        <v>50</v>
      </c>
      <c r="P61" s="241">
        <f>'DC2'!L15</f>
        <v>0</v>
      </c>
      <c r="W61">
        <f t="shared" si="28"/>
        <v>0</v>
      </c>
      <c r="X61">
        <v>20</v>
      </c>
      <c r="Y61">
        <f t="shared" si="29"/>
        <v>20</v>
      </c>
      <c r="Z61">
        <f t="shared" si="30"/>
        <v>20</v>
      </c>
      <c r="AA61">
        <f t="shared" si="31"/>
        <v>0</v>
      </c>
      <c r="AB61" s="118">
        <v>0</v>
      </c>
      <c r="AC61" s="118">
        <v>1</v>
      </c>
      <c r="AD61" s="124">
        <v>0</v>
      </c>
      <c r="AE61" s="125">
        <v>1</v>
      </c>
      <c r="AF61">
        <f t="shared" si="32"/>
        <v>0</v>
      </c>
      <c r="AG61" s="126">
        <f t="shared" si="33"/>
        <v>0</v>
      </c>
      <c r="AH61">
        <f t="shared" si="34"/>
        <v>1</v>
      </c>
      <c r="AI61" s="127">
        <f t="shared" si="35"/>
        <v>1</v>
      </c>
    </row>
    <row r="62" spans="4:35" x14ac:dyDescent="0.3">
      <c r="E62" s="16" t="s">
        <v>13</v>
      </c>
      <c r="F62" s="58"/>
      <c r="G62" s="239">
        <f>'DC2'!C16</f>
        <v>0</v>
      </c>
      <c r="H62" s="239">
        <f>'DC2'!D16</f>
        <v>40</v>
      </c>
      <c r="I62" s="239">
        <f>'DC2'!E16</f>
        <v>0</v>
      </c>
      <c r="J62" s="239">
        <f>'DC2'!F16</f>
        <v>0</v>
      </c>
      <c r="K62" s="239">
        <f>'DC2'!G16</f>
        <v>0</v>
      </c>
      <c r="L62" s="239">
        <f>'DC2'!H16</f>
        <v>0</v>
      </c>
      <c r="M62" s="239">
        <f>'DC2'!I16</f>
        <v>0</v>
      </c>
      <c r="N62" s="239">
        <f>'DC2'!J16</f>
        <v>0</v>
      </c>
      <c r="O62" s="239">
        <f>'DC2'!K16</f>
        <v>0</v>
      </c>
      <c r="P62" s="241">
        <f>'DC2'!L16</f>
        <v>0</v>
      </c>
      <c r="W62">
        <f t="shared" si="28"/>
        <v>1</v>
      </c>
      <c r="X62">
        <v>21</v>
      </c>
      <c r="Y62">
        <f t="shared" si="29"/>
        <v>40</v>
      </c>
      <c r="Z62">
        <f t="shared" si="30"/>
        <v>20</v>
      </c>
      <c r="AA62">
        <f t="shared" si="31"/>
        <v>1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32"/>
        <v>0</v>
      </c>
      <c r="AG62" s="126">
        <f t="shared" si="33"/>
        <v>1</v>
      </c>
      <c r="AH62">
        <f t="shared" si="34"/>
        <v>1</v>
      </c>
      <c r="AI62" s="127">
        <f t="shared" si="35"/>
        <v>1</v>
      </c>
    </row>
    <row r="63" spans="4:35" ht="15" thickBot="1" x14ac:dyDescent="0.35">
      <c r="E63" s="59" t="s">
        <v>42</v>
      </c>
      <c r="F63" s="60"/>
      <c r="G63" s="61">
        <f>SUM(G59:G62)</f>
        <v>0</v>
      </c>
      <c r="H63" s="61">
        <f t="shared" ref="H63:O63" si="46">SUM(H59:H62)</f>
        <v>50</v>
      </c>
      <c r="I63" s="61">
        <f t="shared" si="46"/>
        <v>0</v>
      </c>
      <c r="J63" s="61">
        <f t="shared" si="46"/>
        <v>80</v>
      </c>
      <c r="K63" s="61">
        <f t="shared" si="46"/>
        <v>70</v>
      </c>
      <c r="L63" s="61">
        <f t="shared" si="46"/>
        <v>40</v>
      </c>
      <c r="M63" s="61">
        <f t="shared" si="46"/>
        <v>65</v>
      </c>
      <c r="N63" s="61">
        <f t="shared" si="46"/>
        <v>60</v>
      </c>
      <c r="O63" s="61">
        <f t="shared" si="46"/>
        <v>50</v>
      </c>
      <c r="P63" s="62">
        <f>SUM(P59:P62)</f>
        <v>10</v>
      </c>
      <c r="W63">
        <f t="shared" si="28"/>
        <v>2</v>
      </c>
      <c r="X63">
        <v>22</v>
      </c>
      <c r="Y63">
        <f t="shared" si="29"/>
        <v>40</v>
      </c>
      <c r="Z63">
        <f t="shared" si="30"/>
        <v>20</v>
      </c>
      <c r="AA63">
        <f t="shared" si="31"/>
        <v>2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32"/>
        <v>0</v>
      </c>
      <c r="AG63" s="126">
        <f t="shared" si="33"/>
        <v>1</v>
      </c>
      <c r="AH63">
        <f t="shared" si="34"/>
        <v>1</v>
      </c>
      <c r="AI63" s="127">
        <f t="shared" si="35"/>
        <v>1</v>
      </c>
    </row>
    <row r="64" spans="4:35" x14ac:dyDescent="0.3">
      <c r="E64" s="63" t="s">
        <v>14</v>
      </c>
      <c r="F64" s="64"/>
      <c r="G64" s="65">
        <f>'DC2'!C17</f>
        <v>20</v>
      </c>
      <c r="H64" s="65">
        <f>'DC2'!D17</f>
        <v>0</v>
      </c>
      <c r="I64" s="290"/>
      <c r="J64" s="290"/>
      <c r="K64" s="290"/>
      <c r="L64" s="290"/>
      <c r="M64" s="290"/>
      <c r="N64" s="290"/>
      <c r="O64" s="290"/>
      <c r="P64" s="291"/>
      <c r="W64">
        <f t="shared" si="28"/>
        <v>3</v>
      </c>
      <c r="X64">
        <v>23</v>
      </c>
      <c r="Y64">
        <f t="shared" si="29"/>
        <v>40</v>
      </c>
      <c r="Z64">
        <f t="shared" si="30"/>
        <v>20</v>
      </c>
      <c r="AA64">
        <f t="shared" si="31"/>
        <v>3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32"/>
        <v>0</v>
      </c>
      <c r="AG64" s="126">
        <f t="shared" si="33"/>
        <v>1</v>
      </c>
      <c r="AH64">
        <f t="shared" si="34"/>
        <v>1</v>
      </c>
      <c r="AI64" s="127">
        <f t="shared" si="35"/>
        <v>1</v>
      </c>
    </row>
    <row r="65" spans="4:35" x14ac:dyDescent="0.3">
      <c r="E65" s="66" t="s">
        <v>44</v>
      </c>
      <c r="F65" s="67">
        <f>'DC2'!C11</f>
        <v>30</v>
      </c>
      <c r="G65" s="68">
        <f>F65+G64+G67-G63</f>
        <v>50</v>
      </c>
      <c r="H65" s="68">
        <f t="shared" ref="H65:P65" si="47">G65+H64+H67-H63</f>
        <v>20</v>
      </c>
      <c r="I65" s="68">
        <f t="shared" si="47"/>
        <v>20</v>
      </c>
      <c r="J65" s="68">
        <f t="shared" si="47"/>
        <v>20</v>
      </c>
      <c r="K65" s="68">
        <f t="shared" si="47"/>
        <v>30</v>
      </c>
      <c r="L65" s="68">
        <f t="shared" si="47"/>
        <v>30</v>
      </c>
      <c r="M65" s="68">
        <f t="shared" si="47"/>
        <v>25</v>
      </c>
      <c r="N65" s="68">
        <f t="shared" si="47"/>
        <v>25</v>
      </c>
      <c r="O65" s="68">
        <f t="shared" si="47"/>
        <v>35</v>
      </c>
      <c r="P65" s="69">
        <f t="shared" si="47"/>
        <v>25</v>
      </c>
      <c r="R65" s="70" t="s">
        <v>45</v>
      </c>
      <c r="W65">
        <f t="shared" si="28"/>
        <v>4</v>
      </c>
      <c r="X65">
        <v>24</v>
      </c>
      <c r="Y65">
        <f t="shared" si="29"/>
        <v>40</v>
      </c>
      <c r="Z65">
        <f t="shared" si="30"/>
        <v>20</v>
      </c>
      <c r="AA65">
        <f t="shared" si="31"/>
        <v>4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32"/>
        <v>0</v>
      </c>
      <c r="AG65" s="126">
        <f t="shared" si="33"/>
        <v>1</v>
      </c>
      <c r="AH65">
        <f t="shared" si="34"/>
        <v>1</v>
      </c>
      <c r="AI65" s="127">
        <f t="shared" si="35"/>
        <v>1</v>
      </c>
    </row>
    <row r="66" spans="4:35" x14ac:dyDescent="0.3">
      <c r="D66" s="48" t="s">
        <v>46</v>
      </c>
      <c r="E66" s="66" t="s">
        <v>47</v>
      </c>
      <c r="F66" s="71"/>
      <c r="G66" s="68">
        <f>IF(F65-G63+G64&lt;=$F$57, G63-G64-F65+$F$57,0)</f>
        <v>0</v>
      </c>
      <c r="H66" s="68">
        <f t="shared" ref="H66:P66" si="48">IF(G65-H63+H64&lt;=$F$57, H63-H64-G65+$F$57,0)</f>
        <v>20</v>
      </c>
      <c r="I66" s="68">
        <f t="shared" si="48"/>
        <v>0</v>
      </c>
      <c r="J66" s="68">
        <f t="shared" si="48"/>
        <v>80</v>
      </c>
      <c r="K66" s="68">
        <f t="shared" si="48"/>
        <v>70</v>
      </c>
      <c r="L66" s="68">
        <f t="shared" si="48"/>
        <v>30</v>
      </c>
      <c r="M66" s="68">
        <f t="shared" si="48"/>
        <v>55</v>
      </c>
      <c r="N66" s="68">
        <f t="shared" si="48"/>
        <v>55</v>
      </c>
      <c r="O66" s="68">
        <f t="shared" si="48"/>
        <v>45</v>
      </c>
      <c r="P66" s="69">
        <f t="shared" si="48"/>
        <v>0</v>
      </c>
      <c r="R66" s="70" t="s">
        <v>48</v>
      </c>
      <c r="W66">
        <f t="shared" si="28"/>
        <v>5</v>
      </c>
      <c r="X66">
        <v>25</v>
      </c>
      <c r="Y66">
        <f t="shared" si="29"/>
        <v>40</v>
      </c>
      <c r="Z66">
        <f t="shared" si="30"/>
        <v>20</v>
      </c>
      <c r="AA66">
        <f t="shared" si="31"/>
        <v>5</v>
      </c>
      <c r="AB66" s="118">
        <v>1</v>
      </c>
      <c r="AC66" s="118">
        <v>1</v>
      </c>
      <c r="AD66" s="124">
        <v>1</v>
      </c>
      <c r="AE66" s="125">
        <v>1</v>
      </c>
      <c r="AF66">
        <f t="shared" si="32"/>
        <v>0</v>
      </c>
      <c r="AG66" s="126">
        <f t="shared" si="33"/>
        <v>1</v>
      </c>
      <c r="AH66">
        <f t="shared" si="34"/>
        <v>1</v>
      </c>
      <c r="AI66" s="127">
        <f t="shared" si="35"/>
        <v>1</v>
      </c>
    </row>
    <row r="67" spans="4:35" x14ac:dyDescent="0.3">
      <c r="E67" s="72" t="s">
        <v>49</v>
      </c>
      <c r="F67" s="71"/>
      <c r="G67" s="68">
        <f t="shared" ref="G67:P67" si="49" xml:space="preserve"> CEILING(G66/$F$56,1)*$F$56</f>
        <v>0</v>
      </c>
      <c r="H67" s="68">
        <f t="shared" si="49"/>
        <v>20</v>
      </c>
      <c r="I67" s="68">
        <f t="shared" si="49"/>
        <v>0</v>
      </c>
      <c r="J67" s="68">
        <f t="shared" si="49"/>
        <v>80</v>
      </c>
      <c r="K67" s="68">
        <f t="shared" si="49"/>
        <v>80</v>
      </c>
      <c r="L67" s="68">
        <f t="shared" si="49"/>
        <v>40</v>
      </c>
      <c r="M67" s="68">
        <f t="shared" si="49"/>
        <v>60</v>
      </c>
      <c r="N67" s="68">
        <f t="shared" si="49"/>
        <v>60</v>
      </c>
      <c r="O67" s="68">
        <f t="shared" si="49"/>
        <v>60</v>
      </c>
      <c r="P67" s="69">
        <f t="shared" si="49"/>
        <v>0</v>
      </c>
      <c r="W67">
        <f t="shared" si="28"/>
        <v>6</v>
      </c>
      <c r="X67">
        <v>26</v>
      </c>
      <c r="Y67">
        <f t="shared" si="29"/>
        <v>40</v>
      </c>
      <c r="Z67">
        <f t="shared" si="30"/>
        <v>20</v>
      </c>
      <c r="AA67">
        <f t="shared" si="31"/>
        <v>6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32"/>
        <v>0</v>
      </c>
      <c r="AG67" s="126">
        <f t="shared" si="33"/>
        <v>1</v>
      </c>
      <c r="AH67">
        <f t="shared" si="34"/>
        <v>1</v>
      </c>
      <c r="AI67" s="127">
        <f t="shared" si="35"/>
        <v>1</v>
      </c>
    </row>
    <row r="68" spans="4:35" ht="15" thickBot="1" x14ac:dyDescent="0.35">
      <c r="E68" s="73" t="s">
        <v>50</v>
      </c>
      <c r="F68" s="74"/>
      <c r="G68" s="75">
        <f>IF($Q$71 = "Choosing Supplier 1", H67, H67)</f>
        <v>20</v>
      </c>
      <c r="H68" s="75">
        <f t="shared" ref="H68:P68" si="50">IF($Q$71 = "Choosing Supplier 1", I67, I67)</f>
        <v>0</v>
      </c>
      <c r="I68" s="75">
        <f t="shared" si="50"/>
        <v>80</v>
      </c>
      <c r="J68" s="75">
        <f t="shared" si="50"/>
        <v>80</v>
      </c>
      <c r="K68" s="75">
        <f t="shared" si="50"/>
        <v>40</v>
      </c>
      <c r="L68" s="75">
        <f t="shared" si="50"/>
        <v>60</v>
      </c>
      <c r="M68" s="75">
        <f t="shared" si="50"/>
        <v>60</v>
      </c>
      <c r="N68" s="75">
        <f t="shared" si="50"/>
        <v>60</v>
      </c>
      <c r="O68" s="75">
        <f t="shared" si="50"/>
        <v>0</v>
      </c>
      <c r="P68" s="76">
        <f t="shared" si="50"/>
        <v>0</v>
      </c>
      <c r="X68">
        <v>27</v>
      </c>
      <c r="Y68">
        <f t="shared" si="29"/>
        <v>40</v>
      </c>
      <c r="Z68">
        <f t="shared" si="30"/>
        <v>20</v>
      </c>
      <c r="AA68">
        <f t="shared" si="31"/>
        <v>7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32"/>
        <v>0</v>
      </c>
      <c r="AG68" s="126">
        <f t="shared" si="33"/>
        <v>1</v>
      </c>
      <c r="AH68">
        <f t="shared" si="34"/>
        <v>1</v>
      </c>
      <c r="AI68" s="127">
        <f t="shared" si="35"/>
        <v>1</v>
      </c>
    </row>
    <row r="69" spans="4:35" x14ac:dyDescent="0.3">
      <c r="E69" s="77" t="s">
        <v>51</v>
      </c>
      <c r="F69" s="78"/>
      <c r="G69" s="79">
        <f>QUOTIENT(MOD(G68+$F$51-1,$F$50),$F$51)</f>
        <v>0</v>
      </c>
      <c r="H69" s="79">
        <f t="shared" ref="H69:P69" si="51">QUOTIENT(MOD(H68+$F$51-1,$F$50),$F$51)</f>
        <v>0</v>
      </c>
      <c r="I69" s="79">
        <f t="shared" si="51"/>
        <v>0</v>
      </c>
      <c r="J69" s="79">
        <f t="shared" si="51"/>
        <v>0</v>
      </c>
      <c r="K69" s="79">
        <f t="shared" si="51"/>
        <v>0</v>
      </c>
      <c r="L69" s="79">
        <f t="shared" si="51"/>
        <v>0</v>
      </c>
      <c r="M69" s="79">
        <f t="shared" si="51"/>
        <v>0</v>
      </c>
      <c r="N69" s="79">
        <f t="shared" si="51"/>
        <v>0</v>
      </c>
      <c r="O69" s="79">
        <f t="shared" si="51"/>
        <v>0</v>
      </c>
      <c r="P69" s="80">
        <f t="shared" si="51"/>
        <v>0</v>
      </c>
      <c r="X69">
        <v>28</v>
      </c>
      <c r="Y69">
        <f t="shared" si="29"/>
        <v>40</v>
      </c>
      <c r="Z69">
        <f t="shared" si="30"/>
        <v>20</v>
      </c>
      <c r="AA69">
        <f t="shared" si="31"/>
        <v>8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32"/>
        <v>0</v>
      </c>
      <c r="AG69" s="126">
        <f t="shared" si="33"/>
        <v>1</v>
      </c>
      <c r="AH69">
        <f t="shared" si="34"/>
        <v>1</v>
      </c>
      <c r="AI69" s="127">
        <f t="shared" si="35"/>
        <v>1</v>
      </c>
    </row>
    <row r="70" spans="4:35" x14ac:dyDescent="0.3">
      <c r="D70" s="48"/>
      <c r="E70" s="81" t="s">
        <v>52</v>
      </c>
      <c r="F70" s="153"/>
      <c r="G70" s="83">
        <f>QUOTIENT(G68+$F$51-1,$F$50)</f>
        <v>1</v>
      </c>
      <c r="H70" s="83">
        <f t="shared" ref="H70:P70" si="52">QUOTIENT(H68+$F$51-1,$F$50)</f>
        <v>0</v>
      </c>
      <c r="I70" s="83">
        <f t="shared" si="52"/>
        <v>4</v>
      </c>
      <c r="J70" s="83">
        <f t="shared" si="52"/>
        <v>4</v>
      </c>
      <c r="K70" s="83">
        <f t="shared" si="52"/>
        <v>2</v>
      </c>
      <c r="L70" s="83">
        <f t="shared" si="52"/>
        <v>3</v>
      </c>
      <c r="M70" s="83">
        <f t="shared" si="52"/>
        <v>3</v>
      </c>
      <c r="N70" s="83">
        <f t="shared" si="52"/>
        <v>3</v>
      </c>
      <c r="O70" s="83">
        <f t="shared" si="52"/>
        <v>0</v>
      </c>
      <c r="P70" s="84">
        <f t="shared" si="52"/>
        <v>0</v>
      </c>
      <c r="X70">
        <v>29</v>
      </c>
      <c r="Y70">
        <f t="shared" si="29"/>
        <v>40</v>
      </c>
      <c r="Z70">
        <f t="shared" si="30"/>
        <v>20</v>
      </c>
      <c r="AA70">
        <f t="shared" si="31"/>
        <v>9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32"/>
        <v>0</v>
      </c>
      <c r="AG70" s="126">
        <f t="shared" si="33"/>
        <v>1</v>
      </c>
      <c r="AH70">
        <f t="shared" si="34"/>
        <v>1</v>
      </c>
      <c r="AI70" s="127">
        <f t="shared" si="35"/>
        <v>1</v>
      </c>
    </row>
    <row r="71" spans="4:35" ht="15" thickBot="1" x14ac:dyDescent="0.35">
      <c r="E71" s="85" t="s">
        <v>53</v>
      </c>
      <c r="F71" s="86"/>
      <c r="G71" s="87">
        <f>IF($Q$71="Choosing Supplier 1", G70*$G$50+G69*$G$51,G70*$G$52+G69*$G$53)</f>
        <v>500</v>
      </c>
      <c r="H71" s="87">
        <f t="shared" ref="H71:P71" si="53">IF($Q$71="Choosing Supplier 1", H70*$G$50+H69*$G$51,H70*$G$52+H69*$G$53)</f>
        <v>0</v>
      </c>
      <c r="I71" s="87">
        <f t="shared" si="53"/>
        <v>2000</v>
      </c>
      <c r="J71" s="87">
        <f t="shared" si="53"/>
        <v>2000</v>
      </c>
      <c r="K71" s="87">
        <f t="shared" si="53"/>
        <v>1000</v>
      </c>
      <c r="L71" s="87">
        <f t="shared" si="53"/>
        <v>1500</v>
      </c>
      <c r="M71" s="87">
        <f t="shared" si="53"/>
        <v>1500</v>
      </c>
      <c r="N71" s="87">
        <f t="shared" si="53"/>
        <v>1500</v>
      </c>
      <c r="O71" s="87">
        <f t="shared" si="53"/>
        <v>0</v>
      </c>
      <c r="P71" s="88">
        <f t="shared" si="53"/>
        <v>0</v>
      </c>
      <c r="Q71" s="289" t="str">
        <f>IF($G$50&lt;$G$52,IF($F$147="Yes","Choosing Supplier 1","Choosing Supplier 2"),IF($F$168="Yes","Choosing Supplier 2","Choosing Supplier 1"))</f>
        <v>Choosing Supplier 1</v>
      </c>
      <c r="R71" t="s">
        <v>143</v>
      </c>
      <c r="X71">
        <v>30</v>
      </c>
      <c r="Y71">
        <f t="shared" si="29"/>
        <v>40</v>
      </c>
      <c r="Z71">
        <f t="shared" si="30"/>
        <v>20</v>
      </c>
      <c r="AA71">
        <f t="shared" si="31"/>
        <v>10</v>
      </c>
      <c r="AB71" s="118">
        <v>2</v>
      </c>
      <c r="AC71" s="118">
        <v>1</v>
      </c>
      <c r="AD71" s="124">
        <v>1</v>
      </c>
      <c r="AE71" s="125">
        <v>1</v>
      </c>
      <c r="AF71">
        <f t="shared" si="32"/>
        <v>1</v>
      </c>
      <c r="AG71" s="126">
        <f t="shared" si="33"/>
        <v>1</v>
      </c>
      <c r="AH71">
        <f t="shared" si="34"/>
        <v>1</v>
      </c>
      <c r="AI71" s="127">
        <f t="shared" si="35"/>
        <v>1</v>
      </c>
    </row>
    <row r="72" spans="4:35" x14ac:dyDescent="0.3">
      <c r="E72" s="154" t="s">
        <v>17</v>
      </c>
      <c r="F72" s="90"/>
      <c r="G72" s="91">
        <f>'DC2'!C18</f>
        <v>210</v>
      </c>
      <c r="H72" s="91">
        <f>'DC2'!D18</f>
        <v>211</v>
      </c>
      <c r="I72" s="91">
        <f>'DC2'!E18</f>
        <v>213</v>
      </c>
      <c r="J72" s="91">
        <f>'DC2'!F18</f>
        <v>215</v>
      </c>
      <c r="K72" s="91">
        <f>'DC2'!G18</f>
        <v>215</v>
      </c>
      <c r="L72" s="91">
        <f>'DC2'!H18</f>
        <v>216</v>
      </c>
      <c r="M72" s="91">
        <f>'DC2'!I18</f>
        <v>214</v>
      </c>
      <c r="N72" s="91">
        <f>'DC2'!J18</f>
        <v>212</v>
      </c>
      <c r="O72" s="91">
        <f>'DC2'!K18</f>
        <v>210</v>
      </c>
      <c r="P72" s="92">
        <f>'DC2'!L18</f>
        <v>209</v>
      </c>
      <c r="X72">
        <v>31</v>
      </c>
      <c r="Y72">
        <f t="shared" si="29"/>
        <v>40</v>
      </c>
      <c r="Z72">
        <f t="shared" si="30"/>
        <v>20</v>
      </c>
      <c r="AA72">
        <f t="shared" si="31"/>
        <v>11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32"/>
        <v>1</v>
      </c>
      <c r="AG72" s="126">
        <f t="shared" si="33"/>
        <v>0</v>
      </c>
      <c r="AH72">
        <f t="shared" si="34"/>
        <v>1</v>
      </c>
      <c r="AI72" s="127">
        <f t="shared" si="35"/>
        <v>2</v>
      </c>
    </row>
    <row r="73" spans="4:35" x14ac:dyDescent="0.3">
      <c r="D73" s="48" t="s">
        <v>54</v>
      </c>
      <c r="E73" s="155" t="s">
        <v>55</v>
      </c>
      <c r="F73" s="94"/>
      <c r="G73" s="95">
        <f t="shared" ref="G73:P73" si="54">G72*G68</f>
        <v>4200</v>
      </c>
      <c r="H73" s="95">
        <f t="shared" si="54"/>
        <v>0</v>
      </c>
      <c r="I73" s="95">
        <f t="shared" si="54"/>
        <v>17040</v>
      </c>
      <c r="J73" s="95">
        <f t="shared" si="54"/>
        <v>17200</v>
      </c>
      <c r="K73" s="95">
        <f t="shared" si="54"/>
        <v>8600</v>
      </c>
      <c r="L73" s="95">
        <f t="shared" si="54"/>
        <v>12960</v>
      </c>
      <c r="M73" s="95">
        <f t="shared" si="54"/>
        <v>12840</v>
      </c>
      <c r="N73" s="95">
        <f t="shared" si="54"/>
        <v>12720</v>
      </c>
      <c r="O73" s="95">
        <f t="shared" si="54"/>
        <v>0</v>
      </c>
      <c r="P73" s="134">
        <f t="shared" si="54"/>
        <v>0</v>
      </c>
      <c r="Q73" s="48" t="s">
        <v>56</v>
      </c>
      <c r="X73">
        <v>32</v>
      </c>
      <c r="Y73">
        <f t="shared" si="29"/>
        <v>40</v>
      </c>
      <c r="Z73">
        <f t="shared" si="30"/>
        <v>20</v>
      </c>
      <c r="AA73">
        <f t="shared" si="31"/>
        <v>12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32"/>
        <v>1</v>
      </c>
      <c r="AG73" s="126">
        <f t="shared" si="33"/>
        <v>0</v>
      </c>
      <c r="AH73">
        <f t="shared" si="34"/>
        <v>1</v>
      </c>
      <c r="AI73" s="127">
        <f t="shared" si="35"/>
        <v>2</v>
      </c>
    </row>
    <row r="74" spans="4:35" ht="15" thickBot="1" x14ac:dyDescent="0.35">
      <c r="E74" s="156" t="s">
        <v>57</v>
      </c>
      <c r="F74" s="99"/>
      <c r="G74" s="100">
        <f t="shared" ref="G74:P74" si="55">G71+G73</f>
        <v>4700</v>
      </c>
      <c r="H74" s="100">
        <f t="shared" si="55"/>
        <v>0</v>
      </c>
      <c r="I74" s="100">
        <f t="shared" si="55"/>
        <v>19040</v>
      </c>
      <c r="J74" s="100">
        <f t="shared" si="55"/>
        <v>19200</v>
      </c>
      <c r="K74" s="100">
        <f t="shared" si="55"/>
        <v>9600</v>
      </c>
      <c r="L74" s="100">
        <f t="shared" si="55"/>
        <v>14460</v>
      </c>
      <c r="M74" s="100">
        <f t="shared" si="55"/>
        <v>14340</v>
      </c>
      <c r="N74" s="100">
        <f t="shared" si="55"/>
        <v>14220</v>
      </c>
      <c r="O74" s="100">
        <f t="shared" si="55"/>
        <v>0</v>
      </c>
      <c r="P74" s="101">
        <f t="shared" si="55"/>
        <v>0</v>
      </c>
      <c r="Q74" s="48" t="s">
        <v>58</v>
      </c>
      <c r="X74">
        <v>33</v>
      </c>
      <c r="Y74">
        <f t="shared" si="29"/>
        <v>40</v>
      </c>
      <c r="Z74">
        <f t="shared" si="30"/>
        <v>20</v>
      </c>
      <c r="AA74">
        <f t="shared" si="31"/>
        <v>13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32"/>
        <v>1</v>
      </c>
      <c r="AG74" s="126">
        <f t="shared" si="33"/>
        <v>0</v>
      </c>
      <c r="AH74">
        <f t="shared" si="34"/>
        <v>1</v>
      </c>
      <c r="AI74" s="127">
        <f t="shared" si="35"/>
        <v>2</v>
      </c>
    </row>
    <row r="75" spans="4:35" x14ac:dyDescent="0.3">
      <c r="E75" s="89" t="s">
        <v>18</v>
      </c>
      <c r="F75" s="102"/>
      <c r="G75" s="91">
        <f>'DC2'!C19</f>
        <v>411</v>
      </c>
      <c r="H75" s="91">
        <f>'DC2'!D19</f>
        <v>414</v>
      </c>
      <c r="I75" s="91">
        <f>'DC2'!E19</f>
        <v>412</v>
      </c>
      <c r="J75" s="91">
        <f>'DC2'!F19</f>
        <v>413</v>
      </c>
      <c r="K75" s="91">
        <f>'DC2'!G19</f>
        <v>418</v>
      </c>
      <c r="L75" s="91">
        <f>'DC2'!H19</f>
        <v>428</v>
      </c>
      <c r="M75" s="91">
        <f>'DC2'!I19</f>
        <v>426</v>
      </c>
      <c r="N75" s="91">
        <f>'DC2'!J19</f>
        <v>419</v>
      </c>
      <c r="O75" s="91">
        <f>'DC2'!K19</f>
        <v>415</v>
      </c>
      <c r="P75" s="92">
        <f>'DC2'!L19</f>
        <v>421</v>
      </c>
      <c r="X75">
        <v>34</v>
      </c>
      <c r="Y75">
        <f t="shared" si="29"/>
        <v>40</v>
      </c>
      <c r="Z75">
        <f t="shared" si="30"/>
        <v>20</v>
      </c>
      <c r="AA75">
        <f t="shared" si="31"/>
        <v>14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32"/>
        <v>1</v>
      </c>
      <c r="AG75" s="126">
        <f t="shared" si="33"/>
        <v>0</v>
      </c>
      <c r="AH75">
        <f t="shared" si="34"/>
        <v>1</v>
      </c>
      <c r="AI75" s="127">
        <f t="shared" si="35"/>
        <v>2</v>
      </c>
    </row>
    <row r="76" spans="4:35" x14ac:dyDescent="0.3">
      <c r="E76" s="93" t="s">
        <v>59</v>
      </c>
      <c r="F76" s="103"/>
      <c r="G76" s="104">
        <f>G75*G68</f>
        <v>8220</v>
      </c>
      <c r="H76" s="104">
        <f t="shared" ref="H76:P76" si="56">H75*H68</f>
        <v>0</v>
      </c>
      <c r="I76" s="104">
        <f t="shared" si="56"/>
        <v>32960</v>
      </c>
      <c r="J76" s="104">
        <f t="shared" si="56"/>
        <v>33040</v>
      </c>
      <c r="K76" s="104">
        <f t="shared" si="56"/>
        <v>16720</v>
      </c>
      <c r="L76" s="104">
        <f t="shared" si="56"/>
        <v>25680</v>
      </c>
      <c r="M76" s="104">
        <f t="shared" si="56"/>
        <v>25560</v>
      </c>
      <c r="N76" s="104">
        <f t="shared" si="56"/>
        <v>25140</v>
      </c>
      <c r="O76" s="104">
        <f t="shared" si="56"/>
        <v>0</v>
      </c>
      <c r="P76" s="105">
        <f t="shared" si="56"/>
        <v>0</v>
      </c>
      <c r="Q76" s="48" t="s">
        <v>60</v>
      </c>
      <c r="X76">
        <v>35</v>
      </c>
      <c r="Y76">
        <f t="shared" si="29"/>
        <v>40</v>
      </c>
      <c r="Z76">
        <f t="shared" si="30"/>
        <v>20</v>
      </c>
      <c r="AA76">
        <f t="shared" si="31"/>
        <v>15</v>
      </c>
      <c r="AB76" s="118">
        <v>3</v>
      </c>
      <c r="AC76" s="118">
        <v>1</v>
      </c>
      <c r="AD76" s="124">
        <v>0</v>
      </c>
      <c r="AE76" s="125">
        <v>2</v>
      </c>
      <c r="AF76">
        <f t="shared" si="32"/>
        <v>1</v>
      </c>
      <c r="AG76" s="126">
        <f t="shared" si="33"/>
        <v>0</v>
      </c>
      <c r="AH76">
        <f t="shared" si="34"/>
        <v>1</v>
      </c>
      <c r="AI76" s="127">
        <f t="shared" si="35"/>
        <v>2</v>
      </c>
    </row>
    <row r="77" spans="4:35" ht="13.8" customHeight="1" thickBot="1" x14ac:dyDescent="0.35">
      <c r="E77" s="106" t="s">
        <v>61</v>
      </c>
      <c r="F77" s="107"/>
      <c r="G77" s="108">
        <f>G76-G74</f>
        <v>3520</v>
      </c>
      <c r="H77" s="108">
        <f t="shared" ref="H77:P77" si="57">H76-H74</f>
        <v>0</v>
      </c>
      <c r="I77" s="108">
        <f t="shared" si="57"/>
        <v>13920</v>
      </c>
      <c r="J77" s="108">
        <f t="shared" si="57"/>
        <v>13840</v>
      </c>
      <c r="K77" s="108">
        <f t="shared" si="57"/>
        <v>7120</v>
      </c>
      <c r="L77" s="108">
        <f t="shared" si="57"/>
        <v>11220</v>
      </c>
      <c r="M77" s="108">
        <f t="shared" si="57"/>
        <v>11220</v>
      </c>
      <c r="N77" s="108">
        <f t="shared" si="57"/>
        <v>10920</v>
      </c>
      <c r="O77" s="108">
        <f t="shared" si="57"/>
        <v>0</v>
      </c>
      <c r="P77" s="109">
        <f t="shared" si="57"/>
        <v>0</v>
      </c>
      <c r="Q77" s="48" t="s">
        <v>62</v>
      </c>
      <c r="X77">
        <v>36</v>
      </c>
      <c r="Y77">
        <f t="shared" si="29"/>
        <v>40</v>
      </c>
      <c r="Z77">
        <f t="shared" si="30"/>
        <v>20</v>
      </c>
      <c r="AA77">
        <f t="shared" si="31"/>
        <v>16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32"/>
        <v>1</v>
      </c>
      <c r="AG77" s="126">
        <f t="shared" si="33"/>
        <v>0</v>
      </c>
      <c r="AH77">
        <f t="shared" si="34"/>
        <v>1</v>
      </c>
      <c r="AI77" s="127">
        <f t="shared" si="35"/>
        <v>2</v>
      </c>
    </row>
    <row r="78" spans="4:35" ht="13.8" customHeight="1" thickBot="1" x14ac:dyDescent="0.35">
      <c r="E78" s="157" t="s">
        <v>63</v>
      </c>
      <c r="F78" s="215"/>
      <c r="G78" s="216">
        <f t="shared" ref="G78:H78" si="58">IF($Q$71 = "Choosing Supplier 1", SUM(H59:H60), SUM(H59:H60))</f>
        <v>10</v>
      </c>
      <c r="H78" s="216">
        <f t="shared" si="58"/>
        <v>0</v>
      </c>
      <c r="I78" s="216">
        <f>IF($Q$71 = "Choosing Supplier 1", SUM(J59:J60), SUM(J59:J60))</f>
        <v>20</v>
      </c>
      <c r="J78" s="216">
        <f t="shared" ref="J78:P78" si="59">IF($Q$71 = "Choosing Supplier 1", SUM(K59:K60), SUM(K59:K60))</f>
        <v>20</v>
      </c>
      <c r="K78" s="216">
        <f t="shared" si="59"/>
        <v>30</v>
      </c>
      <c r="L78" s="216">
        <f t="shared" si="59"/>
        <v>25</v>
      </c>
      <c r="M78" s="216">
        <f t="shared" si="59"/>
        <v>60</v>
      </c>
      <c r="N78" s="216">
        <f t="shared" si="59"/>
        <v>0</v>
      </c>
      <c r="O78" s="216">
        <f t="shared" si="59"/>
        <v>10</v>
      </c>
      <c r="P78" s="217">
        <f t="shared" si="59"/>
        <v>0</v>
      </c>
      <c r="Q78" s="48" t="s">
        <v>142</v>
      </c>
      <c r="X78">
        <v>37</v>
      </c>
      <c r="Y78">
        <f t="shared" si="29"/>
        <v>40</v>
      </c>
      <c r="Z78">
        <f t="shared" si="30"/>
        <v>20</v>
      </c>
      <c r="AA78">
        <f t="shared" si="31"/>
        <v>17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32"/>
        <v>1</v>
      </c>
      <c r="AG78" s="126">
        <f t="shared" si="33"/>
        <v>0</v>
      </c>
      <c r="AH78">
        <f t="shared" si="34"/>
        <v>1</v>
      </c>
      <c r="AI78" s="127">
        <f t="shared" si="35"/>
        <v>2</v>
      </c>
    </row>
    <row r="79" spans="4:35" ht="13.8" customHeight="1" x14ac:dyDescent="0.3">
      <c r="E79" s="296" t="s">
        <v>156</v>
      </c>
      <c r="F79" s="110"/>
      <c r="G79" s="79">
        <f>IF($Q$71= "Choosing Supplier 1", MIN(G$158,G$78), MIN(G$78,G$179))</f>
        <v>0</v>
      </c>
      <c r="H79" s="79">
        <f>IF($Q$71= "Choosing Supplier 1", MIN(H$158,H$78), MIN(H$78,H$179))</f>
        <v>0</v>
      </c>
      <c r="I79" s="79">
        <f t="shared" ref="I79:P79" si="60">IF($Q$71= "Choosing Supplier 1", MIN(I$158,I$78), MIN(I$78,I$179))</f>
        <v>0</v>
      </c>
      <c r="J79" s="79">
        <f t="shared" si="60"/>
        <v>0</v>
      </c>
      <c r="K79" s="79">
        <f t="shared" si="60"/>
        <v>0</v>
      </c>
      <c r="L79" s="79">
        <f t="shared" si="60"/>
        <v>0</v>
      </c>
      <c r="M79" s="79">
        <f t="shared" si="60"/>
        <v>20</v>
      </c>
      <c r="N79" s="79">
        <f t="shared" si="60"/>
        <v>0</v>
      </c>
      <c r="O79" s="79">
        <f t="shared" si="60"/>
        <v>0</v>
      </c>
      <c r="P79" s="80">
        <f t="shared" si="60"/>
        <v>0</v>
      </c>
      <c r="Q79" s="48"/>
      <c r="X79">
        <v>38</v>
      </c>
      <c r="Y79">
        <f t="shared" si="29"/>
        <v>40</v>
      </c>
      <c r="Z79">
        <f t="shared" si="30"/>
        <v>20</v>
      </c>
      <c r="AA79">
        <f t="shared" si="31"/>
        <v>18</v>
      </c>
      <c r="AB79" s="118">
        <v>0</v>
      </c>
      <c r="AC79" s="118">
        <v>2</v>
      </c>
      <c r="AD79" s="124">
        <v>0</v>
      </c>
      <c r="AE79" s="125">
        <v>2</v>
      </c>
      <c r="AF79">
        <f t="shared" si="32"/>
        <v>1</v>
      </c>
      <c r="AG79" s="126">
        <f t="shared" si="33"/>
        <v>0</v>
      </c>
      <c r="AH79">
        <f t="shared" si="34"/>
        <v>1</v>
      </c>
      <c r="AI79" s="127">
        <f t="shared" si="35"/>
        <v>2</v>
      </c>
    </row>
    <row r="80" spans="4:35" ht="13.8" customHeight="1" thickBot="1" x14ac:dyDescent="0.35">
      <c r="E80" s="160" t="s">
        <v>160</v>
      </c>
      <c r="F80" s="262"/>
      <c r="G80" s="299">
        <f>MIN(MAX(CEILING(IF($Q$71 = "Choosing Supplier 1", G$158,G$179)/$F$56,1)*$F$56,0),G78)</f>
        <v>0</v>
      </c>
      <c r="H80" s="299">
        <f t="shared" ref="H80:P80" si="61">MIN(MAX(CEILING(IF($Q$71 = "Choosing Supplier 1", H$158,H$179)/$F$56,1)*$F$56,0),H78)</f>
        <v>0</v>
      </c>
      <c r="I80" s="299">
        <f t="shared" si="61"/>
        <v>0</v>
      </c>
      <c r="J80" s="299">
        <f t="shared" si="61"/>
        <v>0</v>
      </c>
      <c r="K80" s="299">
        <f t="shared" si="61"/>
        <v>0</v>
      </c>
      <c r="L80" s="299">
        <f t="shared" si="61"/>
        <v>0</v>
      </c>
      <c r="M80" s="299">
        <f t="shared" si="61"/>
        <v>20</v>
      </c>
      <c r="N80" s="299">
        <f t="shared" si="61"/>
        <v>0</v>
      </c>
      <c r="O80" s="299">
        <f t="shared" si="61"/>
        <v>0</v>
      </c>
      <c r="P80" s="300">
        <f t="shared" si="61"/>
        <v>0</v>
      </c>
      <c r="Q80" s="48"/>
      <c r="AB80" s="118"/>
      <c r="AC80" s="118"/>
      <c r="AD80" s="124"/>
      <c r="AE80" s="125"/>
      <c r="AG80" s="126"/>
      <c r="AI80" s="295"/>
    </row>
    <row r="81" spans="4:35" ht="13.8" customHeight="1" x14ac:dyDescent="0.3">
      <c r="E81" s="297" t="s">
        <v>125</v>
      </c>
      <c r="F81" s="262"/>
      <c r="G81" s="263">
        <f>MIN(MAX(CEILING(IF($Q$71 = "Choosing Supplier 1", G$158,G$179)/$F$56,1)*$F$56-IF($Q$71 = "Choosing Supplier 1",H67-H66, H67-H66),0),G78)</f>
        <v>0</v>
      </c>
      <c r="H81" s="263">
        <f t="shared" ref="H81:P81" si="62">MIN(MAX(CEILING(IF($Q$71 = "Choosing Supplier 1", H$158,H$179)/$F$56,1)*$F$56-IF($Q$71 = "Choosing Supplier 1",I67-I66, I67-I66),0),H78)</f>
        <v>0</v>
      </c>
      <c r="I81" s="263">
        <f t="shared" si="62"/>
        <v>0</v>
      </c>
      <c r="J81" s="263">
        <f t="shared" si="62"/>
        <v>0</v>
      </c>
      <c r="K81" s="263">
        <f t="shared" si="62"/>
        <v>0</v>
      </c>
      <c r="L81" s="263">
        <f t="shared" si="62"/>
        <v>0</v>
      </c>
      <c r="M81" s="263">
        <f t="shared" si="62"/>
        <v>15</v>
      </c>
      <c r="N81" s="263">
        <f t="shared" si="62"/>
        <v>0</v>
      </c>
      <c r="O81" s="263">
        <f t="shared" si="62"/>
        <v>0</v>
      </c>
      <c r="P81" s="264">
        <f t="shared" si="62"/>
        <v>0</v>
      </c>
      <c r="Q81" t="s">
        <v>153</v>
      </c>
      <c r="T81" t="s">
        <v>154</v>
      </c>
      <c r="U81" s="132" t="s">
        <v>155</v>
      </c>
      <c r="AD81" s="115"/>
      <c r="AE81" s="116"/>
      <c r="AG81" s="113"/>
      <c r="AI81" s="113"/>
    </row>
    <row r="82" spans="4:35" x14ac:dyDescent="0.3">
      <c r="E82" s="158" t="s">
        <v>67</v>
      </c>
      <c r="F82" s="159"/>
      <c r="G82" s="83">
        <f t="shared" ref="G82:J82" si="63">IF($Q$71="Choosing Supplier 1", QUOTIENT(MOD(G81+$F$51-1,$F$50),$F$51),QUOTIENT(MOD(G81+$F$53-1,$F$52),$F$53))</f>
        <v>0</v>
      </c>
      <c r="H82" s="83">
        <f t="shared" si="63"/>
        <v>0</v>
      </c>
      <c r="I82" s="83">
        <f t="shared" si="63"/>
        <v>0</v>
      </c>
      <c r="J82" s="83">
        <f t="shared" si="63"/>
        <v>0</v>
      </c>
      <c r="K82" s="83">
        <f>IF($Q$71="Choosing Supplier 1", QUOTIENT(MOD(K81+$F$51-1,$F$50),$F$51),QUOTIENT(MOD(K81+$F$53-1,$F$52),$F$53))</f>
        <v>0</v>
      </c>
      <c r="L82" s="83">
        <f t="shared" ref="L82:P82" si="64">IF($Q$71="Choosing Supplier 1", QUOTIENT(MOD(L81+$F$51-1,$F$50),$F$51),QUOTIENT(MOD(L81+$F$53-1,$F$52),$F$53))</f>
        <v>0</v>
      </c>
      <c r="M82" s="83">
        <f t="shared" si="64"/>
        <v>0</v>
      </c>
      <c r="N82" s="83">
        <f t="shared" si="64"/>
        <v>0</v>
      </c>
      <c r="O82" s="83">
        <f t="shared" si="64"/>
        <v>0</v>
      </c>
      <c r="P82" s="84">
        <f t="shared" si="64"/>
        <v>0</v>
      </c>
      <c r="Q82" s="132" t="s">
        <v>155</v>
      </c>
      <c r="R82" s="294" t="s">
        <v>157</v>
      </c>
      <c r="X82">
        <v>39</v>
      </c>
      <c r="Y82">
        <f t="shared" si="29"/>
        <v>40</v>
      </c>
      <c r="Z82">
        <f t="shared" si="30"/>
        <v>20</v>
      </c>
      <c r="AA82">
        <f t="shared" si="31"/>
        <v>19</v>
      </c>
      <c r="AB82" s="118">
        <v>0</v>
      </c>
      <c r="AC82" s="118">
        <v>2</v>
      </c>
      <c r="AD82" s="124">
        <v>0</v>
      </c>
      <c r="AE82" s="125">
        <v>2</v>
      </c>
      <c r="AF82">
        <f t="shared" si="32"/>
        <v>1</v>
      </c>
      <c r="AG82" s="126">
        <f t="shared" si="33"/>
        <v>0</v>
      </c>
      <c r="AH82">
        <f t="shared" si="34"/>
        <v>1</v>
      </c>
      <c r="AI82" s="127">
        <f t="shared" si="35"/>
        <v>2</v>
      </c>
    </row>
    <row r="83" spans="4:35" x14ac:dyDescent="0.3">
      <c r="E83" s="160" t="s">
        <v>72</v>
      </c>
      <c r="F83" s="82"/>
      <c r="G83" s="83">
        <f t="shared" ref="G83:J83" si="65">IF($Q$71="Choosing Supplier 1", QUOTIENT(G81+$F$51-1,$F$50),QUOTIENT(G81+$F$53-1,$F$52))</f>
        <v>0</v>
      </c>
      <c r="H83" s="83">
        <f t="shared" si="65"/>
        <v>0</v>
      </c>
      <c r="I83" s="83">
        <f t="shared" si="65"/>
        <v>0</v>
      </c>
      <c r="J83" s="83">
        <f t="shared" si="65"/>
        <v>0</v>
      </c>
      <c r="K83" s="83">
        <f>IF($Q$71="Choosing Supplier 1", QUOTIENT(K81+$F$51-1,$F$50),QUOTIENT(K81+$F$53-1,$F$52))</f>
        <v>0</v>
      </c>
      <c r="L83" s="83">
        <f t="shared" ref="L83:P83" si="66">IF($Q$71="Choosing Supplier 1", QUOTIENT(L81+$F$51-1,$F$50),QUOTIENT(L81+$F$53-1,$F$52))</f>
        <v>0</v>
      </c>
      <c r="M83" s="83">
        <f t="shared" si="66"/>
        <v>1</v>
      </c>
      <c r="N83" s="83">
        <f t="shared" si="66"/>
        <v>0</v>
      </c>
      <c r="O83" s="83">
        <f t="shared" si="66"/>
        <v>0</v>
      </c>
      <c r="P83" s="84">
        <f t="shared" si="66"/>
        <v>0</v>
      </c>
      <c r="Q83" s="132" t="s">
        <v>155</v>
      </c>
      <c r="X83">
        <v>40</v>
      </c>
      <c r="Y83">
        <f t="shared" si="29"/>
        <v>40</v>
      </c>
      <c r="Z83">
        <f t="shared" si="30"/>
        <v>40</v>
      </c>
      <c r="AA83">
        <f t="shared" si="31"/>
        <v>0</v>
      </c>
      <c r="AB83" s="118">
        <v>0</v>
      </c>
      <c r="AC83" s="118">
        <v>2</v>
      </c>
      <c r="AD83" s="124">
        <v>0</v>
      </c>
      <c r="AE83" s="125">
        <v>2</v>
      </c>
      <c r="AF83">
        <f t="shared" si="32"/>
        <v>0</v>
      </c>
      <c r="AG83" s="126">
        <f t="shared" si="33"/>
        <v>0</v>
      </c>
      <c r="AH83">
        <f t="shared" si="34"/>
        <v>2</v>
      </c>
      <c r="AI83" s="127">
        <f t="shared" si="35"/>
        <v>2</v>
      </c>
    </row>
    <row r="84" spans="4:35" ht="15" thickBot="1" x14ac:dyDescent="0.35">
      <c r="E84" s="298" t="s">
        <v>73</v>
      </c>
      <c r="F84" s="129"/>
      <c r="G84" s="130">
        <f t="shared" ref="G84:J84" si="67">IF($Q$71="Choosing Supplier 1", G83*$G$50+G82*$G$51, G83*$G$52+G82*$G$53)</f>
        <v>0</v>
      </c>
      <c r="H84" s="130">
        <f t="shared" si="67"/>
        <v>0</v>
      </c>
      <c r="I84" s="130">
        <f t="shared" si="67"/>
        <v>0</v>
      </c>
      <c r="J84" s="130">
        <f t="shared" si="67"/>
        <v>0</v>
      </c>
      <c r="K84" s="130">
        <f>IF($Q$71="Choosing Supplier 1", K83*$G$50+K82*$G$51, K83*$G$52+K82*$G$53)</f>
        <v>0</v>
      </c>
      <c r="L84" s="130">
        <f t="shared" ref="L84:P84" si="68">IF($Q$71="Choosing Supplier 1", L83*$G$50+L82*$G$51, L83*$G$52+L82*$G$53)</f>
        <v>0</v>
      </c>
      <c r="M84" s="130">
        <f t="shared" si="68"/>
        <v>500</v>
      </c>
      <c r="N84" s="130">
        <f t="shared" si="68"/>
        <v>0</v>
      </c>
      <c r="O84" s="130">
        <f t="shared" si="68"/>
        <v>0</v>
      </c>
      <c r="P84" s="131">
        <f t="shared" si="68"/>
        <v>0</v>
      </c>
      <c r="Q84" s="132" t="s">
        <v>155</v>
      </c>
      <c r="X84">
        <v>41</v>
      </c>
      <c r="Y84">
        <f t="shared" si="29"/>
        <v>60</v>
      </c>
      <c r="Z84">
        <f t="shared" si="30"/>
        <v>40</v>
      </c>
      <c r="AA84">
        <f t="shared" si="31"/>
        <v>1</v>
      </c>
      <c r="AB84" s="118">
        <v>1</v>
      </c>
      <c r="AC84" s="118">
        <v>2</v>
      </c>
      <c r="AD84" s="124">
        <v>1</v>
      </c>
      <c r="AE84" s="125">
        <v>2</v>
      </c>
      <c r="AF84">
        <f t="shared" si="32"/>
        <v>0</v>
      </c>
      <c r="AG84" s="126">
        <f t="shared" si="33"/>
        <v>1</v>
      </c>
      <c r="AH84">
        <f t="shared" si="34"/>
        <v>2</v>
      </c>
      <c r="AI84" s="127">
        <f t="shared" si="35"/>
        <v>2</v>
      </c>
    </row>
    <row r="85" spans="4:35" ht="15" thickBot="1" x14ac:dyDescent="0.35">
      <c r="D85" s="48" t="s">
        <v>74</v>
      </c>
      <c r="E85" s="133" t="s">
        <v>75</v>
      </c>
      <c r="F85" s="90"/>
      <c r="G85" s="138">
        <f t="shared" ref="G85:J85" si="69">G81*G72</f>
        <v>0</v>
      </c>
      <c r="H85" s="138">
        <f t="shared" si="69"/>
        <v>0</v>
      </c>
      <c r="I85" s="138">
        <f t="shared" si="69"/>
        <v>0</v>
      </c>
      <c r="J85" s="138">
        <f t="shared" si="69"/>
        <v>0</v>
      </c>
      <c r="K85" s="138">
        <f>K81*K72</f>
        <v>0</v>
      </c>
      <c r="L85" s="138">
        <f t="shared" ref="L85:P85" si="70">L81*L72</f>
        <v>0</v>
      </c>
      <c r="M85" s="138">
        <f t="shared" si="70"/>
        <v>3210</v>
      </c>
      <c r="N85" s="138">
        <f t="shared" si="70"/>
        <v>0</v>
      </c>
      <c r="O85" s="138">
        <f t="shared" si="70"/>
        <v>0</v>
      </c>
      <c r="P85" s="139">
        <f t="shared" si="70"/>
        <v>0</v>
      </c>
      <c r="Q85" s="132" t="s">
        <v>155</v>
      </c>
      <c r="X85">
        <v>42</v>
      </c>
      <c r="Y85">
        <f t="shared" si="29"/>
        <v>60</v>
      </c>
      <c r="Z85">
        <f t="shared" si="30"/>
        <v>40</v>
      </c>
      <c r="AA85">
        <f t="shared" si="31"/>
        <v>2</v>
      </c>
      <c r="AB85" s="118">
        <v>1</v>
      </c>
      <c r="AC85" s="118">
        <v>2</v>
      </c>
      <c r="AD85" s="162">
        <v>1</v>
      </c>
      <c r="AE85" s="163">
        <v>2</v>
      </c>
      <c r="AF85" s="164">
        <f t="shared" si="32"/>
        <v>0</v>
      </c>
      <c r="AG85" s="165">
        <f t="shared" si="33"/>
        <v>1</v>
      </c>
      <c r="AH85" s="164">
        <f t="shared" si="34"/>
        <v>2</v>
      </c>
      <c r="AI85" s="166">
        <f t="shared" si="35"/>
        <v>2</v>
      </c>
    </row>
    <row r="86" spans="4:35" ht="15" thickBot="1" x14ac:dyDescent="0.35">
      <c r="D86" s="48"/>
      <c r="E86" s="135" t="s">
        <v>76</v>
      </c>
      <c r="F86" s="136"/>
      <c r="G86" s="108">
        <f>G85+G84</f>
        <v>0</v>
      </c>
      <c r="H86" s="108">
        <f t="shared" ref="H86:P86" si="71">H85+H84</f>
        <v>0</v>
      </c>
      <c r="I86" s="108">
        <f t="shared" si="71"/>
        <v>0</v>
      </c>
      <c r="J86" s="108">
        <f t="shared" si="71"/>
        <v>0</v>
      </c>
      <c r="K86" s="108">
        <f t="shared" si="71"/>
        <v>0</v>
      </c>
      <c r="L86" s="108">
        <f t="shared" si="71"/>
        <v>0</v>
      </c>
      <c r="M86" s="108">
        <f t="shared" si="71"/>
        <v>3710</v>
      </c>
      <c r="N86" s="108">
        <f t="shared" si="71"/>
        <v>0</v>
      </c>
      <c r="O86" s="108">
        <f t="shared" si="71"/>
        <v>0</v>
      </c>
      <c r="P86" s="109">
        <f t="shared" si="71"/>
        <v>0</v>
      </c>
      <c r="Q86" s="132" t="s">
        <v>155</v>
      </c>
      <c r="AB86" s="167"/>
    </row>
    <row r="87" spans="4:35" x14ac:dyDescent="0.3">
      <c r="E87" s="137" t="s">
        <v>158</v>
      </c>
      <c r="F87" s="90"/>
      <c r="G87" s="138">
        <f t="shared" ref="G87:J87" si="72">G81*G75</f>
        <v>0</v>
      </c>
      <c r="H87" s="138">
        <f t="shared" si="72"/>
        <v>0</v>
      </c>
      <c r="I87" s="138">
        <f t="shared" si="72"/>
        <v>0</v>
      </c>
      <c r="J87" s="138">
        <f t="shared" si="72"/>
        <v>0</v>
      </c>
      <c r="K87" s="138">
        <f>K81*K75</f>
        <v>0</v>
      </c>
      <c r="L87" s="138">
        <f t="shared" ref="L87:P87" si="73">L81*L75</f>
        <v>0</v>
      </c>
      <c r="M87" s="138">
        <f t="shared" si="73"/>
        <v>6390</v>
      </c>
      <c r="N87" s="138">
        <f t="shared" si="73"/>
        <v>0</v>
      </c>
      <c r="O87" s="138">
        <f t="shared" si="73"/>
        <v>0</v>
      </c>
      <c r="P87" s="139">
        <f t="shared" si="73"/>
        <v>0</v>
      </c>
      <c r="Q87" s="132" t="s">
        <v>155</v>
      </c>
      <c r="AB87" s="167"/>
    </row>
    <row r="88" spans="4:35" ht="15" thickBot="1" x14ac:dyDescent="0.35">
      <c r="E88" s="135" t="s">
        <v>87</v>
      </c>
      <c r="F88" s="140"/>
      <c r="G88" s="141">
        <f>G87-G86</f>
        <v>0</v>
      </c>
      <c r="H88" s="141">
        <f>H87-H86</f>
        <v>0</v>
      </c>
      <c r="I88" s="141">
        <f t="shared" ref="I88:P88" si="74">I87-I86</f>
        <v>0</v>
      </c>
      <c r="J88" s="141">
        <f t="shared" si="74"/>
        <v>0</v>
      </c>
      <c r="K88" s="141">
        <f t="shared" si="74"/>
        <v>0</v>
      </c>
      <c r="L88" s="141">
        <f t="shared" si="74"/>
        <v>0</v>
      </c>
      <c r="M88" s="141">
        <f t="shared" si="74"/>
        <v>2680</v>
      </c>
      <c r="N88" s="141">
        <f t="shared" si="74"/>
        <v>0</v>
      </c>
      <c r="O88" s="141">
        <f t="shared" si="74"/>
        <v>0</v>
      </c>
      <c r="P88" s="143">
        <f t="shared" si="74"/>
        <v>0</v>
      </c>
      <c r="Q88" s="48" t="s">
        <v>62</v>
      </c>
      <c r="S88" s="132" t="s">
        <v>155</v>
      </c>
      <c r="AB88" s="167"/>
    </row>
    <row r="89" spans="4:35" ht="15" thickBot="1" x14ac:dyDescent="0.35">
      <c r="E89" s="144" t="s">
        <v>79</v>
      </c>
      <c r="F89" s="145"/>
      <c r="G89" s="146">
        <f>G77-G88</f>
        <v>3520</v>
      </c>
      <c r="H89" s="146">
        <f>H77-H88</f>
        <v>0</v>
      </c>
      <c r="I89" s="146">
        <f t="shared" ref="I89:P89" si="75">I77-I88</f>
        <v>13920</v>
      </c>
      <c r="J89" s="146">
        <f t="shared" si="75"/>
        <v>13840</v>
      </c>
      <c r="K89" s="146">
        <f t="shared" si="75"/>
        <v>7120</v>
      </c>
      <c r="L89" s="146">
        <f t="shared" si="75"/>
        <v>11220</v>
      </c>
      <c r="M89" s="146">
        <f t="shared" si="75"/>
        <v>8540</v>
      </c>
      <c r="N89" s="146">
        <f t="shared" si="75"/>
        <v>10920</v>
      </c>
      <c r="O89" s="146">
        <f t="shared" si="75"/>
        <v>0</v>
      </c>
      <c r="P89" s="147">
        <f t="shared" si="75"/>
        <v>0</v>
      </c>
      <c r="Q89" s="132" t="s">
        <v>155</v>
      </c>
      <c r="AB89" s="167"/>
    </row>
    <row r="90" spans="4:35" x14ac:dyDescent="0.3">
      <c r="E90" s="148" t="s">
        <v>80</v>
      </c>
      <c r="F90" s="149"/>
      <c r="G90" s="150">
        <f t="shared" ref="G90:P90" si="76">G78/G68</f>
        <v>0.5</v>
      </c>
      <c r="H90" s="150" t="e">
        <f t="shared" si="76"/>
        <v>#DIV/0!</v>
      </c>
      <c r="I90" s="150">
        <f t="shared" si="76"/>
        <v>0.25</v>
      </c>
      <c r="J90" s="150">
        <f t="shared" si="76"/>
        <v>0.25</v>
      </c>
      <c r="K90" s="150">
        <f t="shared" si="76"/>
        <v>0.75</v>
      </c>
      <c r="L90" s="150">
        <f t="shared" si="76"/>
        <v>0.41666666666666669</v>
      </c>
      <c r="M90" s="150">
        <f t="shared" si="76"/>
        <v>1</v>
      </c>
      <c r="N90" s="150">
        <f t="shared" si="76"/>
        <v>0</v>
      </c>
      <c r="O90" s="150" t="e">
        <f t="shared" si="76"/>
        <v>#DIV/0!</v>
      </c>
      <c r="P90" s="150" t="e">
        <f t="shared" si="76"/>
        <v>#DIV/0!</v>
      </c>
      <c r="AB90" s="167"/>
    </row>
    <row r="91" spans="4:35" x14ac:dyDescent="0.3">
      <c r="E91" s="148" t="s">
        <v>81</v>
      </c>
      <c r="F91" s="149"/>
      <c r="G91" s="150">
        <f t="shared" ref="G91:P91" si="77">G86/G74</f>
        <v>0</v>
      </c>
      <c r="H91" s="150" t="e">
        <f t="shared" si="77"/>
        <v>#DIV/0!</v>
      </c>
      <c r="I91" s="150">
        <f t="shared" si="77"/>
        <v>0</v>
      </c>
      <c r="J91" s="150">
        <f t="shared" si="77"/>
        <v>0</v>
      </c>
      <c r="K91" s="150">
        <f t="shared" si="77"/>
        <v>0</v>
      </c>
      <c r="L91" s="150">
        <f t="shared" si="77"/>
        <v>0</v>
      </c>
      <c r="M91" s="150">
        <f t="shared" si="77"/>
        <v>0.25871687587168757</v>
      </c>
      <c r="N91" s="150">
        <f t="shared" si="77"/>
        <v>0</v>
      </c>
      <c r="O91" s="150" t="e">
        <f t="shared" si="77"/>
        <v>#DIV/0!</v>
      </c>
      <c r="P91" s="150" t="e">
        <f t="shared" si="77"/>
        <v>#DIV/0!</v>
      </c>
      <c r="AB91" s="167"/>
    </row>
    <row r="92" spans="4:35" x14ac:dyDescent="0.3">
      <c r="E92" s="148" t="s">
        <v>82</v>
      </c>
      <c r="F92" s="151"/>
      <c r="G92" s="150">
        <f t="shared" ref="G92:P92" si="78">G88/G77</f>
        <v>0</v>
      </c>
      <c r="H92" s="150" t="e">
        <f t="shared" si="78"/>
        <v>#DIV/0!</v>
      </c>
      <c r="I92" s="150">
        <f t="shared" si="78"/>
        <v>0</v>
      </c>
      <c r="J92" s="150">
        <f t="shared" si="78"/>
        <v>0</v>
      </c>
      <c r="K92" s="150">
        <f t="shared" si="78"/>
        <v>0</v>
      </c>
      <c r="L92" s="150">
        <f t="shared" si="78"/>
        <v>0</v>
      </c>
      <c r="M92" s="150">
        <f t="shared" si="78"/>
        <v>0.23885918003565063</v>
      </c>
      <c r="N92" s="150">
        <f t="shared" si="78"/>
        <v>0</v>
      </c>
      <c r="O92" s="150" t="e">
        <f t="shared" si="78"/>
        <v>#DIV/0!</v>
      </c>
      <c r="P92" s="150" t="e">
        <f t="shared" si="78"/>
        <v>#DIV/0!</v>
      </c>
      <c r="AB92" s="167"/>
    </row>
    <row r="93" spans="4:35" x14ac:dyDescent="0.3">
      <c r="E93" s="168"/>
      <c r="F93" s="169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AB93" s="167"/>
    </row>
    <row r="94" spans="4:35" x14ac:dyDescent="0.3">
      <c r="F94" s="4"/>
      <c r="AB94" s="167"/>
    </row>
    <row r="95" spans="4:35" x14ac:dyDescent="0.3">
      <c r="D95" s="50" t="s">
        <v>88</v>
      </c>
      <c r="E95" s="51" t="s">
        <v>89</v>
      </c>
      <c r="F95" s="4"/>
      <c r="R95" s="118" t="s">
        <v>152</v>
      </c>
      <c r="AB95" s="167"/>
    </row>
    <row r="96" spans="4:35" x14ac:dyDescent="0.3">
      <c r="E96" s="1" t="s">
        <v>117</v>
      </c>
      <c r="F96" s="2">
        <f>'DC3'!C3</f>
        <v>20</v>
      </c>
      <c r="G96" s="3">
        <f>'DC3'!D3</f>
        <v>200</v>
      </c>
      <c r="AB96" s="167"/>
    </row>
    <row r="97" spans="5:28" ht="14.4" customHeight="1" x14ac:dyDescent="0.3">
      <c r="E97" s="1" t="s">
        <v>118</v>
      </c>
      <c r="F97" s="2">
        <f>'DC3'!C4</f>
        <v>10</v>
      </c>
      <c r="G97" s="3">
        <f>'DC3'!D4</f>
        <v>120</v>
      </c>
      <c r="P97" s="253"/>
      <c r="AB97" s="167"/>
    </row>
    <row r="98" spans="5:28" ht="14.4" customHeight="1" x14ac:dyDescent="0.3">
      <c r="E98" s="255" t="s">
        <v>119</v>
      </c>
      <c r="F98" s="258">
        <f>'DC3'!C5</f>
        <v>20</v>
      </c>
      <c r="G98" s="261">
        <f>'DC3'!D5</f>
        <v>400</v>
      </c>
      <c r="P98" s="253"/>
      <c r="AB98" s="167"/>
    </row>
    <row r="99" spans="5:28" ht="14.4" customHeight="1" x14ac:dyDescent="0.3">
      <c r="E99" s="255" t="s">
        <v>120</v>
      </c>
      <c r="F99" s="258">
        <f>'DC3'!C6</f>
        <v>10</v>
      </c>
      <c r="G99" s="261">
        <f>'DC3'!D6</f>
        <v>250</v>
      </c>
      <c r="P99" s="253"/>
      <c r="AB99" s="167"/>
    </row>
    <row r="100" spans="5:28" ht="14.4" customHeight="1" x14ac:dyDescent="0.3">
      <c r="E100" s="1" t="s">
        <v>121</v>
      </c>
      <c r="F100" s="5">
        <f>'DC3'!C7</f>
        <v>0</v>
      </c>
      <c r="G100" t="s">
        <v>34</v>
      </c>
      <c r="P100" s="301">
        <v>3</v>
      </c>
      <c r="AB100" s="167"/>
    </row>
    <row r="101" spans="5:28" ht="14.4" customHeight="1" x14ac:dyDescent="0.3">
      <c r="E101" s="255" t="s">
        <v>122</v>
      </c>
      <c r="F101" s="260">
        <f>'DC3'!C8</f>
        <v>1</v>
      </c>
      <c r="G101" t="s">
        <v>34</v>
      </c>
      <c r="P101" s="301"/>
      <c r="AB101" s="167"/>
    </row>
    <row r="102" spans="5:28" ht="14.4" customHeight="1" x14ac:dyDescent="0.3">
      <c r="E102" s="1" t="s">
        <v>86</v>
      </c>
      <c r="F102" s="7">
        <f>'DC3'!C9</f>
        <v>15</v>
      </c>
      <c r="G102" t="s">
        <v>35</v>
      </c>
      <c r="L102" s="52" t="s">
        <v>36</v>
      </c>
      <c r="P102" s="301"/>
    </row>
    <row r="103" spans="5:28" ht="15" customHeight="1" thickBot="1" x14ac:dyDescent="0.35">
      <c r="E103" s="1" t="s">
        <v>37</v>
      </c>
      <c r="F103" s="7">
        <f>'DC3'!C10</f>
        <v>10</v>
      </c>
      <c r="G103" t="s">
        <v>35</v>
      </c>
      <c r="P103" s="302"/>
    </row>
    <row r="104" spans="5:28" ht="15" thickBot="1" x14ac:dyDescent="0.35">
      <c r="F104" s="53" t="s">
        <v>38</v>
      </c>
      <c r="G104" s="8" t="s">
        <v>0</v>
      </c>
      <c r="H104" s="8" t="s">
        <v>1</v>
      </c>
      <c r="I104" s="8" t="s">
        <v>2</v>
      </c>
      <c r="J104" s="8" t="s">
        <v>3</v>
      </c>
      <c r="K104" s="8" t="s">
        <v>4</v>
      </c>
      <c r="L104" s="8" t="s">
        <v>5</v>
      </c>
      <c r="M104" s="8" t="s">
        <v>6</v>
      </c>
      <c r="N104" s="8" t="s">
        <v>7</v>
      </c>
      <c r="O104" s="8" t="s">
        <v>8</v>
      </c>
      <c r="P104" s="9" t="s">
        <v>9</v>
      </c>
    </row>
    <row r="105" spans="5:28" x14ac:dyDescent="0.3">
      <c r="E105" s="10" t="s">
        <v>10</v>
      </c>
      <c r="F105" s="55"/>
      <c r="G105" s="65">
        <f>'DC3'!C13</f>
        <v>0</v>
      </c>
      <c r="H105" s="65">
        <f>'DC3'!D13</f>
        <v>20</v>
      </c>
      <c r="I105" s="65">
        <f>'DC3'!E13</f>
        <v>30</v>
      </c>
      <c r="J105" s="65">
        <f>'DC3'!F13</f>
        <v>20</v>
      </c>
      <c r="K105" s="65">
        <f>'DC3'!G13</f>
        <v>10</v>
      </c>
      <c r="L105" s="65">
        <f>'DC3'!H13</f>
        <v>45</v>
      </c>
      <c r="M105" s="65">
        <f>'DC3'!I13</f>
        <v>100</v>
      </c>
      <c r="N105" s="65">
        <f>'DC3'!J13</f>
        <v>15</v>
      </c>
      <c r="O105" s="65">
        <f>'DC3'!K13</f>
        <v>0</v>
      </c>
      <c r="P105" s="209">
        <f>'DC3'!L13</f>
        <v>10</v>
      </c>
    </row>
    <row r="106" spans="5:28" x14ac:dyDescent="0.3">
      <c r="E106" s="13" t="s">
        <v>11</v>
      </c>
      <c r="F106" s="57"/>
      <c r="G106" s="210">
        <f>'DC3'!C14</f>
        <v>40</v>
      </c>
      <c r="H106" s="210">
        <f>'DC3'!D14</f>
        <v>30</v>
      </c>
      <c r="I106" s="210">
        <f>'DC3'!E14</f>
        <v>0</v>
      </c>
      <c r="J106" s="210">
        <f>'DC3'!F14</f>
        <v>0</v>
      </c>
      <c r="K106" s="210">
        <f>'DC3'!G14</f>
        <v>0</v>
      </c>
      <c r="L106" s="210">
        <f>'DC3'!H14</f>
        <v>0</v>
      </c>
      <c r="M106" s="210">
        <f>'DC3'!I14</f>
        <v>0</v>
      </c>
      <c r="N106" s="210">
        <f>'DC3'!J14</f>
        <v>0</v>
      </c>
      <c r="O106" s="210">
        <f>'DC3'!K14</f>
        <v>0</v>
      </c>
      <c r="P106" s="36">
        <f>'DC3'!L14</f>
        <v>0</v>
      </c>
    </row>
    <row r="107" spans="5:28" x14ac:dyDescent="0.3">
      <c r="E107" s="15" t="s">
        <v>12</v>
      </c>
      <c r="F107" s="58"/>
      <c r="G107" s="210">
        <f>'DC3'!C15</f>
        <v>0</v>
      </c>
      <c r="H107" s="210">
        <f>'DC3'!D15</f>
        <v>0</v>
      </c>
      <c r="I107" s="210">
        <f>'DC3'!E15</f>
        <v>40</v>
      </c>
      <c r="J107" s="210">
        <f>'DC3'!F15</f>
        <v>30</v>
      </c>
      <c r="K107" s="210">
        <f>'DC3'!G15</f>
        <v>40</v>
      </c>
      <c r="L107" s="210">
        <f>'DC3'!H15</f>
        <v>20</v>
      </c>
      <c r="M107" s="210">
        <f>'DC3'!I15</f>
        <v>30</v>
      </c>
      <c r="N107" s="210">
        <f>'DC3'!J15</f>
        <v>0</v>
      </c>
      <c r="O107" s="210">
        <f>'DC3'!K15</f>
        <v>30</v>
      </c>
      <c r="P107" s="36">
        <f>'DC3'!L15</f>
        <v>20</v>
      </c>
    </row>
    <row r="108" spans="5:28" ht="15" thickBot="1" x14ac:dyDescent="0.35">
      <c r="E108" s="16" t="s">
        <v>13</v>
      </c>
      <c r="F108" s="211"/>
      <c r="G108" s="212">
        <f>'DC3'!C16</f>
        <v>0</v>
      </c>
      <c r="H108" s="212">
        <f>'DC3'!D16</f>
        <v>20</v>
      </c>
      <c r="I108" s="212">
        <f>'DC3'!E16</f>
        <v>0</v>
      </c>
      <c r="J108" s="212">
        <f>'DC3'!F16</f>
        <v>0</v>
      </c>
      <c r="K108" s="212">
        <f>'DC3'!G16</f>
        <v>0</v>
      </c>
      <c r="L108" s="212">
        <f>'DC3'!H16</f>
        <v>0</v>
      </c>
      <c r="M108" s="212">
        <f>'DC3'!I16</f>
        <v>0</v>
      </c>
      <c r="N108" s="212">
        <f>'DC3'!J16</f>
        <v>0</v>
      </c>
      <c r="O108" s="212">
        <f>'DC3'!K16</f>
        <v>0</v>
      </c>
      <c r="P108" s="213">
        <f>'DC3'!L16</f>
        <v>0</v>
      </c>
    </row>
    <row r="109" spans="5:28" ht="15" thickBot="1" x14ac:dyDescent="0.35">
      <c r="E109" s="214" t="s">
        <v>42</v>
      </c>
      <c r="F109" s="206"/>
      <c r="G109" s="207">
        <f>SUM(G105:G108)</f>
        <v>40</v>
      </c>
      <c r="H109" s="207">
        <f t="shared" ref="H109:P109" si="79">SUM(H105:H108)</f>
        <v>70</v>
      </c>
      <c r="I109" s="207">
        <f t="shared" si="79"/>
        <v>70</v>
      </c>
      <c r="J109" s="207">
        <f t="shared" si="79"/>
        <v>50</v>
      </c>
      <c r="K109" s="207">
        <f t="shared" si="79"/>
        <v>50</v>
      </c>
      <c r="L109" s="207">
        <f t="shared" si="79"/>
        <v>65</v>
      </c>
      <c r="M109" s="207">
        <f t="shared" si="79"/>
        <v>130</v>
      </c>
      <c r="N109" s="207">
        <f t="shared" si="79"/>
        <v>15</v>
      </c>
      <c r="O109" s="207">
        <f t="shared" si="79"/>
        <v>30</v>
      </c>
      <c r="P109" s="208">
        <f t="shared" si="79"/>
        <v>30</v>
      </c>
    </row>
    <row r="110" spans="5:28" x14ac:dyDescent="0.3">
      <c r="E110" s="171" t="s">
        <v>14</v>
      </c>
      <c r="F110" s="64"/>
      <c r="G110" s="65">
        <f>'DC3'!C17</f>
        <v>20</v>
      </c>
      <c r="H110" s="65">
        <f>'DC3'!D17</f>
        <v>0</v>
      </c>
      <c r="I110" s="172"/>
      <c r="J110" s="172"/>
      <c r="K110" s="172"/>
      <c r="L110" s="172"/>
      <c r="M110" s="172"/>
      <c r="N110" s="172"/>
      <c r="O110" s="172"/>
      <c r="P110" s="173"/>
    </row>
    <row r="111" spans="5:28" x14ac:dyDescent="0.3">
      <c r="E111" s="174" t="s">
        <v>44</v>
      </c>
      <c r="F111" s="67">
        <f>'DC3'!C11</f>
        <v>20</v>
      </c>
      <c r="G111" s="68">
        <f>F111+G110+G113-G109</f>
        <v>15</v>
      </c>
      <c r="H111" s="175">
        <f t="shared" ref="H111:P111" si="80">G111+H110+H113-H109</f>
        <v>20</v>
      </c>
      <c r="I111" s="175">
        <f t="shared" si="80"/>
        <v>10</v>
      </c>
      <c r="J111" s="175">
        <f t="shared" si="80"/>
        <v>20</v>
      </c>
      <c r="K111" s="175">
        <f t="shared" si="80"/>
        <v>15</v>
      </c>
      <c r="L111" s="175">
        <f t="shared" si="80"/>
        <v>10</v>
      </c>
      <c r="M111" s="175">
        <f t="shared" si="80"/>
        <v>15</v>
      </c>
      <c r="N111" s="175">
        <f t="shared" si="80"/>
        <v>15</v>
      </c>
      <c r="O111" s="175">
        <f t="shared" si="80"/>
        <v>15</v>
      </c>
      <c r="P111" s="176">
        <f t="shared" si="80"/>
        <v>15</v>
      </c>
      <c r="R111" s="70" t="s">
        <v>45</v>
      </c>
    </row>
    <row r="112" spans="5:28" x14ac:dyDescent="0.3">
      <c r="E112" s="174" t="s">
        <v>47</v>
      </c>
      <c r="F112" s="292"/>
      <c r="G112" s="68">
        <f>IF(F111-G109+G110&lt;=$F$103, G109-G110-F111+$F$103,0)</f>
        <v>10</v>
      </c>
      <c r="H112" s="68">
        <f t="shared" ref="H112:P112" si="81">IF(G111-H109+H110&lt;=$F$103, H109-H110-G111+$F$103,0)</f>
        <v>65</v>
      </c>
      <c r="I112" s="68">
        <f t="shared" si="81"/>
        <v>60</v>
      </c>
      <c r="J112" s="68">
        <f t="shared" si="81"/>
        <v>50</v>
      </c>
      <c r="K112" s="68">
        <f t="shared" si="81"/>
        <v>40</v>
      </c>
      <c r="L112" s="68">
        <f t="shared" si="81"/>
        <v>60</v>
      </c>
      <c r="M112" s="68">
        <f t="shared" si="81"/>
        <v>130</v>
      </c>
      <c r="N112" s="68">
        <f t="shared" si="81"/>
        <v>10</v>
      </c>
      <c r="O112" s="68">
        <f t="shared" si="81"/>
        <v>25</v>
      </c>
      <c r="P112" s="69">
        <f t="shared" si="81"/>
        <v>25</v>
      </c>
      <c r="R112" s="70" t="s">
        <v>48</v>
      </c>
    </row>
    <row r="113" spans="4:37" x14ac:dyDescent="0.3">
      <c r="E113" s="177" t="s">
        <v>49</v>
      </c>
      <c r="F113" s="292"/>
      <c r="G113" s="175">
        <f xml:space="preserve"> CEILING(G112/$F$102,1)*$F$102</f>
        <v>15</v>
      </c>
      <c r="H113" s="175">
        <f t="shared" ref="H113:P113" si="82" xml:space="preserve"> CEILING(H112/$F$102,1)*$F$102</f>
        <v>75</v>
      </c>
      <c r="I113" s="175">
        <f t="shared" si="82"/>
        <v>60</v>
      </c>
      <c r="J113" s="175">
        <f t="shared" si="82"/>
        <v>60</v>
      </c>
      <c r="K113" s="175">
        <f t="shared" si="82"/>
        <v>45</v>
      </c>
      <c r="L113" s="175">
        <f t="shared" si="82"/>
        <v>60</v>
      </c>
      <c r="M113" s="175">
        <f t="shared" si="82"/>
        <v>135</v>
      </c>
      <c r="N113" s="175">
        <f t="shared" si="82"/>
        <v>15</v>
      </c>
      <c r="O113" s="175">
        <f t="shared" si="82"/>
        <v>30</v>
      </c>
      <c r="P113" s="176">
        <f t="shared" si="82"/>
        <v>30</v>
      </c>
    </row>
    <row r="114" spans="4:37" ht="15" thickBot="1" x14ac:dyDescent="0.35">
      <c r="E114" s="73" t="s">
        <v>50</v>
      </c>
      <c r="F114" s="74"/>
      <c r="G114" s="75">
        <f>IF($Q$117 = "Choosing Supplier 1", G113, H113)</f>
        <v>15</v>
      </c>
      <c r="H114" s="75">
        <f t="shared" ref="H114:P114" si="83">IF($Q$117 = "Choosing Supplier 1", H113, I113)</f>
        <v>75</v>
      </c>
      <c r="I114" s="75">
        <f t="shared" si="83"/>
        <v>60</v>
      </c>
      <c r="J114" s="75">
        <f t="shared" si="83"/>
        <v>60</v>
      </c>
      <c r="K114" s="75">
        <f t="shared" si="83"/>
        <v>45</v>
      </c>
      <c r="L114" s="75">
        <f t="shared" si="83"/>
        <v>60</v>
      </c>
      <c r="M114" s="75">
        <f t="shared" si="83"/>
        <v>135</v>
      </c>
      <c r="N114" s="75">
        <f t="shared" si="83"/>
        <v>15</v>
      </c>
      <c r="O114" s="75">
        <f t="shared" si="83"/>
        <v>30</v>
      </c>
      <c r="P114" s="76">
        <f t="shared" si="83"/>
        <v>30</v>
      </c>
    </row>
    <row r="115" spans="4:37" x14ac:dyDescent="0.3">
      <c r="E115" s="114" t="s">
        <v>51</v>
      </c>
      <c r="F115" s="78"/>
      <c r="G115" s="79">
        <f>QUOTIENT(MOD(G114+$F$97-1,$F$96),$F$97)</f>
        <v>0</v>
      </c>
      <c r="H115" s="79">
        <f t="shared" ref="H115:P115" si="84">QUOTIENT(MOD(H114+$F$97-1,$F$96),$F$97)</f>
        <v>0</v>
      </c>
      <c r="I115" s="79">
        <f>QUOTIENT(MOD(I114+$F$97-1,$F$96),$F$97)</f>
        <v>0</v>
      </c>
      <c r="J115" s="79">
        <f t="shared" si="84"/>
        <v>0</v>
      </c>
      <c r="K115" s="79">
        <f t="shared" si="84"/>
        <v>1</v>
      </c>
      <c r="L115" s="79">
        <f t="shared" si="84"/>
        <v>0</v>
      </c>
      <c r="M115" s="79">
        <f t="shared" si="84"/>
        <v>0</v>
      </c>
      <c r="N115" s="79">
        <f t="shared" si="84"/>
        <v>0</v>
      </c>
      <c r="O115" s="79">
        <f t="shared" si="84"/>
        <v>1</v>
      </c>
      <c r="P115" s="80">
        <f t="shared" si="84"/>
        <v>1</v>
      </c>
    </row>
    <row r="116" spans="4:37" x14ac:dyDescent="0.3">
      <c r="D116" s="48"/>
      <c r="E116" s="179" t="s">
        <v>52</v>
      </c>
      <c r="F116" s="153"/>
      <c r="G116" s="83">
        <f>QUOTIENT(G114+$F$97-1,$F$96)</f>
        <v>1</v>
      </c>
      <c r="H116" s="83">
        <f t="shared" ref="H116:P116" si="85">QUOTIENT(H114+$F$97-1,$F$96)</f>
        <v>4</v>
      </c>
      <c r="I116" s="83">
        <f t="shared" si="85"/>
        <v>3</v>
      </c>
      <c r="J116" s="83">
        <f t="shared" si="85"/>
        <v>3</v>
      </c>
      <c r="K116" s="83">
        <f t="shared" si="85"/>
        <v>2</v>
      </c>
      <c r="L116" s="83">
        <f t="shared" si="85"/>
        <v>3</v>
      </c>
      <c r="M116" s="83">
        <f t="shared" si="85"/>
        <v>7</v>
      </c>
      <c r="N116" s="83">
        <f t="shared" si="85"/>
        <v>1</v>
      </c>
      <c r="O116" s="83">
        <f t="shared" si="85"/>
        <v>1</v>
      </c>
      <c r="P116" s="84">
        <f t="shared" si="85"/>
        <v>1</v>
      </c>
    </row>
    <row r="117" spans="4:37" ht="15" thickBot="1" x14ac:dyDescent="0.35">
      <c r="E117" s="180" t="s">
        <v>53</v>
      </c>
      <c r="F117" s="86"/>
      <c r="G117" s="87">
        <f>IF($Q$117="Choosing Supplier 1", G116*$G$96+G115*$G$97,G116*$G$98+G115*$G$99)</f>
        <v>200</v>
      </c>
      <c r="H117" s="87">
        <f t="shared" ref="H117:P117" si="86">IF($Q$117="Choosing Supplier 1", H116*$G$96+H115*$G$97,H116*$G$98+H115*$G$99)</f>
        <v>800</v>
      </c>
      <c r="I117" s="87">
        <f t="shared" si="86"/>
        <v>600</v>
      </c>
      <c r="J117" s="87">
        <f t="shared" si="86"/>
        <v>600</v>
      </c>
      <c r="K117" s="87">
        <f t="shared" si="86"/>
        <v>520</v>
      </c>
      <c r="L117" s="87">
        <f t="shared" si="86"/>
        <v>600</v>
      </c>
      <c r="M117" s="87">
        <f t="shared" si="86"/>
        <v>1400</v>
      </c>
      <c r="N117" s="87">
        <f t="shared" si="86"/>
        <v>200</v>
      </c>
      <c r="O117" s="87">
        <f t="shared" si="86"/>
        <v>320</v>
      </c>
      <c r="P117" s="88">
        <f t="shared" si="86"/>
        <v>320</v>
      </c>
      <c r="Q117" s="289" t="str">
        <f>IF($G$96&lt;$G$98,IF($F$147="Yes","Choosing Supplier 1","Choosing Supplier 2"),IF($F$168="Yes","Choosing Supplier 2","Choosing Supplier 1"))</f>
        <v>Choosing Supplier 1</v>
      </c>
      <c r="R117" t="s">
        <v>143</v>
      </c>
    </row>
    <row r="118" spans="4:37" x14ac:dyDescent="0.3">
      <c r="E118" s="89" t="s">
        <v>17</v>
      </c>
      <c r="F118" s="90"/>
      <c r="G118" s="91">
        <f>'DC3'!C18</f>
        <v>210</v>
      </c>
      <c r="H118" s="91">
        <f>'DC3'!D18</f>
        <v>211</v>
      </c>
      <c r="I118" s="91">
        <f>'DC3'!E18</f>
        <v>213</v>
      </c>
      <c r="J118" s="91">
        <f>'DC3'!F18</f>
        <v>215</v>
      </c>
      <c r="K118" s="91">
        <f>'DC3'!G18</f>
        <v>215</v>
      </c>
      <c r="L118" s="91">
        <f>'DC3'!H18</f>
        <v>216</v>
      </c>
      <c r="M118" s="91">
        <f>'DC3'!I18</f>
        <v>214</v>
      </c>
      <c r="N118" s="91">
        <f>'DC3'!J18</f>
        <v>212</v>
      </c>
      <c r="O118" s="91">
        <f>'DC3'!K18</f>
        <v>210</v>
      </c>
      <c r="P118" s="92">
        <f>'DC3'!L18</f>
        <v>209</v>
      </c>
    </row>
    <row r="119" spans="4:37" x14ac:dyDescent="0.3">
      <c r="D119" s="48" t="s">
        <v>54</v>
      </c>
      <c r="E119" s="93" t="s">
        <v>55</v>
      </c>
      <c r="F119" s="94"/>
      <c r="G119" s="95">
        <f>G118*G114</f>
        <v>3150</v>
      </c>
      <c r="H119" s="95">
        <f t="shared" ref="H119:P119" si="87">H118*H114</f>
        <v>15825</v>
      </c>
      <c r="I119" s="95">
        <f t="shared" si="87"/>
        <v>12780</v>
      </c>
      <c r="J119" s="95">
        <f t="shared" si="87"/>
        <v>12900</v>
      </c>
      <c r="K119" s="95">
        <f t="shared" si="87"/>
        <v>9675</v>
      </c>
      <c r="L119" s="95">
        <f t="shared" si="87"/>
        <v>12960</v>
      </c>
      <c r="M119" s="95">
        <f t="shared" si="87"/>
        <v>28890</v>
      </c>
      <c r="N119" s="95">
        <f t="shared" si="87"/>
        <v>3180</v>
      </c>
      <c r="O119" s="95">
        <f t="shared" si="87"/>
        <v>6300</v>
      </c>
      <c r="P119" s="134">
        <f t="shared" si="87"/>
        <v>6270</v>
      </c>
      <c r="Q119" s="48" t="s">
        <v>56</v>
      </c>
    </row>
    <row r="120" spans="4:37" ht="15" thickBot="1" x14ac:dyDescent="0.35">
      <c r="E120" s="98" t="s">
        <v>57</v>
      </c>
      <c r="F120" s="99"/>
      <c r="G120" s="100">
        <f t="shared" ref="G120:P120" si="88">G117+G119</f>
        <v>3350</v>
      </c>
      <c r="H120" s="100">
        <f t="shared" si="88"/>
        <v>16625</v>
      </c>
      <c r="I120" s="100">
        <f t="shared" si="88"/>
        <v>13380</v>
      </c>
      <c r="J120" s="100">
        <f t="shared" si="88"/>
        <v>13500</v>
      </c>
      <c r="K120" s="100">
        <f t="shared" si="88"/>
        <v>10195</v>
      </c>
      <c r="L120" s="100">
        <f t="shared" si="88"/>
        <v>13560</v>
      </c>
      <c r="M120" s="100">
        <f t="shared" si="88"/>
        <v>30290</v>
      </c>
      <c r="N120" s="100">
        <f t="shared" si="88"/>
        <v>3380</v>
      </c>
      <c r="O120" s="100">
        <f t="shared" si="88"/>
        <v>6620</v>
      </c>
      <c r="P120" s="101">
        <f t="shared" si="88"/>
        <v>6590</v>
      </c>
      <c r="Q120" s="48" t="s">
        <v>58</v>
      </c>
    </row>
    <row r="121" spans="4:37" x14ac:dyDescent="0.3">
      <c r="E121" s="89" t="s">
        <v>18</v>
      </c>
      <c r="F121" s="102"/>
      <c r="G121" s="91">
        <f>'DC3'!C19</f>
        <v>410</v>
      </c>
      <c r="H121" s="91">
        <f>'DC3'!D19</f>
        <v>413</v>
      </c>
      <c r="I121" s="91">
        <f>'DC3'!E19</f>
        <v>410</v>
      </c>
      <c r="J121" s="91">
        <f>'DC3'!F19</f>
        <v>415</v>
      </c>
      <c r="K121" s="91">
        <f>'DC3'!G19</f>
        <v>418</v>
      </c>
      <c r="L121" s="91">
        <f>'DC3'!H19</f>
        <v>430</v>
      </c>
      <c r="M121" s="91">
        <f>'DC3'!I19</f>
        <v>423</v>
      </c>
      <c r="N121" s="91">
        <f>'DC3'!J19</f>
        <v>419</v>
      </c>
      <c r="O121" s="91">
        <f>'DC3'!K19</f>
        <v>417</v>
      </c>
      <c r="P121" s="92">
        <f>'DC3'!L19</f>
        <v>422</v>
      </c>
    </row>
    <row r="122" spans="4:37" x14ac:dyDescent="0.3">
      <c r="E122" s="93" t="s">
        <v>59</v>
      </c>
      <c r="F122" s="103"/>
      <c r="G122" s="104">
        <f>G121*G114</f>
        <v>6150</v>
      </c>
      <c r="H122" s="104">
        <f t="shared" ref="H122:P122" si="89">H121*H114</f>
        <v>30975</v>
      </c>
      <c r="I122" s="104">
        <f t="shared" si="89"/>
        <v>24600</v>
      </c>
      <c r="J122" s="104">
        <f t="shared" si="89"/>
        <v>24900</v>
      </c>
      <c r="K122" s="104">
        <f t="shared" si="89"/>
        <v>18810</v>
      </c>
      <c r="L122" s="104">
        <f t="shared" si="89"/>
        <v>25800</v>
      </c>
      <c r="M122" s="104">
        <f t="shared" si="89"/>
        <v>57105</v>
      </c>
      <c r="N122" s="104">
        <f t="shared" si="89"/>
        <v>6285</v>
      </c>
      <c r="O122" s="104">
        <f t="shared" si="89"/>
        <v>12510</v>
      </c>
      <c r="P122" s="105">
        <f t="shared" si="89"/>
        <v>12660</v>
      </c>
      <c r="Q122" s="48" t="s">
        <v>60</v>
      </c>
    </row>
    <row r="123" spans="4:37" ht="13.8" customHeight="1" thickBot="1" x14ac:dyDescent="0.35">
      <c r="E123" s="106" t="s">
        <v>61</v>
      </c>
      <c r="F123" s="107"/>
      <c r="G123" s="108">
        <f>G122-G120</f>
        <v>2800</v>
      </c>
      <c r="H123" s="108">
        <f t="shared" ref="H123:P123" si="90">H122-H120</f>
        <v>14350</v>
      </c>
      <c r="I123" s="108">
        <f t="shared" si="90"/>
        <v>11220</v>
      </c>
      <c r="J123" s="108">
        <f t="shared" si="90"/>
        <v>11400</v>
      </c>
      <c r="K123" s="108">
        <f t="shared" si="90"/>
        <v>8615</v>
      </c>
      <c r="L123" s="108">
        <f t="shared" si="90"/>
        <v>12240</v>
      </c>
      <c r="M123" s="108">
        <f t="shared" si="90"/>
        <v>26815</v>
      </c>
      <c r="N123" s="108">
        <f t="shared" si="90"/>
        <v>2905</v>
      </c>
      <c r="O123" s="108">
        <f t="shared" si="90"/>
        <v>5890</v>
      </c>
      <c r="P123" s="109">
        <f t="shared" si="90"/>
        <v>6070</v>
      </c>
      <c r="Q123" s="48" t="s">
        <v>62</v>
      </c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</row>
    <row r="124" spans="4:37" ht="13.8" customHeight="1" thickBot="1" x14ac:dyDescent="0.35">
      <c r="E124" s="157" t="s">
        <v>63</v>
      </c>
      <c r="F124" s="215"/>
      <c r="G124" s="216">
        <f>IF($Q$117="Choosing Supplier 1", SUM(G105:G106), SUM(H105:H106))</f>
        <v>40</v>
      </c>
      <c r="H124" s="216">
        <f>IF($Q$117="Choosing Supplier 1", SUM(H105:H106), SUM(I105:I106))</f>
        <v>50</v>
      </c>
      <c r="I124" s="216">
        <f t="shared" ref="I124:P124" si="91">IF($Q$117="Choosing Supplier 1", SUM(I105:I106), SUM(J105:J106))</f>
        <v>30</v>
      </c>
      <c r="J124" s="216">
        <f t="shared" si="91"/>
        <v>20</v>
      </c>
      <c r="K124" s="216">
        <f t="shared" si="91"/>
        <v>10</v>
      </c>
      <c r="L124" s="216">
        <f t="shared" si="91"/>
        <v>45</v>
      </c>
      <c r="M124" s="216">
        <f t="shared" si="91"/>
        <v>100</v>
      </c>
      <c r="N124" s="216">
        <f t="shared" si="91"/>
        <v>15</v>
      </c>
      <c r="O124" s="216">
        <f t="shared" si="91"/>
        <v>0</v>
      </c>
      <c r="P124" s="217">
        <f t="shared" si="91"/>
        <v>10</v>
      </c>
      <c r="Q124" s="48" t="s">
        <v>142</v>
      </c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</row>
    <row r="125" spans="4:37" ht="13.8" customHeight="1" x14ac:dyDescent="0.3">
      <c r="E125" s="114" t="s">
        <v>156</v>
      </c>
      <c r="F125" s="110"/>
      <c r="G125" s="79">
        <f>IF($Q$117= "Choosing Supplier 1", MIN(G$158,G$124), MIN(G$124,G$179))</f>
        <v>0</v>
      </c>
      <c r="H125" s="79">
        <f t="shared" ref="H125:P125" si="92">IF($Q$117= "Choosing Supplier 1", MIN(H$158,H$124), MIN(H$124,H$179))</f>
        <v>0</v>
      </c>
      <c r="I125" s="79">
        <f t="shared" si="92"/>
        <v>0</v>
      </c>
      <c r="J125" s="79">
        <f t="shared" si="92"/>
        <v>0</v>
      </c>
      <c r="K125" s="79">
        <f t="shared" si="92"/>
        <v>0</v>
      </c>
      <c r="L125" s="79">
        <f t="shared" si="92"/>
        <v>0</v>
      </c>
      <c r="M125" s="79">
        <f t="shared" si="92"/>
        <v>20</v>
      </c>
      <c r="N125" s="79">
        <f t="shared" si="92"/>
        <v>0</v>
      </c>
      <c r="O125" s="79">
        <f t="shared" si="92"/>
        <v>0</v>
      </c>
      <c r="P125" s="80">
        <f t="shared" si="92"/>
        <v>0</v>
      </c>
      <c r="Q125" s="48"/>
      <c r="X125" s="267"/>
      <c r="Y125" s="267"/>
      <c r="Z125" s="267"/>
      <c r="AA125" s="267"/>
      <c r="AB125" s="268"/>
      <c r="AC125" s="268"/>
      <c r="AD125" s="267"/>
      <c r="AE125" s="268"/>
      <c r="AF125" s="267"/>
      <c r="AG125" s="267"/>
      <c r="AH125" s="267"/>
      <c r="AI125" s="267"/>
      <c r="AJ125" s="267"/>
      <c r="AK125" s="267"/>
    </row>
    <row r="126" spans="4:37" ht="13.8" customHeight="1" x14ac:dyDescent="0.3">
      <c r="E126" s="160" t="s">
        <v>160</v>
      </c>
      <c r="F126" s="262"/>
      <c r="G126" s="299">
        <f>MIN(MAX(CEILING(IF($Q$117 = "Choosing Supplier 1", G$158,G$179)/$F$102,1)*$F$102,0),G124)</f>
        <v>0</v>
      </c>
      <c r="H126" s="299">
        <f t="shared" ref="H126:P126" si="93">MIN(MAX(CEILING(IF($Q$117 = "Choosing Supplier 1", H$158,H$179)/$F$102,1)*$F$102,0),H124)</f>
        <v>0</v>
      </c>
      <c r="I126" s="299">
        <f t="shared" si="93"/>
        <v>0</v>
      </c>
      <c r="J126" s="299">
        <f t="shared" si="93"/>
        <v>0</v>
      </c>
      <c r="K126" s="299">
        <f t="shared" si="93"/>
        <v>0</v>
      </c>
      <c r="L126" s="299">
        <f t="shared" si="93"/>
        <v>0</v>
      </c>
      <c r="M126" s="299">
        <f t="shared" si="93"/>
        <v>30</v>
      </c>
      <c r="N126" s="299">
        <f t="shared" si="93"/>
        <v>0</v>
      </c>
      <c r="O126" s="299">
        <f t="shared" si="93"/>
        <v>0</v>
      </c>
      <c r="P126" s="300">
        <f t="shared" si="93"/>
        <v>0</v>
      </c>
      <c r="Q126" s="48"/>
      <c r="X126" s="267"/>
      <c r="Y126" s="267"/>
      <c r="Z126" s="267"/>
      <c r="AA126" s="267"/>
      <c r="AB126" s="268"/>
      <c r="AC126" s="268"/>
      <c r="AD126" s="267"/>
      <c r="AE126" s="268"/>
      <c r="AF126" s="267"/>
      <c r="AG126" s="267"/>
      <c r="AH126" s="267"/>
      <c r="AI126" s="267"/>
      <c r="AJ126" s="267"/>
      <c r="AK126" s="267"/>
    </row>
    <row r="127" spans="4:37" ht="13.8" customHeight="1" x14ac:dyDescent="0.3">
      <c r="E127" s="265" t="s">
        <v>125</v>
      </c>
      <c r="F127" s="262"/>
      <c r="G127" s="263">
        <f>MIN(MAX(CEILING(IF($Q$117 = "Choosing Supplier 1", G$158,G$179)/$F$102,1)*$F$102-IF($Q$117 = "Choosing Supplier 1",G113-G112,H113-H112),0),G124)</f>
        <v>0</v>
      </c>
      <c r="H127" s="263">
        <f t="shared" ref="H127:P127" si="94">MIN(MAX(CEILING(IF($Q$117 = "Choosing Supplier 1", H$158,H$179)/$F$102,1)*$F$102-IF($Q$117 = "Choosing Supplier 1",H113-H112,I113-I112),0),H124)</f>
        <v>0</v>
      </c>
      <c r="I127" s="263">
        <f t="shared" si="94"/>
        <v>0</v>
      </c>
      <c r="J127" s="263">
        <f t="shared" si="94"/>
        <v>0</v>
      </c>
      <c r="K127" s="263">
        <f t="shared" si="94"/>
        <v>0</v>
      </c>
      <c r="L127" s="263">
        <f t="shared" si="94"/>
        <v>0</v>
      </c>
      <c r="M127" s="263">
        <f t="shared" si="94"/>
        <v>25</v>
      </c>
      <c r="N127" s="263">
        <f t="shared" si="94"/>
        <v>0</v>
      </c>
      <c r="O127" s="263">
        <f t="shared" si="94"/>
        <v>0</v>
      </c>
      <c r="P127" s="264">
        <f t="shared" si="94"/>
        <v>0</v>
      </c>
      <c r="Q127" t="s">
        <v>153</v>
      </c>
      <c r="T127" t="s">
        <v>154</v>
      </c>
      <c r="U127" s="132" t="s">
        <v>155</v>
      </c>
      <c r="X127" s="267"/>
      <c r="Y127" s="267"/>
      <c r="Z127" s="267"/>
      <c r="AA127" s="267"/>
      <c r="AB127" s="268"/>
      <c r="AC127" s="268"/>
      <c r="AD127" s="267"/>
      <c r="AE127" s="268"/>
      <c r="AF127" s="267"/>
      <c r="AG127" s="267"/>
      <c r="AH127" s="267"/>
      <c r="AI127" s="267"/>
      <c r="AJ127" s="267"/>
      <c r="AK127" s="267"/>
    </row>
    <row r="128" spans="4:37" x14ac:dyDescent="0.3">
      <c r="E128" s="158" t="s">
        <v>67</v>
      </c>
      <c r="F128" s="159"/>
      <c r="G128" s="83">
        <f t="shared" ref="G128:J128" si="95">IF($Q$117 = "Choosing Supplier 1", QUOTIENT(MOD(G127+$F$97-1,$F$96),$F$97), QUOTIENT(MOD(G127+$F$99-1,$F$98),$F$99))</f>
        <v>0</v>
      </c>
      <c r="H128" s="83">
        <f t="shared" si="95"/>
        <v>0</v>
      </c>
      <c r="I128" s="83">
        <f t="shared" si="95"/>
        <v>0</v>
      </c>
      <c r="J128" s="83">
        <f t="shared" si="95"/>
        <v>0</v>
      </c>
      <c r="K128" s="83">
        <f>IF($Q$117 = "Choosing Supplier 1", QUOTIENT(MOD(K127+$F$97-1,$F$96),$F$97), QUOTIENT(MOD(K127+$F$99-1,$F$98),$F$99))</f>
        <v>0</v>
      </c>
      <c r="L128" s="83">
        <f t="shared" ref="L128:P128" si="96">IF($Q$117 = "Choosing Supplier 1", QUOTIENT(MOD(L127+$F$97-1,$F$96),$F$97), QUOTIENT(MOD(L127+$F$99-1,$F$98),$F$99))</f>
        <v>0</v>
      </c>
      <c r="M128" s="83">
        <f t="shared" si="96"/>
        <v>1</v>
      </c>
      <c r="N128" s="83">
        <f t="shared" si="96"/>
        <v>0</v>
      </c>
      <c r="O128" s="83">
        <f t="shared" si="96"/>
        <v>0</v>
      </c>
      <c r="P128" s="84">
        <f t="shared" si="96"/>
        <v>0</v>
      </c>
      <c r="Q128" s="132" t="s">
        <v>155</v>
      </c>
      <c r="R128" s="294" t="s">
        <v>157</v>
      </c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x14ac:dyDescent="0.3">
      <c r="E129" s="160" t="s">
        <v>72</v>
      </c>
      <c r="F129" s="82"/>
      <c r="G129" s="83">
        <f t="shared" ref="G129:J129" si="97">IF(M117="Choosing Supplier 1", QUOTIENT(G127+$F$97-1,$F$96), QUOTIENT(G127+$F$99-1,$F$98))</f>
        <v>0</v>
      </c>
      <c r="H129" s="83">
        <f t="shared" si="97"/>
        <v>0</v>
      </c>
      <c r="I129" s="83">
        <f t="shared" si="97"/>
        <v>0</v>
      </c>
      <c r="J129" s="83">
        <f t="shared" si="97"/>
        <v>0</v>
      </c>
      <c r="K129" s="83">
        <f>IF(Q117="Choosing Supplier 1", QUOTIENT(K127+$F$97-1,$F$96), QUOTIENT(K127+$F$99-1,$F$98))</f>
        <v>0</v>
      </c>
      <c r="L129" s="83">
        <f t="shared" ref="L129:P129" si="98">IF(R117="Choosing Supplier 1", QUOTIENT(L127+$F$97-1,$F$96), QUOTIENT(L127+$F$99-1,$F$98))</f>
        <v>0</v>
      </c>
      <c r="M129" s="83">
        <f t="shared" si="98"/>
        <v>1</v>
      </c>
      <c r="N129" s="83">
        <f t="shared" si="98"/>
        <v>0</v>
      </c>
      <c r="O129" s="83">
        <f t="shared" si="98"/>
        <v>0</v>
      </c>
      <c r="P129" s="84">
        <f t="shared" si="98"/>
        <v>0</v>
      </c>
      <c r="Q129" s="132" t="s">
        <v>155</v>
      </c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ht="15" thickBot="1" x14ac:dyDescent="0.35">
      <c r="E130" s="161" t="s">
        <v>73</v>
      </c>
      <c r="F130" s="129"/>
      <c r="G130" s="130">
        <f t="shared" ref="G130:K130" si="99">IF($Q$117="Choosing Supplier 1", G129*$G$96+G128*$G$97, G129*$G$98+G128*$G$99)</f>
        <v>0</v>
      </c>
      <c r="H130" s="130">
        <f t="shared" si="99"/>
        <v>0</v>
      </c>
      <c r="I130" s="130">
        <f t="shared" si="99"/>
        <v>0</v>
      </c>
      <c r="J130" s="130">
        <f t="shared" si="99"/>
        <v>0</v>
      </c>
      <c r="K130" s="130">
        <f t="shared" si="99"/>
        <v>0</v>
      </c>
      <c r="L130" s="130">
        <f>IF($Q$117="Choosing Supplier 1", L129*$G$96+L128*$G$97, L129*$G$98+L128*$G$99)</f>
        <v>0</v>
      </c>
      <c r="M130" s="130">
        <f t="shared" ref="M130" si="100">IF($Q$117="Choosing Supplier 1", M129*$G$96+M128*$G$97, M129*$G$98+M128*$G$99)</f>
        <v>320</v>
      </c>
      <c r="N130" s="130">
        <f t="shared" ref="N130" si="101">IF($Q$117="Choosing Supplier 1", N129*$G$96+N128*$G$97, N129*$G$98+N128*$G$99)</f>
        <v>0</v>
      </c>
      <c r="O130" s="130">
        <f t="shared" ref="O130" si="102">IF($Q$117="Choosing Supplier 1", O129*$G$96+O128*$G$97, O129*$G$98+O128*$G$99)</f>
        <v>0</v>
      </c>
      <c r="P130" s="131">
        <f t="shared" ref="P130" si="103">IF($Q$117="Choosing Supplier 1", P129*$G$96+P128*$G$97, P129*$G$98+P128*$G$99)</f>
        <v>0</v>
      </c>
      <c r="Q130" s="132" t="s">
        <v>155</v>
      </c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</row>
    <row r="131" spans="4:37" x14ac:dyDescent="0.3">
      <c r="D131" s="48" t="s">
        <v>74</v>
      </c>
      <c r="E131" s="133" t="s">
        <v>75</v>
      </c>
      <c r="F131" s="90"/>
      <c r="G131" s="138">
        <f t="shared" ref="G131:J131" si="104">G127*G118</f>
        <v>0</v>
      </c>
      <c r="H131" s="138">
        <f t="shared" si="104"/>
        <v>0</v>
      </c>
      <c r="I131" s="138">
        <f t="shared" si="104"/>
        <v>0</v>
      </c>
      <c r="J131" s="138">
        <f t="shared" si="104"/>
        <v>0</v>
      </c>
      <c r="K131" s="138">
        <f>K127*K118</f>
        <v>0</v>
      </c>
      <c r="L131" s="138">
        <f t="shared" ref="L131:P131" si="105">L127*L118</f>
        <v>0</v>
      </c>
      <c r="M131" s="138">
        <f t="shared" si="105"/>
        <v>5350</v>
      </c>
      <c r="N131" s="138">
        <f t="shared" si="105"/>
        <v>0</v>
      </c>
      <c r="O131" s="138">
        <f t="shared" si="105"/>
        <v>0</v>
      </c>
      <c r="P131" s="139">
        <f t="shared" si="105"/>
        <v>0</v>
      </c>
      <c r="Q131" s="132" t="s">
        <v>155</v>
      </c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</row>
    <row r="132" spans="4:37" ht="15" thickBot="1" x14ac:dyDescent="0.35">
      <c r="D132" s="48"/>
      <c r="E132" s="135" t="s">
        <v>76</v>
      </c>
      <c r="F132" s="136"/>
      <c r="G132" s="108">
        <f>G131+G130</f>
        <v>0</v>
      </c>
      <c r="H132" s="108">
        <f t="shared" ref="H132:P132" si="106">H131+H130</f>
        <v>0</v>
      </c>
      <c r="I132" s="108">
        <f t="shared" si="106"/>
        <v>0</v>
      </c>
      <c r="J132" s="108">
        <f t="shared" si="106"/>
        <v>0</v>
      </c>
      <c r="K132" s="108">
        <f t="shared" si="106"/>
        <v>0</v>
      </c>
      <c r="L132" s="108">
        <f t="shared" si="106"/>
        <v>0</v>
      </c>
      <c r="M132" s="108">
        <f t="shared" si="106"/>
        <v>5670</v>
      </c>
      <c r="N132" s="108">
        <f t="shared" si="106"/>
        <v>0</v>
      </c>
      <c r="O132" s="108">
        <f t="shared" si="106"/>
        <v>0</v>
      </c>
      <c r="P132" s="109">
        <f t="shared" si="106"/>
        <v>0</v>
      </c>
      <c r="Q132" s="132" t="s">
        <v>155</v>
      </c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</row>
    <row r="133" spans="4:37" x14ac:dyDescent="0.3">
      <c r="E133" s="137" t="s">
        <v>158</v>
      </c>
      <c r="F133" s="90"/>
      <c r="G133" s="138">
        <f t="shared" ref="G133:J133" si="107">G127*G121</f>
        <v>0</v>
      </c>
      <c r="H133" s="138">
        <f t="shared" si="107"/>
        <v>0</v>
      </c>
      <c r="I133" s="138">
        <f t="shared" si="107"/>
        <v>0</v>
      </c>
      <c r="J133" s="138">
        <f t="shared" si="107"/>
        <v>0</v>
      </c>
      <c r="K133" s="138">
        <f>K127*K121</f>
        <v>0</v>
      </c>
      <c r="L133" s="138">
        <f t="shared" ref="L133:P133" si="108">L127*L121</f>
        <v>0</v>
      </c>
      <c r="M133" s="138">
        <f t="shared" si="108"/>
        <v>10575</v>
      </c>
      <c r="N133" s="138">
        <f t="shared" si="108"/>
        <v>0</v>
      </c>
      <c r="O133" s="138">
        <f t="shared" si="108"/>
        <v>0</v>
      </c>
      <c r="P133" s="139">
        <f t="shared" si="108"/>
        <v>0</v>
      </c>
      <c r="Q133" s="132" t="s">
        <v>155</v>
      </c>
    </row>
    <row r="134" spans="4:37" ht="15" thickBot="1" x14ac:dyDescent="0.35">
      <c r="E134" s="135" t="s">
        <v>87</v>
      </c>
      <c r="F134" s="140"/>
      <c r="G134" s="141">
        <f>G133-G132</f>
        <v>0</v>
      </c>
      <c r="H134" s="141">
        <f>H133-H132</f>
        <v>0</v>
      </c>
      <c r="I134" s="141">
        <f t="shared" ref="I134:P134" si="109">I133-I132</f>
        <v>0</v>
      </c>
      <c r="J134" s="141">
        <f t="shared" si="109"/>
        <v>0</v>
      </c>
      <c r="K134" s="141">
        <f t="shared" si="109"/>
        <v>0</v>
      </c>
      <c r="L134" s="141">
        <f t="shared" si="109"/>
        <v>0</v>
      </c>
      <c r="M134" s="141">
        <f t="shared" si="109"/>
        <v>4905</v>
      </c>
      <c r="N134" s="141">
        <f t="shared" si="109"/>
        <v>0</v>
      </c>
      <c r="O134" s="141">
        <f t="shared" si="109"/>
        <v>0</v>
      </c>
      <c r="P134" s="143">
        <f t="shared" si="109"/>
        <v>0</v>
      </c>
      <c r="Q134" s="48" t="s">
        <v>62</v>
      </c>
      <c r="S134" s="132" t="s">
        <v>155</v>
      </c>
    </row>
    <row r="135" spans="4:37" ht="15" thickBot="1" x14ac:dyDescent="0.35">
      <c r="E135" s="144" t="s">
        <v>79</v>
      </c>
      <c r="F135" s="145"/>
      <c r="G135" s="146">
        <f t="shared" ref="G135:P135" si="110">G123-G134</f>
        <v>2800</v>
      </c>
      <c r="H135" s="146">
        <f t="shared" si="110"/>
        <v>14350</v>
      </c>
      <c r="I135" s="146">
        <f t="shared" si="110"/>
        <v>11220</v>
      </c>
      <c r="J135" s="146">
        <f t="shared" si="110"/>
        <v>11400</v>
      </c>
      <c r="K135" s="146">
        <f t="shared" si="110"/>
        <v>8615</v>
      </c>
      <c r="L135" s="146">
        <f t="shared" si="110"/>
        <v>12240</v>
      </c>
      <c r="M135" s="146">
        <f t="shared" si="110"/>
        <v>21910</v>
      </c>
      <c r="N135" s="146">
        <f t="shared" si="110"/>
        <v>2905</v>
      </c>
      <c r="O135" s="146">
        <f t="shared" si="110"/>
        <v>5890</v>
      </c>
      <c r="P135" s="147">
        <f t="shared" si="110"/>
        <v>6070</v>
      </c>
      <c r="Q135" s="132" t="s">
        <v>155</v>
      </c>
      <c r="AB135" s="167"/>
    </row>
    <row r="136" spans="4:37" x14ac:dyDescent="0.3">
      <c r="E136" s="148" t="s">
        <v>80</v>
      </c>
      <c r="F136" s="149"/>
      <c r="G136" s="150">
        <f t="shared" ref="G136:P136" si="111">G124/G114</f>
        <v>2.6666666666666665</v>
      </c>
      <c r="H136" s="150">
        <f t="shared" si="111"/>
        <v>0.66666666666666663</v>
      </c>
      <c r="I136" s="150">
        <f t="shared" si="111"/>
        <v>0.5</v>
      </c>
      <c r="J136" s="150">
        <f t="shared" si="111"/>
        <v>0.33333333333333331</v>
      </c>
      <c r="K136" s="150">
        <f t="shared" si="111"/>
        <v>0.22222222222222221</v>
      </c>
      <c r="L136" s="150">
        <f t="shared" si="111"/>
        <v>0.75</v>
      </c>
      <c r="M136" s="150">
        <f t="shared" si="111"/>
        <v>0.7407407407407407</v>
      </c>
      <c r="N136" s="150">
        <f t="shared" si="111"/>
        <v>1</v>
      </c>
      <c r="O136" s="150">
        <f t="shared" si="111"/>
        <v>0</v>
      </c>
      <c r="P136" s="150">
        <f t="shared" si="111"/>
        <v>0.33333333333333331</v>
      </c>
      <c r="AB136" s="167"/>
    </row>
    <row r="137" spans="4:37" x14ac:dyDescent="0.3">
      <c r="E137" s="148" t="s">
        <v>81</v>
      </c>
      <c r="F137" s="149"/>
      <c r="G137" s="150">
        <f t="shared" ref="G137:P137" si="112">G132/G120</f>
        <v>0</v>
      </c>
      <c r="H137" s="150">
        <f t="shared" si="112"/>
        <v>0</v>
      </c>
      <c r="I137" s="150">
        <f t="shared" si="112"/>
        <v>0</v>
      </c>
      <c r="J137" s="150">
        <f t="shared" si="112"/>
        <v>0</v>
      </c>
      <c r="K137" s="150">
        <f t="shared" si="112"/>
        <v>0</v>
      </c>
      <c r="L137" s="150">
        <f t="shared" si="112"/>
        <v>0</v>
      </c>
      <c r="M137" s="150">
        <f t="shared" si="112"/>
        <v>0.18719049191152196</v>
      </c>
      <c r="N137" s="150">
        <f t="shared" si="112"/>
        <v>0</v>
      </c>
      <c r="O137" s="150">
        <f t="shared" si="112"/>
        <v>0</v>
      </c>
      <c r="P137" s="150">
        <f t="shared" si="112"/>
        <v>0</v>
      </c>
      <c r="AB137" s="167"/>
    </row>
    <row r="138" spans="4:37" x14ac:dyDescent="0.3">
      <c r="E138" s="148" t="s">
        <v>82</v>
      </c>
      <c r="F138" s="151"/>
      <c r="G138" s="150">
        <f t="shared" ref="G138:P138" si="113">G134/G123</f>
        <v>0</v>
      </c>
      <c r="H138" s="150">
        <f t="shared" si="113"/>
        <v>0</v>
      </c>
      <c r="I138" s="150">
        <f t="shared" si="113"/>
        <v>0</v>
      </c>
      <c r="J138" s="150">
        <f t="shared" si="113"/>
        <v>0</v>
      </c>
      <c r="K138" s="150">
        <f t="shared" si="113"/>
        <v>0</v>
      </c>
      <c r="L138" s="150">
        <f t="shared" si="113"/>
        <v>0</v>
      </c>
      <c r="M138" s="150">
        <f t="shared" si="113"/>
        <v>0.18292000745851203</v>
      </c>
      <c r="N138" s="150">
        <f t="shared" si="113"/>
        <v>0</v>
      </c>
      <c r="O138" s="150">
        <f t="shared" si="113"/>
        <v>0</v>
      </c>
      <c r="P138" s="150">
        <f t="shared" si="113"/>
        <v>0</v>
      </c>
    </row>
    <row r="139" spans="4:37" x14ac:dyDescent="0.3">
      <c r="E139" s="181"/>
      <c r="F139" s="169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</row>
    <row r="140" spans="4:37" x14ac:dyDescent="0.3">
      <c r="E140" s="181"/>
      <c r="F140" s="169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56"/>
    </row>
    <row r="142" spans="4:37" x14ac:dyDescent="0.3">
      <c r="D142" s="182" t="s">
        <v>112</v>
      </c>
      <c r="E142" s="183" t="s">
        <v>137</v>
      </c>
      <c r="F142" s="184"/>
      <c r="G142" s="182"/>
    </row>
    <row r="143" spans="4:37" x14ac:dyDescent="0.3">
      <c r="E143" s="1" t="s">
        <v>111</v>
      </c>
      <c r="F143" s="5">
        <f>Supplier1!C5</f>
        <v>1</v>
      </c>
      <c r="G143" t="s">
        <v>34</v>
      </c>
    </row>
    <row r="144" spans="4:37" x14ac:dyDescent="0.3">
      <c r="E144" s="1" t="s">
        <v>110</v>
      </c>
      <c r="F144" s="6">
        <f>Supplier1!C7</f>
        <v>30</v>
      </c>
      <c r="G144" t="s">
        <v>35</v>
      </c>
      <c r="L144" s="269"/>
      <c r="O144" s="301" t="s">
        <v>138</v>
      </c>
      <c r="P144" s="301">
        <v>1</v>
      </c>
    </row>
    <row r="145" spans="5:17" x14ac:dyDescent="0.3">
      <c r="E145" s="1" t="s">
        <v>37</v>
      </c>
      <c r="F145" s="6">
        <f>Supplier1!C8</f>
        <v>30</v>
      </c>
      <c r="G145" t="s">
        <v>35</v>
      </c>
      <c r="O145" s="301"/>
      <c r="P145" s="301"/>
    </row>
    <row r="146" spans="5:17" x14ac:dyDescent="0.3">
      <c r="E146" s="1" t="s">
        <v>129</v>
      </c>
      <c r="F146" s="7">
        <f>Supplier1!C4</f>
        <v>210</v>
      </c>
      <c r="O146" s="301"/>
      <c r="P146" s="301"/>
    </row>
    <row r="147" spans="5:17" ht="16.2" customHeight="1" thickBot="1" x14ac:dyDescent="0.35">
      <c r="E147" s="1" t="s">
        <v>130</v>
      </c>
      <c r="F147" s="6" t="str">
        <f>Supplier1!C11</f>
        <v>Yes</v>
      </c>
      <c r="L147" s="52" t="s">
        <v>36</v>
      </c>
      <c r="O147" s="302"/>
      <c r="P147" s="302"/>
    </row>
    <row r="148" spans="5:17" ht="15" thickBot="1" x14ac:dyDescent="0.35">
      <c r="F148" s="53" t="s">
        <v>38</v>
      </c>
      <c r="G148" s="8" t="s">
        <v>0</v>
      </c>
      <c r="H148" s="8" t="s">
        <v>1</v>
      </c>
      <c r="I148" s="8" t="s">
        <v>91</v>
      </c>
      <c r="J148" s="8" t="s">
        <v>3</v>
      </c>
      <c r="K148" s="8" t="s">
        <v>4</v>
      </c>
      <c r="L148" s="8" t="s">
        <v>5</v>
      </c>
      <c r="M148" s="8" t="s">
        <v>6</v>
      </c>
      <c r="N148" s="8" t="s">
        <v>7</v>
      </c>
      <c r="O148" s="8" t="s">
        <v>8</v>
      </c>
      <c r="P148" s="9" t="s">
        <v>9</v>
      </c>
    </row>
    <row r="149" spans="5:17" x14ac:dyDescent="0.3">
      <c r="E149" s="270" t="s">
        <v>134</v>
      </c>
      <c r="F149" s="286"/>
      <c r="G149" s="282">
        <f>IF($Q$26 = "Choosing Supplier 1", IF($F$147="Yes", G23,0),0)</f>
        <v>40</v>
      </c>
      <c r="H149" s="282">
        <f t="shared" ref="H149:P149" si="114">IF($Q$26 = "Choosing Supplier 1", IF($F$147="Yes", H23,0),0)</f>
        <v>60</v>
      </c>
      <c r="I149" s="282">
        <f t="shared" si="114"/>
        <v>70</v>
      </c>
      <c r="J149" s="282">
        <f t="shared" si="114"/>
        <v>50</v>
      </c>
      <c r="K149" s="282">
        <f t="shared" si="114"/>
        <v>60</v>
      </c>
      <c r="L149" s="282">
        <f t="shared" si="114"/>
        <v>100</v>
      </c>
      <c r="M149" s="282">
        <f t="shared" si="114"/>
        <v>40</v>
      </c>
      <c r="N149" s="282">
        <f t="shared" si="114"/>
        <v>10</v>
      </c>
      <c r="O149" s="282">
        <f t="shared" si="114"/>
        <v>0</v>
      </c>
      <c r="P149" s="283">
        <f t="shared" si="114"/>
        <v>0</v>
      </c>
    </row>
    <row r="150" spans="5:17" x14ac:dyDescent="0.3">
      <c r="E150" s="270" t="s">
        <v>135</v>
      </c>
      <c r="F150" s="271"/>
      <c r="G150" s="272">
        <f>IF($Q$71 = "Choosing Supplier 1", IF($F$147="Yes", G68,0),0)</f>
        <v>20</v>
      </c>
      <c r="H150" s="272">
        <f t="shared" ref="H150:P150" si="115">IF($Q$71 = "Choosing Supplier 1", IF($F$147="Yes", H68,0),0)</f>
        <v>0</v>
      </c>
      <c r="I150" s="272">
        <f t="shared" si="115"/>
        <v>80</v>
      </c>
      <c r="J150" s="272">
        <f t="shared" si="115"/>
        <v>80</v>
      </c>
      <c r="K150" s="272">
        <f t="shared" si="115"/>
        <v>40</v>
      </c>
      <c r="L150" s="272">
        <f t="shared" si="115"/>
        <v>60</v>
      </c>
      <c r="M150" s="272">
        <f t="shared" si="115"/>
        <v>60</v>
      </c>
      <c r="N150" s="272">
        <f t="shared" si="115"/>
        <v>60</v>
      </c>
      <c r="O150" s="272">
        <f t="shared" si="115"/>
        <v>0</v>
      </c>
      <c r="P150" s="273">
        <f t="shared" si="115"/>
        <v>0</v>
      </c>
    </row>
    <row r="151" spans="5:17" ht="15" thickBot="1" x14ac:dyDescent="0.35">
      <c r="E151" s="270" t="s">
        <v>136</v>
      </c>
      <c r="F151" s="274"/>
      <c r="G151" s="275">
        <f>IF($Q$117 = "Choosing Supplier 1", IF($F$147="Yes", G114,0),0)</f>
        <v>15</v>
      </c>
      <c r="H151" s="275">
        <f t="shared" ref="H151:P151" si="116">IF($Q$117 = "Choosing Supplier 1", IF($F$147="Yes", H114,0),0)</f>
        <v>75</v>
      </c>
      <c r="I151" s="275">
        <f t="shared" si="116"/>
        <v>60</v>
      </c>
      <c r="J151" s="275">
        <f t="shared" si="116"/>
        <v>60</v>
      </c>
      <c r="K151" s="275">
        <f t="shared" si="116"/>
        <v>45</v>
      </c>
      <c r="L151" s="275">
        <f t="shared" si="116"/>
        <v>60</v>
      </c>
      <c r="M151" s="275">
        <f t="shared" si="116"/>
        <v>135</v>
      </c>
      <c r="N151" s="275">
        <f t="shared" si="116"/>
        <v>15</v>
      </c>
      <c r="O151" s="275">
        <f t="shared" si="116"/>
        <v>30</v>
      </c>
      <c r="P151" s="276">
        <f t="shared" si="116"/>
        <v>30</v>
      </c>
    </row>
    <row r="152" spans="5:17" x14ac:dyDescent="0.3">
      <c r="E152" s="185" t="s">
        <v>92</v>
      </c>
      <c r="F152" s="186"/>
      <c r="G152" s="287">
        <f>SUM(G149:G151)</f>
        <v>75</v>
      </c>
      <c r="H152" s="287">
        <f t="shared" ref="H152:P152" si="117">SUM(H149:H151)</f>
        <v>135</v>
      </c>
      <c r="I152" s="287">
        <f t="shared" si="117"/>
        <v>210</v>
      </c>
      <c r="J152" s="287">
        <f t="shared" si="117"/>
        <v>190</v>
      </c>
      <c r="K152" s="287">
        <f t="shared" si="117"/>
        <v>145</v>
      </c>
      <c r="L152" s="287">
        <f t="shared" si="117"/>
        <v>220</v>
      </c>
      <c r="M152" s="287">
        <f t="shared" si="117"/>
        <v>235</v>
      </c>
      <c r="N152" s="287">
        <f t="shared" si="117"/>
        <v>85</v>
      </c>
      <c r="O152" s="287">
        <f t="shared" si="117"/>
        <v>30</v>
      </c>
      <c r="P152" s="288">
        <f t="shared" si="117"/>
        <v>30</v>
      </c>
    </row>
    <row r="153" spans="5:17" x14ac:dyDescent="0.3">
      <c r="E153" s="189" t="s">
        <v>93</v>
      </c>
      <c r="F153" s="190"/>
      <c r="G153" s="191"/>
      <c r="H153" s="191"/>
      <c r="I153" s="191"/>
      <c r="J153" s="191"/>
      <c r="K153" s="191"/>
      <c r="L153" s="191"/>
      <c r="M153" s="191"/>
      <c r="N153" s="191"/>
      <c r="O153" s="191"/>
      <c r="P153" s="192"/>
    </row>
    <row r="154" spans="5:17" x14ac:dyDescent="0.3">
      <c r="E154" s="174" t="s">
        <v>94</v>
      </c>
      <c r="F154" s="35">
        <f>Supplier1!C9</f>
        <v>50</v>
      </c>
      <c r="G154" s="68">
        <f t="shared" ref="G154:P154" si="118">F154+G156-G152</f>
        <v>35</v>
      </c>
      <c r="H154" s="68">
        <f t="shared" si="118"/>
        <v>50</v>
      </c>
      <c r="I154" s="68">
        <f t="shared" si="118"/>
        <v>50</v>
      </c>
      <c r="J154" s="68">
        <f t="shared" si="118"/>
        <v>40</v>
      </c>
      <c r="K154" s="68">
        <f t="shared" si="118"/>
        <v>45</v>
      </c>
      <c r="L154" s="68">
        <f t="shared" si="118"/>
        <v>35</v>
      </c>
      <c r="M154" s="68">
        <f t="shared" si="118"/>
        <v>40</v>
      </c>
      <c r="N154" s="68">
        <f t="shared" si="118"/>
        <v>45</v>
      </c>
      <c r="O154" s="68">
        <f t="shared" si="118"/>
        <v>45</v>
      </c>
      <c r="P154" s="69">
        <f t="shared" si="118"/>
        <v>45</v>
      </c>
    </row>
    <row r="155" spans="5:17" x14ac:dyDescent="0.3">
      <c r="E155" s="174" t="s">
        <v>95</v>
      </c>
      <c r="F155" s="71"/>
      <c r="G155" s="68">
        <f t="shared" ref="G155:P155" si="119">IF(F154-G152&lt;=$F$145, G152-F154+$F$145,0)</f>
        <v>55</v>
      </c>
      <c r="H155" s="68">
        <f t="shared" si="119"/>
        <v>130</v>
      </c>
      <c r="I155" s="68">
        <f t="shared" si="119"/>
        <v>190</v>
      </c>
      <c r="J155" s="68">
        <f t="shared" si="119"/>
        <v>170</v>
      </c>
      <c r="K155" s="68">
        <f t="shared" si="119"/>
        <v>135</v>
      </c>
      <c r="L155" s="68">
        <f t="shared" si="119"/>
        <v>205</v>
      </c>
      <c r="M155" s="68">
        <f t="shared" si="119"/>
        <v>230</v>
      </c>
      <c r="N155" s="68">
        <f t="shared" si="119"/>
        <v>75</v>
      </c>
      <c r="O155" s="68">
        <f t="shared" si="119"/>
        <v>15</v>
      </c>
      <c r="P155" s="69">
        <f t="shared" si="119"/>
        <v>15</v>
      </c>
    </row>
    <row r="156" spans="5:17" x14ac:dyDescent="0.3">
      <c r="E156" s="177" t="s">
        <v>96</v>
      </c>
      <c r="F156" s="71"/>
      <c r="G156" s="68">
        <f xml:space="preserve"> CEILING(G155/$F$144,1)*$F$144</f>
        <v>60</v>
      </c>
      <c r="H156" s="68">
        <f t="shared" ref="H156:P156" si="120" xml:space="preserve"> CEILING(H155/$F$144,1)*$F$144</f>
        <v>150</v>
      </c>
      <c r="I156" s="68">
        <f t="shared" si="120"/>
        <v>210</v>
      </c>
      <c r="J156" s="68">
        <f t="shared" si="120"/>
        <v>180</v>
      </c>
      <c r="K156" s="68">
        <f t="shared" si="120"/>
        <v>150</v>
      </c>
      <c r="L156" s="68">
        <f t="shared" si="120"/>
        <v>210</v>
      </c>
      <c r="M156" s="68">
        <f t="shared" si="120"/>
        <v>240</v>
      </c>
      <c r="N156" s="68">
        <f t="shared" si="120"/>
        <v>90</v>
      </c>
      <c r="O156" s="68">
        <f t="shared" si="120"/>
        <v>30</v>
      </c>
      <c r="P156" s="69">
        <f t="shared" si="120"/>
        <v>30</v>
      </c>
    </row>
    <row r="157" spans="5:17" ht="15" thickBot="1" x14ac:dyDescent="0.35">
      <c r="E157" s="193" t="s">
        <v>97</v>
      </c>
      <c r="F157" s="194"/>
      <c r="G157" s="195">
        <f>H156</f>
        <v>150</v>
      </c>
      <c r="H157" s="195">
        <f>I156</f>
        <v>210</v>
      </c>
      <c r="I157" s="195">
        <f t="shared" ref="I157:P157" si="121">J156</f>
        <v>180</v>
      </c>
      <c r="J157" s="195">
        <f t="shared" si="121"/>
        <v>150</v>
      </c>
      <c r="K157" s="195">
        <f t="shared" si="121"/>
        <v>210</v>
      </c>
      <c r="L157" s="195">
        <f t="shared" si="121"/>
        <v>240</v>
      </c>
      <c r="M157" s="195">
        <f t="shared" si="121"/>
        <v>90</v>
      </c>
      <c r="N157" s="195">
        <f t="shared" si="121"/>
        <v>30</v>
      </c>
      <c r="O157" s="195">
        <f t="shared" si="121"/>
        <v>30</v>
      </c>
      <c r="P157" s="196">
        <f t="shared" si="121"/>
        <v>0</v>
      </c>
      <c r="Q157" s="132"/>
    </row>
    <row r="158" spans="5:17" ht="15" thickBot="1" x14ac:dyDescent="0.35">
      <c r="E158" s="197" t="s">
        <v>98</v>
      </c>
      <c r="F158" s="198"/>
      <c r="G158" s="199">
        <f>IF(G155&gt;$F$146,G155-$F$146,0)</f>
        <v>0</v>
      </c>
      <c r="H158" s="199">
        <f t="shared" ref="H158:P159" si="122">IF(H155&gt;$F$146,H155-$F$146,0)</f>
        <v>0</v>
      </c>
      <c r="I158" s="199">
        <f>IF(I155&gt;$F$146,I155-$F$146,0)</f>
        <v>0</v>
      </c>
      <c r="J158" s="199">
        <f t="shared" si="122"/>
        <v>0</v>
      </c>
      <c r="K158" s="199">
        <f>IF(K155&gt;$F$146,K155-$F$146,0)</f>
        <v>0</v>
      </c>
      <c r="L158" s="199">
        <f t="shared" si="122"/>
        <v>0</v>
      </c>
      <c r="M158" s="199">
        <f t="shared" si="122"/>
        <v>20</v>
      </c>
      <c r="N158" s="199">
        <f t="shared" si="122"/>
        <v>0</v>
      </c>
      <c r="O158" s="199">
        <f t="shared" si="122"/>
        <v>0</v>
      </c>
      <c r="P158" s="200">
        <f t="shared" si="122"/>
        <v>0</v>
      </c>
      <c r="Q158" s="132"/>
    </row>
    <row r="159" spans="5:17" ht="15" thickBot="1" x14ac:dyDescent="0.35">
      <c r="E159" s="197" t="s">
        <v>99</v>
      </c>
      <c r="F159" s="198"/>
      <c r="G159" s="199">
        <f>IF(G156&gt;$F$146,G156-$F$146,0)</f>
        <v>0</v>
      </c>
      <c r="H159" s="199">
        <f t="shared" si="122"/>
        <v>0</v>
      </c>
      <c r="I159" s="199">
        <f>IF(I156&gt;$F$146,I156-$F$146,0)</f>
        <v>0</v>
      </c>
      <c r="J159" s="199">
        <f t="shared" si="122"/>
        <v>0</v>
      </c>
      <c r="K159" s="199">
        <f t="shared" si="122"/>
        <v>0</v>
      </c>
      <c r="L159" s="199">
        <f t="shared" si="122"/>
        <v>0</v>
      </c>
      <c r="M159" s="199">
        <f t="shared" si="122"/>
        <v>30</v>
      </c>
      <c r="N159" s="199">
        <f t="shared" si="122"/>
        <v>0</v>
      </c>
      <c r="O159" s="199">
        <f t="shared" si="122"/>
        <v>0</v>
      </c>
      <c r="P159" s="200">
        <f t="shared" si="122"/>
        <v>0</v>
      </c>
      <c r="Q159" s="132"/>
    </row>
    <row r="160" spans="5:17" x14ac:dyDescent="0.3">
      <c r="I160" s="201"/>
      <c r="J160" s="202"/>
    </row>
    <row r="161" spans="4:19" x14ac:dyDescent="0.3">
      <c r="I161" s="201"/>
      <c r="J161" s="202"/>
    </row>
    <row r="162" spans="4:19" x14ac:dyDescent="0.3">
      <c r="I162" s="201"/>
      <c r="J162" s="202"/>
    </row>
    <row r="163" spans="4:19" x14ac:dyDescent="0.3">
      <c r="D163" s="182" t="s">
        <v>113</v>
      </c>
      <c r="E163" s="183" t="s">
        <v>90</v>
      </c>
      <c r="F163" s="184"/>
      <c r="G163" s="277"/>
    </row>
    <row r="164" spans="4:19" ht="14.4" customHeight="1" x14ac:dyDescent="0.3">
      <c r="E164" s="1" t="s">
        <v>111</v>
      </c>
      <c r="F164" s="5">
        <f>Supplier2!C5</f>
        <v>1</v>
      </c>
      <c r="G164" t="s">
        <v>34</v>
      </c>
    </row>
    <row r="165" spans="4:19" ht="14.4" customHeight="1" x14ac:dyDescent="0.3">
      <c r="E165" s="1" t="s">
        <v>110</v>
      </c>
      <c r="F165" s="6">
        <f>Supplier2!C7</f>
        <v>50</v>
      </c>
      <c r="G165" t="s">
        <v>35</v>
      </c>
      <c r="O165" s="301" t="s">
        <v>138</v>
      </c>
      <c r="P165" s="301">
        <v>2</v>
      </c>
    </row>
    <row r="166" spans="4:19" ht="14.4" customHeight="1" x14ac:dyDescent="0.3">
      <c r="E166" s="1" t="s">
        <v>37</v>
      </c>
      <c r="F166" s="6">
        <f>Supplier2!C8</f>
        <v>40</v>
      </c>
      <c r="G166" t="s">
        <v>35</v>
      </c>
      <c r="O166" s="301"/>
      <c r="P166" s="301"/>
    </row>
    <row r="167" spans="4:19" ht="15" customHeight="1" x14ac:dyDescent="0.3">
      <c r="E167" s="1" t="s">
        <v>129</v>
      </c>
      <c r="F167" s="7">
        <f>Supplier2!C4</f>
        <v>200</v>
      </c>
      <c r="O167" s="301"/>
      <c r="P167" s="301"/>
    </row>
    <row r="168" spans="4:19" ht="16.8" customHeight="1" thickBot="1" x14ac:dyDescent="0.35">
      <c r="E168" s="1" t="s">
        <v>130</v>
      </c>
      <c r="F168" s="6" t="str">
        <f>Supplier2!C11</f>
        <v>No</v>
      </c>
      <c r="L168" s="52" t="s">
        <v>36</v>
      </c>
      <c r="O168" s="302"/>
      <c r="P168" s="302"/>
    </row>
    <row r="169" spans="4:19" ht="15" thickBot="1" x14ac:dyDescent="0.35">
      <c r="F169" s="278" t="s">
        <v>38</v>
      </c>
      <c r="G169" s="279" t="s">
        <v>0</v>
      </c>
      <c r="H169" s="279" t="s">
        <v>1</v>
      </c>
      <c r="I169" s="279" t="s">
        <v>91</v>
      </c>
      <c r="J169" s="279" t="s">
        <v>3</v>
      </c>
      <c r="K169" s="279" t="s">
        <v>4</v>
      </c>
      <c r="L169" s="279" t="s">
        <v>5</v>
      </c>
      <c r="M169" s="279" t="s">
        <v>6</v>
      </c>
      <c r="N169" s="279" t="s">
        <v>7</v>
      </c>
      <c r="O169" s="279" t="s">
        <v>8</v>
      </c>
      <c r="P169" s="280" t="s">
        <v>9</v>
      </c>
    </row>
    <row r="170" spans="4:19" x14ac:dyDescent="0.3">
      <c r="E170" s="270" t="s">
        <v>134</v>
      </c>
      <c r="F170" s="281"/>
      <c r="G170" s="282">
        <f>IF($Q$26 = "Choosing Supplier 2", IF($F$168="Yes", G23,0),0)</f>
        <v>0</v>
      </c>
      <c r="H170" s="282">
        <f t="shared" ref="H170:P170" si="123">IF($Q$26 = "Choosing Supplier 2", IF($F$168="Yes", H23,0),0)</f>
        <v>0</v>
      </c>
      <c r="I170" s="282">
        <f t="shared" si="123"/>
        <v>0</v>
      </c>
      <c r="J170" s="282">
        <f t="shared" si="123"/>
        <v>0</v>
      </c>
      <c r="K170" s="282">
        <f t="shared" si="123"/>
        <v>0</v>
      </c>
      <c r="L170" s="282">
        <f t="shared" si="123"/>
        <v>0</v>
      </c>
      <c r="M170" s="282">
        <f t="shared" si="123"/>
        <v>0</v>
      </c>
      <c r="N170" s="282">
        <f t="shared" si="123"/>
        <v>0</v>
      </c>
      <c r="O170" s="282">
        <f t="shared" si="123"/>
        <v>0</v>
      </c>
      <c r="P170" s="283">
        <f t="shared" si="123"/>
        <v>0</v>
      </c>
      <c r="R170" t="s">
        <v>145</v>
      </c>
      <c r="S170" t="s">
        <v>144</v>
      </c>
    </row>
    <row r="171" spans="4:19" x14ac:dyDescent="0.3">
      <c r="E171" s="270" t="s">
        <v>135</v>
      </c>
      <c r="F171" s="284"/>
      <c r="G171" s="272">
        <f>IF($Q$71 = "Choosing Supplier 2", IF($F$168="Yes", G68,0),0)</f>
        <v>0</v>
      </c>
      <c r="H171" s="272">
        <f t="shared" ref="H171:P171" si="124">IF($Q$71 = "Choosing Supplier 2", IF($F$168="Yes", H68,0),0)</f>
        <v>0</v>
      </c>
      <c r="I171" s="272">
        <f t="shared" si="124"/>
        <v>0</v>
      </c>
      <c r="J171" s="272">
        <f t="shared" si="124"/>
        <v>0</v>
      </c>
      <c r="K171" s="272">
        <f t="shared" si="124"/>
        <v>0</v>
      </c>
      <c r="L171" s="272">
        <f t="shared" si="124"/>
        <v>0</v>
      </c>
      <c r="M171" s="272">
        <f t="shared" si="124"/>
        <v>0</v>
      </c>
      <c r="N171" s="272">
        <f t="shared" si="124"/>
        <v>0</v>
      </c>
      <c r="O171" s="272">
        <f t="shared" si="124"/>
        <v>0</v>
      </c>
      <c r="P171" s="273">
        <f t="shared" si="124"/>
        <v>0</v>
      </c>
      <c r="R171" t="s">
        <v>146</v>
      </c>
      <c r="S171" t="s">
        <v>148</v>
      </c>
    </row>
    <row r="172" spans="4:19" ht="15" thickBot="1" x14ac:dyDescent="0.35">
      <c r="E172" s="270" t="s">
        <v>136</v>
      </c>
      <c r="F172" s="285"/>
      <c r="G172" s="275">
        <f>IF($Q$117 = "Choosing Supplier 2", IF($F$168="Yes", G114,0),0)</f>
        <v>0</v>
      </c>
      <c r="H172" s="275">
        <f t="shared" ref="H172:P172" si="125">IF($Q$117 = "Choosing Supplier 2", IF($F$168="Yes", H114,0),0)</f>
        <v>0</v>
      </c>
      <c r="I172" s="275">
        <f t="shared" si="125"/>
        <v>0</v>
      </c>
      <c r="J172" s="275">
        <f t="shared" si="125"/>
        <v>0</v>
      </c>
      <c r="K172" s="275">
        <f t="shared" si="125"/>
        <v>0</v>
      </c>
      <c r="L172" s="275">
        <f t="shared" si="125"/>
        <v>0</v>
      </c>
      <c r="M172" s="275">
        <f t="shared" si="125"/>
        <v>0</v>
      </c>
      <c r="N172" s="275">
        <f t="shared" si="125"/>
        <v>0</v>
      </c>
      <c r="O172" s="275">
        <f t="shared" si="125"/>
        <v>0</v>
      </c>
      <c r="P172" s="276">
        <f t="shared" si="125"/>
        <v>0</v>
      </c>
      <c r="R172" t="s">
        <v>147</v>
      </c>
      <c r="S172" t="s">
        <v>149</v>
      </c>
    </row>
    <row r="173" spans="4:19" x14ac:dyDescent="0.3">
      <c r="E173" s="185" t="s">
        <v>139</v>
      </c>
      <c r="F173" s="186"/>
      <c r="G173" s="187">
        <f>SUM(G170:G172)</f>
        <v>0</v>
      </c>
      <c r="H173" s="187">
        <f t="shared" ref="H173:P173" si="126">SUM(H170:H172)</f>
        <v>0</v>
      </c>
      <c r="I173" s="187">
        <f t="shared" si="126"/>
        <v>0</v>
      </c>
      <c r="J173" s="187">
        <f t="shared" si="126"/>
        <v>0</v>
      </c>
      <c r="K173" s="187">
        <f t="shared" si="126"/>
        <v>0</v>
      </c>
      <c r="L173" s="187">
        <f t="shared" si="126"/>
        <v>0</v>
      </c>
      <c r="M173" s="187">
        <f t="shared" si="126"/>
        <v>0</v>
      </c>
      <c r="N173" s="187">
        <f t="shared" si="126"/>
        <v>0</v>
      </c>
      <c r="O173" s="187">
        <f t="shared" si="126"/>
        <v>0</v>
      </c>
      <c r="P173" s="188">
        <f t="shared" si="126"/>
        <v>0</v>
      </c>
    </row>
    <row r="174" spans="4:19" x14ac:dyDescent="0.3">
      <c r="E174" s="189" t="s">
        <v>93</v>
      </c>
      <c r="F174" s="190"/>
      <c r="G174" s="191"/>
      <c r="H174" s="191"/>
      <c r="I174" s="191"/>
      <c r="J174" s="191"/>
      <c r="K174" s="191"/>
      <c r="L174" s="191"/>
      <c r="M174" s="191"/>
      <c r="N174" s="191"/>
      <c r="O174" s="191"/>
      <c r="P174" s="192"/>
    </row>
    <row r="175" spans="4:19" x14ac:dyDescent="0.3">
      <c r="E175" s="174" t="s">
        <v>94</v>
      </c>
      <c r="F175" s="67">
        <f>Supplier2!C9</f>
        <v>60</v>
      </c>
      <c r="G175" s="68">
        <f t="shared" ref="G175" si="127">F175+G177-G173</f>
        <v>60</v>
      </c>
      <c r="H175" s="68">
        <f t="shared" ref="H175" si="128">G175+H177-H173</f>
        <v>60</v>
      </c>
      <c r="I175" s="68">
        <f t="shared" ref="I175" si="129">H175+I177-I173</f>
        <v>60</v>
      </c>
      <c r="J175" s="68">
        <f t="shared" ref="J175" si="130">I175+J177-J173</f>
        <v>60</v>
      </c>
      <c r="K175" s="68">
        <f t="shared" ref="K175" si="131">J175+K177-K173</f>
        <v>60</v>
      </c>
      <c r="L175" s="68">
        <f t="shared" ref="L175" si="132">K175+L177-L173</f>
        <v>60</v>
      </c>
      <c r="M175" s="68">
        <f t="shared" ref="M175" si="133">L175+M177-M173</f>
        <v>60</v>
      </c>
      <c r="N175" s="68">
        <f t="shared" ref="N175" si="134">M175+N177-N173</f>
        <v>60</v>
      </c>
      <c r="O175" s="68">
        <f t="shared" ref="O175" si="135">N175+O177-O173</f>
        <v>60</v>
      </c>
      <c r="P175" s="69">
        <f t="shared" ref="P175" si="136">O175+P177-P173</f>
        <v>60</v>
      </c>
    </row>
    <row r="176" spans="4:19" x14ac:dyDescent="0.3">
      <c r="E176" s="174" t="s">
        <v>95</v>
      </c>
      <c r="F176" s="71"/>
      <c r="G176" s="68">
        <f t="shared" ref="G176:I176" si="137">IF(F175-G173&lt;=$F$166, G173-F175+$F$166,0)</f>
        <v>0</v>
      </c>
      <c r="H176" s="68">
        <f t="shared" si="137"/>
        <v>0</v>
      </c>
      <c r="I176" s="68">
        <f t="shared" si="137"/>
        <v>0</v>
      </c>
      <c r="J176" s="68">
        <f>IF(I175-J173&lt;=$F$166, J173-I175+$F$166,0)</f>
        <v>0</v>
      </c>
      <c r="K176" s="68">
        <f t="shared" ref="K176:P176" si="138">IF(J175-K173&lt;=$F$166, K173-J175+$F$166,0)</f>
        <v>0</v>
      </c>
      <c r="L176" s="68">
        <f t="shared" si="138"/>
        <v>0</v>
      </c>
      <c r="M176" s="68">
        <f t="shared" si="138"/>
        <v>0</v>
      </c>
      <c r="N176" s="68">
        <f t="shared" si="138"/>
        <v>0</v>
      </c>
      <c r="O176" s="68">
        <f t="shared" si="138"/>
        <v>0</v>
      </c>
      <c r="P176" s="69">
        <f t="shared" si="138"/>
        <v>0</v>
      </c>
    </row>
    <row r="177" spans="3:16" x14ac:dyDescent="0.3">
      <c r="E177" s="177" t="s">
        <v>96</v>
      </c>
      <c r="F177" s="71"/>
      <c r="G177" s="68">
        <f xml:space="preserve"> CEILING(G176/$F$144,1)*$F$144</f>
        <v>0</v>
      </c>
      <c r="H177" s="68">
        <f t="shared" ref="H177:P177" si="139" xml:space="preserve"> CEILING(H176/$F$144,1)*$F$144</f>
        <v>0</v>
      </c>
      <c r="I177" s="68">
        <f t="shared" si="139"/>
        <v>0</v>
      </c>
      <c r="J177" s="68">
        <f t="shared" si="139"/>
        <v>0</v>
      </c>
      <c r="K177" s="68">
        <f t="shared" si="139"/>
        <v>0</v>
      </c>
      <c r="L177" s="68">
        <f t="shared" si="139"/>
        <v>0</v>
      </c>
      <c r="M177" s="68">
        <f t="shared" si="139"/>
        <v>0</v>
      </c>
      <c r="N177" s="68">
        <f t="shared" si="139"/>
        <v>0</v>
      </c>
      <c r="O177" s="68">
        <f t="shared" si="139"/>
        <v>0</v>
      </c>
      <c r="P177" s="69">
        <f t="shared" si="139"/>
        <v>0</v>
      </c>
    </row>
    <row r="178" spans="3:16" ht="15" thickBot="1" x14ac:dyDescent="0.35">
      <c r="E178" s="193" t="s">
        <v>97</v>
      </c>
      <c r="F178" s="194"/>
      <c r="G178" s="195">
        <f>H177</f>
        <v>0</v>
      </c>
      <c r="H178" s="195">
        <f>I177</f>
        <v>0</v>
      </c>
      <c r="I178" s="195">
        <f t="shared" ref="I178" si="140">J177</f>
        <v>0</v>
      </c>
      <c r="J178" s="195">
        <f t="shared" ref="J178" si="141">K177</f>
        <v>0</v>
      </c>
      <c r="K178" s="195">
        <f t="shared" ref="K178" si="142">L177</f>
        <v>0</v>
      </c>
      <c r="L178" s="195">
        <f t="shared" ref="L178" si="143">M177</f>
        <v>0</v>
      </c>
      <c r="M178" s="195">
        <f t="shared" ref="M178" si="144">N177</f>
        <v>0</v>
      </c>
      <c r="N178" s="195">
        <f t="shared" ref="N178" si="145">O177</f>
        <v>0</v>
      </c>
      <c r="O178" s="195">
        <f t="shared" ref="O178" si="146">P177</f>
        <v>0</v>
      </c>
      <c r="P178" s="196">
        <f t="shared" ref="P178" si="147">Q177</f>
        <v>0</v>
      </c>
    </row>
    <row r="179" spans="3:16" ht="15" thickBot="1" x14ac:dyDescent="0.35">
      <c r="C179" t="s">
        <v>140</v>
      </c>
      <c r="E179" s="197" t="s">
        <v>141</v>
      </c>
      <c r="F179" s="198"/>
      <c r="G179" s="199">
        <f>IF(G176&gt;$F$167,G176-$F$167,0)</f>
        <v>0</v>
      </c>
      <c r="H179" s="199">
        <f t="shared" ref="H179:P179" si="148">IF(H176&gt;$F$167,H176-$F$167,0)</f>
        <v>0</v>
      </c>
      <c r="I179" s="199">
        <f t="shared" si="148"/>
        <v>0</v>
      </c>
      <c r="J179" s="199">
        <f t="shared" si="148"/>
        <v>0</v>
      </c>
      <c r="K179" s="199">
        <f t="shared" si="148"/>
        <v>0</v>
      </c>
      <c r="L179" s="199">
        <f t="shared" si="148"/>
        <v>0</v>
      </c>
      <c r="M179" s="199">
        <f t="shared" si="148"/>
        <v>0</v>
      </c>
      <c r="N179" s="199">
        <f t="shared" si="148"/>
        <v>0</v>
      </c>
      <c r="O179" s="199">
        <f t="shared" si="148"/>
        <v>0</v>
      </c>
      <c r="P179" s="200">
        <f t="shared" si="148"/>
        <v>0</v>
      </c>
    </row>
    <row r="180" spans="3:16" ht="15" thickBot="1" x14ac:dyDescent="0.35">
      <c r="E180" s="197" t="s">
        <v>99</v>
      </c>
      <c r="F180" s="198"/>
      <c r="G180" s="199">
        <f>IF(G177&gt;$F$167,G177-$F$167,0)</f>
        <v>0</v>
      </c>
      <c r="H180" s="199">
        <f t="shared" ref="H180:P180" si="149">IF(H177&gt;$F$167,H177-$F$167,0)</f>
        <v>0</v>
      </c>
      <c r="I180" s="199">
        <f t="shared" si="149"/>
        <v>0</v>
      </c>
      <c r="J180" s="199">
        <f t="shared" si="149"/>
        <v>0</v>
      </c>
      <c r="K180" s="199">
        <f t="shared" si="149"/>
        <v>0</v>
      </c>
      <c r="L180" s="199">
        <f t="shared" si="149"/>
        <v>0</v>
      </c>
      <c r="M180" s="199">
        <f t="shared" si="149"/>
        <v>0</v>
      </c>
      <c r="N180" s="199">
        <f t="shared" si="149"/>
        <v>0</v>
      </c>
      <c r="O180" s="199">
        <f t="shared" si="149"/>
        <v>0</v>
      </c>
      <c r="P180" s="200">
        <f t="shared" si="149"/>
        <v>0</v>
      </c>
    </row>
    <row r="181" spans="3:16" x14ac:dyDescent="0.3">
      <c r="I181" s="201"/>
      <c r="J181" s="202"/>
    </row>
    <row r="182" spans="3:16" x14ac:dyDescent="0.3">
      <c r="I182" s="201"/>
      <c r="J182" s="202"/>
    </row>
    <row r="183" spans="3:16" x14ac:dyDescent="0.3">
      <c r="I183" s="201"/>
      <c r="J183" s="202"/>
    </row>
    <row r="184" spans="3:16" x14ac:dyDescent="0.3">
      <c r="I184" s="201"/>
      <c r="J184" s="202"/>
    </row>
    <row r="185" spans="3:16" x14ac:dyDescent="0.3">
      <c r="I185" s="203">
        <f>MIN(I134,I88,I43)</f>
        <v>0</v>
      </c>
      <c r="J185" s="202"/>
    </row>
    <row r="186" spans="3:16" x14ac:dyDescent="0.3">
      <c r="I186" s="201"/>
      <c r="J186" s="202"/>
    </row>
    <row r="187" spans="3:16" x14ac:dyDescent="0.3">
      <c r="D187" s="47" t="s">
        <v>100</v>
      </c>
      <c r="I187" s="204" t="s">
        <v>101</v>
      </c>
    </row>
    <row r="188" spans="3:16" x14ac:dyDescent="0.3">
      <c r="D188" t="s">
        <v>102</v>
      </c>
      <c r="I188" s="47" t="s">
        <v>103</v>
      </c>
    </row>
    <row r="189" spans="3:16" x14ac:dyDescent="0.3">
      <c r="D189" t="s">
        <v>104</v>
      </c>
    </row>
    <row r="190" spans="3:16" x14ac:dyDescent="0.3">
      <c r="D190" t="s">
        <v>105</v>
      </c>
    </row>
    <row r="191" spans="3:16" x14ac:dyDescent="0.3">
      <c r="D191" s="205" t="s">
        <v>106</v>
      </c>
      <c r="E191" s="47" t="s">
        <v>107</v>
      </c>
      <c r="I191" s="204" t="s">
        <v>108</v>
      </c>
    </row>
    <row r="192" spans="3:16" x14ac:dyDescent="0.3">
      <c r="I192" s="47" t="s">
        <v>109</v>
      </c>
    </row>
  </sheetData>
  <mergeCells count="7">
    <mergeCell ref="O165:O168"/>
    <mergeCell ref="P165:P168"/>
    <mergeCell ref="O144:O147"/>
    <mergeCell ref="P144:P147"/>
    <mergeCell ref="P9:P12"/>
    <mergeCell ref="P54:P57"/>
    <mergeCell ref="P100:P103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K25" sqref="K25"/>
    </sheetView>
  </sheetViews>
  <sheetFormatPr defaultRowHeight="14.4" x14ac:dyDescent="0.3"/>
  <cols>
    <col min="2" max="2" width="9.77734375" customWidth="1"/>
  </cols>
  <sheetData>
    <row r="1" spans="1:4" x14ac:dyDescent="0.3">
      <c r="A1" t="s">
        <v>132</v>
      </c>
      <c r="D1" t="s">
        <v>131</v>
      </c>
    </row>
    <row r="2" spans="1:4" x14ac:dyDescent="0.3">
      <c r="A2" t="s">
        <v>159</v>
      </c>
      <c r="D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DC1</vt:lpstr>
      <vt:lpstr>DC2</vt:lpstr>
      <vt:lpstr>DC3</vt:lpstr>
      <vt:lpstr>Supplier1</vt:lpstr>
      <vt:lpstr>Supplier2</vt:lpstr>
      <vt:lpstr>DRP simul</vt:lpstr>
      <vt:lpstr>DRP simul YY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2020-10-09T07:16:25Z</dcterms:modified>
</cp:coreProperties>
</file>