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vaccine_supdemand\"/>
    </mc:Choice>
  </mc:AlternateContent>
  <xr:revisionPtr revIDLastSave="0" documentId="13_ncr:1_{7561285A-330D-4D0E-AEEE-1653E422A269}" xr6:coauthVersionLast="45" xr6:coauthVersionMax="45" xr10:uidLastSave="{00000000-0000-0000-0000-000000000000}"/>
  <bookViews>
    <workbookView xWindow="28680" yWindow="-120" windowWidth="29040" windowHeight="15840" tabRatio="723" firstSheet="1" activeTab="2" xr2:uid="{00000000-000D-0000-FFFF-FFFF00000000}"/>
  </bookViews>
  <sheets>
    <sheet name="Indv Hosp fcast_2_10" sheetId="37" r:id="rId1"/>
    <sheet name="Forecast_Consolidated_3_9b" sheetId="21" r:id="rId2"/>
    <sheet name="drp_push2" sheetId="63" r:id="rId3"/>
    <sheet name="Sheet1" sheetId="62" r:id="rId4"/>
    <sheet name="Contract" sheetId="56" r:id="rId5"/>
    <sheet name="MOH_Sourcing plan_1_4_9a" sheetId="36" r:id="rId6"/>
    <sheet name="Indv supp plan_7_8" sheetId="38" r:id="rId7"/>
    <sheet name="Supplier DRP" sheetId="45" r:id="rId8"/>
    <sheet name="Scheduling" sheetId="44" r:id="rId9"/>
    <sheet name="Inv Simulation - Melaka" sheetId="57" r:id="rId10"/>
    <sheet name="Inv Simulation - HS1" sheetId="51" r:id="rId11"/>
    <sheet name="Inv Simulation - HS1 (R)" sheetId="53" r:id="rId12"/>
    <sheet name="Inv Simulation - HS2" sheetId="43" r:id="rId13"/>
    <sheet name="Inv Simulation - HS3" sheetId="50" r:id="rId14"/>
    <sheet name="TruckSchedule" sheetId="60" r:id="rId15"/>
    <sheet name="Selection" sheetId="5" r:id="rId16"/>
    <sheet name="DRP-Push" sheetId="42" r:id="rId17"/>
    <sheet name="DRP Pull" sheetId="55" r:id="rId18"/>
  </sheets>
  <externalReferences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63" l="1"/>
  <c r="J31" i="63"/>
  <c r="K31" i="63"/>
  <c r="L31" i="63"/>
  <c r="M31" i="63"/>
  <c r="N31" i="63"/>
  <c r="O31" i="63"/>
  <c r="P31" i="63"/>
  <c r="Q31" i="63"/>
  <c r="R31" i="63"/>
  <c r="H31" i="63"/>
  <c r="H30" i="63" s="1"/>
  <c r="I30" i="63" s="1"/>
  <c r="J30" i="63" s="1"/>
  <c r="K30" i="63" s="1"/>
  <c r="H58" i="63"/>
  <c r="I58" i="63" s="1"/>
  <c r="J58" i="63" s="1"/>
  <c r="K58" i="63" s="1"/>
  <c r="L58" i="63" s="1"/>
  <c r="M58" i="63" s="1"/>
  <c r="N58" i="63" s="1"/>
  <c r="O58" i="63" s="1"/>
  <c r="P58" i="63" s="1"/>
  <c r="Q58" i="63" s="1"/>
  <c r="R58" i="63" s="1"/>
  <c r="S58" i="63" s="1"/>
  <c r="H51" i="63"/>
  <c r="I51" i="63" s="1"/>
  <c r="J51" i="63" s="1"/>
  <c r="K51" i="63" s="1"/>
  <c r="L51" i="63" s="1"/>
  <c r="M51" i="63" s="1"/>
  <c r="N51" i="63" s="1"/>
  <c r="O51" i="63" s="1"/>
  <c r="P51" i="63" s="1"/>
  <c r="Q51" i="63" s="1"/>
  <c r="R51" i="63" s="1"/>
  <c r="S51" i="63" s="1"/>
  <c r="H44" i="63"/>
  <c r="I44" i="63" s="1"/>
  <c r="J44" i="63" s="1"/>
  <c r="K44" i="63" s="1"/>
  <c r="L44" i="63" s="1"/>
  <c r="M44" i="63" s="1"/>
  <c r="N44" i="63" s="1"/>
  <c r="O44" i="63" s="1"/>
  <c r="P44" i="63" s="1"/>
  <c r="Q44" i="63" s="1"/>
  <c r="R44" i="63" s="1"/>
  <c r="S44" i="63" s="1"/>
  <c r="H37" i="63"/>
  <c r="I37" i="63" s="1"/>
  <c r="J37" i="63" s="1"/>
  <c r="K37" i="63" s="1"/>
  <c r="L37" i="63" s="1"/>
  <c r="M37" i="63" s="1"/>
  <c r="N37" i="63" s="1"/>
  <c r="O37" i="63" s="1"/>
  <c r="P37" i="63" s="1"/>
  <c r="Q37" i="63" s="1"/>
  <c r="R37" i="63" s="1"/>
  <c r="S37" i="63" s="1"/>
  <c r="T100" i="55"/>
  <c r="U100" i="55"/>
  <c r="V100" i="55"/>
  <c r="T101" i="55"/>
  <c r="U101" i="55"/>
  <c r="V101" i="55"/>
  <c r="T102" i="55"/>
  <c r="U102" i="55"/>
  <c r="V102" i="55"/>
  <c r="T103" i="55"/>
  <c r="U103" i="55"/>
  <c r="V103" i="55"/>
  <c r="T104" i="55"/>
  <c r="U104" i="55"/>
  <c r="V104" i="55"/>
  <c r="U99" i="55"/>
  <c r="V99" i="55"/>
  <c r="T99" i="55"/>
  <c r="F39" i="55"/>
  <c r="L30" i="63" l="1"/>
  <c r="M30" i="63" s="1"/>
  <c r="N30" i="63" s="1"/>
  <c r="O30" i="63" s="1"/>
  <c r="P30" i="63" s="1"/>
  <c r="Q30" i="63" s="1"/>
  <c r="R30" i="63" s="1"/>
  <c r="S30" i="63" s="1"/>
  <c r="T41" i="55"/>
  <c r="U41" i="55"/>
  <c r="V41" i="55"/>
  <c r="T42" i="55"/>
  <c r="U42" i="55"/>
  <c r="V42" i="55"/>
  <c r="U40" i="55"/>
  <c r="V40" i="55"/>
  <c r="T40" i="55"/>
  <c r="F105" i="42"/>
  <c r="G105" i="42"/>
  <c r="F106" i="42"/>
  <c r="G106" i="42"/>
  <c r="F107" i="42"/>
  <c r="G107" i="42"/>
  <c r="E106" i="42"/>
  <c r="E107" i="42"/>
  <c r="E105" i="42"/>
  <c r="BH136" i="60" l="1"/>
  <c r="BH137" i="60" s="1"/>
  <c r="BH107" i="60"/>
  <c r="BH85" i="60"/>
  <c r="BH63" i="60"/>
  <c r="BH40" i="60"/>
  <c r="BH18" i="60"/>
  <c r="BG136" i="60"/>
  <c r="BG138" i="60" s="1"/>
  <c r="BG107" i="60"/>
  <c r="BG85" i="60"/>
  <c r="BG63" i="60"/>
  <c r="BG40" i="60"/>
  <c r="BG18" i="60"/>
  <c r="BH138" i="60" l="1"/>
  <c r="BG137" i="60"/>
  <c r="AW166" i="60"/>
  <c r="AK166" i="60"/>
  <c r="Y166" i="60"/>
  <c r="N166" i="60"/>
  <c r="B166" i="60"/>
  <c r="AW165" i="60"/>
  <c r="AK165" i="60"/>
  <c r="Y165" i="60"/>
  <c r="N165" i="60"/>
  <c r="B165" i="60"/>
  <c r="AW164" i="60"/>
  <c r="AK164" i="60"/>
  <c r="Y164" i="60"/>
  <c r="N164" i="60"/>
  <c r="B164" i="60"/>
  <c r="AY145" i="60"/>
  <c r="AM145" i="60"/>
  <c r="AA145" i="60"/>
  <c r="P145" i="60"/>
  <c r="D145" i="60"/>
  <c r="L139" i="60"/>
  <c r="BF136" i="60"/>
  <c r="BF138" i="60" s="1"/>
  <c r="BE136" i="60"/>
  <c r="BE137" i="60" s="1"/>
  <c r="AT136" i="60"/>
  <c r="AT137" i="60" s="1"/>
  <c r="AS136" i="60"/>
  <c r="AS137" i="60" s="1"/>
  <c r="AH136" i="60"/>
  <c r="AG136" i="60"/>
  <c r="AG137" i="60" s="1"/>
  <c r="W136" i="60"/>
  <c r="W138" i="60" s="1"/>
  <c r="V136" i="60"/>
  <c r="K136" i="60"/>
  <c r="K138" i="60" s="1"/>
  <c r="J136" i="60"/>
  <c r="J137" i="60" s="1"/>
  <c r="AY126" i="60"/>
  <c r="AM126" i="60"/>
  <c r="AA126" i="60"/>
  <c r="P126" i="60"/>
  <c r="D126" i="60"/>
  <c r="AY125" i="60"/>
  <c r="AM125" i="60"/>
  <c r="AA125" i="60"/>
  <c r="P125" i="60"/>
  <c r="D125" i="60"/>
  <c r="AY122" i="60"/>
  <c r="AM122" i="60"/>
  <c r="AA122" i="60"/>
  <c r="P122" i="60"/>
  <c r="D122" i="60"/>
  <c r="AY121" i="60"/>
  <c r="AM121" i="60"/>
  <c r="AA121" i="60"/>
  <c r="P121" i="60"/>
  <c r="D121" i="60"/>
  <c r="AY120" i="60"/>
  <c r="AM120" i="60"/>
  <c r="AA120" i="60"/>
  <c r="P120" i="60"/>
  <c r="D120" i="60"/>
  <c r="AY119" i="60"/>
  <c r="AM119" i="60"/>
  <c r="AA119" i="60"/>
  <c r="P119" i="60"/>
  <c r="D119" i="60"/>
  <c r="L115" i="60"/>
  <c r="BF107" i="60"/>
  <c r="BE107" i="60"/>
  <c r="BD107" i="60"/>
  <c r="BC107" i="60"/>
  <c r="BB107" i="60"/>
  <c r="BA107" i="60"/>
  <c r="AZ107" i="60"/>
  <c r="AZ110" i="60" s="1"/>
  <c r="AZ111" i="60" s="1"/>
  <c r="AT107" i="60"/>
  <c r="AS107" i="60"/>
  <c r="AR107" i="60"/>
  <c r="AQ107" i="60"/>
  <c r="AP107" i="60"/>
  <c r="AO107" i="60"/>
  <c r="AN107" i="60"/>
  <c r="AN110" i="60" s="1"/>
  <c r="AN111" i="60" s="1"/>
  <c r="AN112" i="60" s="1"/>
  <c r="AH107" i="60"/>
  <c r="AG107" i="60"/>
  <c r="AF107" i="60"/>
  <c r="AE107" i="60"/>
  <c r="AD107" i="60"/>
  <c r="AC107" i="60"/>
  <c r="AB107" i="60"/>
  <c r="AB110" i="60" s="1"/>
  <c r="AB111" i="60" s="1"/>
  <c r="W107" i="60"/>
  <c r="V107" i="60"/>
  <c r="U107" i="60"/>
  <c r="T107" i="60"/>
  <c r="S107" i="60"/>
  <c r="R107" i="60"/>
  <c r="Q107" i="60"/>
  <c r="Q110" i="60" s="1"/>
  <c r="Q111" i="60" s="1"/>
  <c r="K107" i="60"/>
  <c r="J107" i="60"/>
  <c r="I107" i="60"/>
  <c r="H107" i="60"/>
  <c r="G107" i="60"/>
  <c r="F107" i="60"/>
  <c r="E107" i="60"/>
  <c r="E110" i="60" s="1"/>
  <c r="E111" i="60" s="1"/>
  <c r="AY99" i="60"/>
  <c r="AM99" i="60"/>
  <c r="AA99" i="60"/>
  <c r="P99" i="60"/>
  <c r="D99" i="60"/>
  <c r="AY98" i="60"/>
  <c r="AM98" i="60"/>
  <c r="AA98" i="60"/>
  <c r="P98" i="60"/>
  <c r="D98" i="60"/>
  <c r="AY97" i="60"/>
  <c r="AM97" i="60"/>
  <c r="AA97" i="60"/>
  <c r="P97" i="60"/>
  <c r="D97" i="60"/>
  <c r="AY96" i="60"/>
  <c r="AM96" i="60"/>
  <c r="AA96" i="60"/>
  <c r="P96" i="60"/>
  <c r="D96" i="60"/>
  <c r="L93" i="60"/>
  <c r="BF85" i="60"/>
  <c r="BE85" i="60"/>
  <c r="BD85" i="60"/>
  <c r="BC85" i="60"/>
  <c r="BB85" i="60"/>
  <c r="BA85" i="60"/>
  <c r="AZ85" i="60"/>
  <c r="AZ88" i="60" s="1"/>
  <c r="AZ89" i="60" s="1"/>
  <c r="AT85" i="60"/>
  <c r="AS85" i="60"/>
  <c r="AR85" i="60"/>
  <c r="AQ85" i="60"/>
  <c r="AP85" i="60"/>
  <c r="AO85" i="60"/>
  <c r="AN85" i="60"/>
  <c r="AN88" i="60" s="1"/>
  <c r="AN89" i="60" s="1"/>
  <c r="AN90" i="60" s="1"/>
  <c r="AH85" i="60"/>
  <c r="AG85" i="60"/>
  <c r="AF85" i="60"/>
  <c r="AE85" i="60"/>
  <c r="AD85" i="60"/>
  <c r="AC85" i="60"/>
  <c r="AB85" i="60"/>
  <c r="AB88" i="60" s="1"/>
  <c r="AB89" i="60" s="1"/>
  <c r="AB90" i="60" s="1"/>
  <c r="AB129" i="60" s="1"/>
  <c r="W85" i="60"/>
  <c r="V85" i="60"/>
  <c r="U85" i="60"/>
  <c r="T85" i="60"/>
  <c r="S85" i="60"/>
  <c r="R85" i="60"/>
  <c r="Q85" i="60"/>
  <c r="Q88" i="60" s="1"/>
  <c r="Q89" i="60" s="1"/>
  <c r="K85" i="60"/>
  <c r="J85" i="60"/>
  <c r="I85" i="60"/>
  <c r="H85" i="60"/>
  <c r="G85" i="60"/>
  <c r="F85" i="60"/>
  <c r="E85" i="60"/>
  <c r="E88" i="60" s="1"/>
  <c r="E89" i="60" s="1"/>
  <c r="AY77" i="60"/>
  <c r="AM77" i="60"/>
  <c r="AA77" i="60"/>
  <c r="P77" i="60"/>
  <c r="D77" i="60"/>
  <c r="AY76" i="60"/>
  <c r="AM76" i="60"/>
  <c r="AA76" i="60"/>
  <c r="P76" i="60"/>
  <c r="D76" i="60"/>
  <c r="AY75" i="60"/>
  <c r="AM75" i="60"/>
  <c r="AA75" i="60"/>
  <c r="P75" i="60"/>
  <c r="D75" i="60"/>
  <c r="AY74" i="60"/>
  <c r="AM74" i="60"/>
  <c r="AA74" i="60"/>
  <c r="P74" i="60"/>
  <c r="D74" i="60"/>
  <c r="L71" i="60"/>
  <c r="BF63" i="60"/>
  <c r="BE63" i="60"/>
  <c r="BD63" i="60"/>
  <c r="BC63" i="60"/>
  <c r="BB63" i="60"/>
  <c r="BA63" i="60"/>
  <c r="AZ63" i="60"/>
  <c r="AZ66" i="60" s="1"/>
  <c r="AZ67" i="60" s="1"/>
  <c r="AT63" i="60"/>
  <c r="AS63" i="60"/>
  <c r="AR63" i="60"/>
  <c r="AQ63" i="60"/>
  <c r="AP63" i="60"/>
  <c r="AO63" i="60"/>
  <c r="AN63" i="60"/>
  <c r="AN66" i="60" s="1"/>
  <c r="AN67" i="60" s="1"/>
  <c r="AN68" i="60" s="1"/>
  <c r="AH63" i="60"/>
  <c r="AG63" i="60"/>
  <c r="AF63" i="60"/>
  <c r="AE63" i="60"/>
  <c r="AD63" i="60"/>
  <c r="AC63" i="60"/>
  <c r="AB63" i="60"/>
  <c r="AB66" i="60" s="1"/>
  <c r="AB67" i="60" s="1"/>
  <c r="AB68" i="60" s="1"/>
  <c r="AB69" i="60" s="1"/>
  <c r="W63" i="60"/>
  <c r="V63" i="60"/>
  <c r="U63" i="60"/>
  <c r="T63" i="60"/>
  <c r="S63" i="60"/>
  <c r="R63" i="60"/>
  <c r="Q63" i="60"/>
  <c r="Q66" i="60" s="1"/>
  <c r="Q67" i="60" s="1"/>
  <c r="K63" i="60"/>
  <c r="J63" i="60"/>
  <c r="I63" i="60"/>
  <c r="H63" i="60"/>
  <c r="G63" i="60"/>
  <c r="F63" i="60"/>
  <c r="E63" i="60"/>
  <c r="E66" i="60" s="1"/>
  <c r="E67" i="60" s="1"/>
  <c r="L48" i="60"/>
  <c r="BF40" i="60"/>
  <c r="BE40" i="60"/>
  <c r="BD40" i="60"/>
  <c r="BC40" i="60"/>
  <c r="BB40" i="60"/>
  <c r="BA40" i="60"/>
  <c r="AZ40" i="60"/>
  <c r="AZ43" i="60" s="1"/>
  <c r="AZ44" i="60" s="1"/>
  <c r="AT40" i="60"/>
  <c r="AS40" i="60"/>
  <c r="AR40" i="60"/>
  <c r="AQ40" i="60"/>
  <c r="AP40" i="60"/>
  <c r="AO40" i="60"/>
  <c r="AN40" i="60"/>
  <c r="AN43" i="60" s="1"/>
  <c r="AN44" i="60" s="1"/>
  <c r="AN45" i="60" s="1"/>
  <c r="AH40" i="60"/>
  <c r="AG40" i="60"/>
  <c r="AF40" i="60"/>
  <c r="AE40" i="60"/>
  <c r="AD40" i="60"/>
  <c r="AC40" i="60"/>
  <c r="AB40" i="60"/>
  <c r="AB43" i="60" s="1"/>
  <c r="AB44" i="60" s="1"/>
  <c r="AB45" i="60" s="1"/>
  <c r="W40" i="60"/>
  <c r="V40" i="60"/>
  <c r="U40" i="60"/>
  <c r="T40" i="60"/>
  <c r="S40" i="60"/>
  <c r="R40" i="60"/>
  <c r="Q40" i="60"/>
  <c r="Q43" i="60" s="1"/>
  <c r="Q44" i="60" s="1"/>
  <c r="K40" i="60"/>
  <c r="J40" i="60"/>
  <c r="I40" i="60"/>
  <c r="H40" i="60"/>
  <c r="G40" i="60"/>
  <c r="F40" i="60"/>
  <c r="E40" i="60"/>
  <c r="E43" i="60" s="1"/>
  <c r="E44" i="60" s="1"/>
  <c r="L26" i="60"/>
  <c r="AP23" i="60"/>
  <c r="AP148" i="60" s="1"/>
  <c r="T23" i="60"/>
  <c r="T148" i="60" s="1"/>
  <c r="G23" i="60"/>
  <c r="G148" i="60" s="1"/>
  <c r="BF18" i="60"/>
  <c r="BE18" i="60"/>
  <c r="BD18" i="60"/>
  <c r="BC18" i="60"/>
  <c r="BB18" i="60"/>
  <c r="BA18" i="60"/>
  <c r="AZ18" i="60"/>
  <c r="AZ21" i="60" s="1"/>
  <c r="AZ22" i="60" s="1"/>
  <c r="AT18" i="60"/>
  <c r="AS18" i="60"/>
  <c r="AR18" i="60"/>
  <c r="AQ18" i="60"/>
  <c r="AP18" i="60"/>
  <c r="AO18" i="60"/>
  <c r="AN18" i="60"/>
  <c r="AN21" i="60" s="1"/>
  <c r="AN22" i="60" s="1"/>
  <c r="AN20" i="60" s="1"/>
  <c r="AH18" i="60"/>
  <c r="AG18" i="60"/>
  <c r="AF18" i="60"/>
  <c r="AE18" i="60"/>
  <c r="AD18" i="60"/>
  <c r="AC18" i="60"/>
  <c r="AB18" i="60"/>
  <c r="AB21" i="60" s="1"/>
  <c r="AB22" i="60" s="1"/>
  <c r="AB23" i="60" s="1"/>
  <c r="W18" i="60"/>
  <c r="V18" i="60"/>
  <c r="U18" i="60"/>
  <c r="T18" i="60"/>
  <c r="S18" i="60"/>
  <c r="R18" i="60"/>
  <c r="Q18" i="60"/>
  <c r="Q21" i="60" s="1"/>
  <c r="Q22" i="60" s="1"/>
  <c r="Q23" i="60" s="1"/>
  <c r="Q25" i="60" s="1"/>
  <c r="K18" i="60"/>
  <c r="J18" i="60"/>
  <c r="I18" i="60"/>
  <c r="H18" i="60"/>
  <c r="G18" i="60"/>
  <c r="F18" i="60"/>
  <c r="E18" i="60"/>
  <c r="E21" i="60" s="1"/>
  <c r="E22" i="60" s="1"/>
  <c r="G24" i="60" l="1"/>
  <c r="K137" i="60"/>
  <c r="G25" i="60"/>
  <c r="BF137" i="60"/>
  <c r="T25" i="60"/>
  <c r="AS138" i="60"/>
  <c r="AT26" i="60"/>
  <c r="BG26" i="60"/>
  <c r="BH26" i="60"/>
  <c r="U26" i="60"/>
  <c r="BH48" i="60"/>
  <c r="BG48" i="60"/>
  <c r="AQ93" i="60"/>
  <c r="BG71" i="60"/>
  <c r="BG93" i="60"/>
  <c r="BH115" i="60"/>
  <c r="BH71" i="60"/>
  <c r="BG139" i="60"/>
  <c r="BH139" i="60"/>
  <c r="BH93" i="60"/>
  <c r="BG115" i="60"/>
  <c r="AP25" i="60"/>
  <c r="AG26" i="60"/>
  <c r="AB71" i="60"/>
  <c r="W137" i="60"/>
  <c r="J138" i="60"/>
  <c r="BE138" i="60"/>
  <c r="T24" i="60"/>
  <c r="I26" i="60"/>
  <c r="AP27" i="60"/>
  <c r="AP157" i="60" s="1"/>
  <c r="AP177" i="60" s="1"/>
  <c r="AP186" i="60" s="1"/>
  <c r="E20" i="60"/>
  <c r="E23" i="60"/>
  <c r="Q45" i="60"/>
  <c r="Q42" i="60"/>
  <c r="AZ20" i="60"/>
  <c r="AZ23" i="60"/>
  <c r="AZ42" i="60"/>
  <c r="AZ45" i="60"/>
  <c r="E42" i="60"/>
  <c r="E45" i="60"/>
  <c r="AN149" i="60"/>
  <c r="AN47" i="60"/>
  <c r="AN49" i="60"/>
  <c r="AN158" i="60" s="1"/>
  <c r="AN46" i="60"/>
  <c r="AB148" i="60"/>
  <c r="AB27" i="60"/>
  <c r="AB157" i="60" s="1"/>
  <c r="AB149" i="60"/>
  <c r="AB49" i="60"/>
  <c r="AB158" i="60" s="1"/>
  <c r="BC48" i="60"/>
  <c r="BF48" i="60"/>
  <c r="BB48" i="60"/>
  <c r="BE48" i="60"/>
  <c r="BA48" i="60"/>
  <c r="AR48" i="60"/>
  <c r="AN48" i="60"/>
  <c r="AE48" i="60"/>
  <c r="W48" i="60"/>
  <c r="S48" i="60"/>
  <c r="K48" i="60"/>
  <c r="G48" i="60"/>
  <c r="BD48" i="60"/>
  <c r="AZ48" i="60"/>
  <c r="AQ48" i="60"/>
  <c r="AH48" i="60"/>
  <c r="AD48" i="60"/>
  <c r="V48" i="60"/>
  <c r="R48" i="60"/>
  <c r="J48" i="60"/>
  <c r="F48" i="60"/>
  <c r="AB48" i="60"/>
  <c r="AO48" i="60"/>
  <c r="E68" i="60"/>
  <c r="E65" i="60"/>
  <c r="AZ68" i="60"/>
  <c r="AZ65" i="60"/>
  <c r="AN129" i="60"/>
  <c r="AN92" i="60"/>
  <c r="AN91" i="60"/>
  <c r="Q148" i="60"/>
  <c r="Q24" i="60"/>
  <c r="BE26" i="60"/>
  <c r="BA26" i="60"/>
  <c r="AR26" i="60"/>
  <c r="AN26" i="60"/>
  <c r="AE26" i="60"/>
  <c r="W26" i="60"/>
  <c r="S26" i="60"/>
  <c r="K26" i="60"/>
  <c r="G26" i="60"/>
  <c r="BD26" i="60"/>
  <c r="AZ26" i="60"/>
  <c r="AQ26" i="60"/>
  <c r="AH26" i="60"/>
  <c r="AD26" i="60"/>
  <c r="V26" i="60"/>
  <c r="R26" i="60"/>
  <c r="J26" i="60"/>
  <c r="F26" i="60"/>
  <c r="AB26" i="60"/>
  <c r="AO26" i="60"/>
  <c r="BB26" i="60"/>
  <c r="AB46" i="60"/>
  <c r="E48" i="60"/>
  <c r="Q48" i="60"/>
  <c r="AC48" i="60"/>
  <c r="AP48" i="60"/>
  <c r="AN150" i="60"/>
  <c r="AN70" i="60"/>
  <c r="AN72" i="60"/>
  <c r="AN159" i="60" s="1"/>
  <c r="AN69" i="60"/>
  <c r="AB20" i="60"/>
  <c r="AB24" i="60"/>
  <c r="E26" i="60"/>
  <c r="Q26" i="60"/>
  <c r="AC26" i="60"/>
  <c r="AP26" i="60"/>
  <c r="BC26" i="60"/>
  <c r="AN42" i="60"/>
  <c r="AB47" i="60"/>
  <c r="H48" i="60"/>
  <c r="T48" i="60"/>
  <c r="AF48" i="60"/>
  <c r="AS48" i="60"/>
  <c r="Q90" i="60"/>
  <c r="Q87" i="60"/>
  <c r="AN161" i="60"/>
  <c r="AN164" i="60" s="1"/>
  <c r="AO21" i="60"/>
  <c r="AO22" i="60" s="1"/>
  <c r="AO23" i="60" s="1"/>
  <c r="Q20" i="60"/>
  <c r="AN23" i="60"/>
  <c r="AB25" i="60"/>
  <c r="H26" i="60"/>
  <c r="T26" i="60"/>
  <c r="AF26" i="60"/>
  <c r="AS26" i="60"/>
  <c r="BF26" i="60"/>
  <c r="Q27" i="60"/>
  <c r="Q157" i="60" s="1"/>
  <c r="AB42" i="60"/>
  <c r="I48" i="60"/>
  <c r="U48" i="60"/>
  <c r="AG48" i="60"/>
  <c r="AT48" i="60"/>
  <c r="Q68" i="60"/>
  <c r="Q65" i="60"/>
  <c r="E87" i="60"/>
  <c r="E90" i="60"/>
  <c r="AZ87" i="60"/>
  <c r="AZ90" i="60"/>
  <c r="AB65" i="60"/>
  <c r="AP24" i="60"/>
  <c r="E71" i="60"/>
  <c r="Q71" i="60"/>
  <c r="AC71" i="60"/>
  <c r="AP71" i="60"/>
  <c r="BC71" i="60"/>
  <c r="AN87" i="60"/>
  <c r="AB92" i="60"/>
  <c r="H93" i="60"/>
  <c r="T93" i="60"/>
  <c r="AF93" i="60"/>
  <c r="BD93" i="60"/>
  <c r="AB112" i="60"/>
  <c r="AB109" i="60"/>
  <c r="AB150" i="60"/>
  <c r="AB72" i="60"/>
  <c r="AB159" i="60" s="1"/>
  <c r="AB179" i="60" s="1"/>
  <c r="AB188" i="60" s="1"/>
  <c r="G27" i="60"/>
  <c r="G157" i="60" s="1"/>
  <c r="T27" i="60"/>
  <c r="T157" i="60" s="1"/>
  <c r="AB70" i="60"/>
  <c r="H71" i="60"/>
  <c r="T71" i="60"/>
  <c r="AF71" i="60"/>
  <c r="AS71" i="60"/>
  <c r="BF71" i="60"/>
  <c r="AB87" i="60"/>
  <c r="I93" i="60"/>
  <c r="U93" i="60"/>
  <c r="AG93" i="60"/>
  <c r="E109" i="60"/>
  <c r="E112" i="60"/>
  <c r="AZ109" i="60"/>
  <c r="AZ112" i="60"/>
  <c r="AN65" i="60"/>
  <c r="I71" i="60"/>
  <c r="U71" i="60"/>
  <c r="AG71" i="60"/>
  <c r="AT71" i="60"/>
  <c r="AB93" i="60"/>
  <c r="AN130" i="60"/>
  <c r="AN114" i="60"/>
  <c r="AN113" i="60"/>
  <c r="BF139" i="60"/>
  <c r="BB139" i="60"/>
  <c r="AS139" i="60"/>
  <c r="AO139" i="60"/>
  <c r="AF139" i="60"/>
  <c r="AB139" i="60"/>
  <c r="T139" i="60"/>
  <c r="H139" i="60"/>
  <c r="BE139" i="60"/>
  <c r="BA139" i="60"/>
  <c r="AR139" i="60"/>
  <c r="AN139" i="60"/>
  <c r="AE139" i="60"/>
  <c r="W139" i="60"/>
  <c r="S139" i="60"/>
  <c r="K139" i="60"/>
  <c r="G139" i="60"/>
  <c r="BD139" i="60"/>
  <c r="AZ139" i="60"/>
  <c r="AQ139" i="60"/>
  <c r="AH139" i="60"/>
  <c r="AD139" i="60"/>
  <c r="V139" i="60"/>
  <c r="R139" i="60"/>
  <c r="J139" i="60"/>
  <c r="F139" i="60"/>
  <c r="BE115" i="60"/>
  <c r="BA115" i="60"/>
  <c r="AR115" i="60"/>
  <c r="AN115" i="60"/>
  <c r="AE115" i="60"/>
  <c r="W115" i="60"/>
  <c r="S115" i="60"/>
  <c r="K115" i="60"/>
  <c r="G115" i="60"/>
  <c r="BF93" i="60"/>
  <c r="BB93" i="60"/>
  <c r="AS93" i="60"/>
  <c r="AO93" i="60"/>
  <c r="BC139" i="60"/>
  <c r="AT139" i="60"/>
  <c r="AP139" i="60"/>
  <c r="AG139" i="60"/>
  <c r="AC139" i="60"/>
  <c r="U139" i="60"/>
  <c r="Q139" i="60"/>
  <c r="I139" i="60"/>
  <c r="E139" i="60"/>
  <c r="BD115" i="60"/>
  <c r="AZ115" i="60"/>
  <c r="AQ115" i="60"/>
  <c r="AH115" i="60"/>
  <c r="AD115" i="60"/>
  <c r="V115" i="60"/>
  <c r="R115" i="60"/>
  <c r="J115" i="60"/>
  <c r="F115" i="60"/>
  <c r="BE93" i="60"/>
  <c r="BA93" i="60"/>
  <c r="AR93" i="60"/>
  <c r="AN93" i="60"/>
  <c r="BC115" i="60"/>
  <c r="AP115" i="60"/>
  <c r="AC115" i="60"/>
  <c r="Q115" i="60"/>
  <c r="E115" i="60"/>
  <c r="BB115" i="60"/>
  <c r="AO115" i="60"/>
  <c r="AB115" i="60"/>
  <c r="AT115" i="60"/>
  <c r="AG115" i="60"/>
  <c r="U115" i="60"/>
  <c r="I115" i="60"/>
  <c r="BC93" i="60"/>
  <c r="AP93" i="60"/>
  <c r="AE93" i="60"/>
  <c r="W93" i="60"/>
  <c r="S93" i="60"/>
  <c r="K93" i="60"/>
  <c r="G93" i="60"/>
  <c r="BE71" i="60"/>
  <c r="BA71" i="60"/>
  <c r="AR71" i="60"/>
  <c r="AN71" i="60"/>
  <c r="AE71" i="60"/>
  <c r="W71" i="60"/>
  <c r="S71" i="60"/>
  <c r="K71" i="60"/>
  <c r="G71" i="60"/>
  <c r="BF115" i="60"/>
  <c r="AS115" i="60"/>
  <c r="AF115" i="60"/>
  <c r="T115" i="60"/>
  <c r="H115" i="60"/>
  <c r="AZ93" i="60"/>
  <c r="AH93" i="60"/>
  <c r="AD93" i="60"/>
  <c r="V93" i="60"/>
  <c r="R93" i="60"/>
  <c r="J93" i="60"/>
  <c r="F93" i="60"/>
  <c r="BD71" i="60"/>
  <c r="AZ71" i="60"/>
  <c r="AQ71" i="60"/>
  <c r="AH71" i="60"/>
  <c r="AD71" i="60"/>
  <c r="V71" i="60"/>
  <c r="R71" i="60"/>
  <c r="J71" i="60"/>
  <c r="F71" i="60"/>
  <c r="AO71" i="60"/>
  <c r="BB71" i="60"/>
  <c r="AB91" i="60"/>
  <c r="E93" i="60"/>
  <c r="Q93" i="60"/>
  <c r="AC93" i="60"/>
  <c r="AT93" i="60"/>
  <c r="Q112" i="60"/>
  <c r="Q109" i="60"/>
  <c r="AN109" i="60"/>
  <c r="V137" i="60"/>
  <c r="V138" i="60"/>
  <c r="AH137" i="60"/>
  <c r="AH138" i="60"/>
  <c r="AG138" i="60"/>
  <c r="AT138" i="60"/>
  <c r="BJ53" i="50"/>
  <c r="BJ54" i="50"/>
  <c r="BC51" i="50"/>
  <c r="BJ54" i="43"/>
  <c r="BD51" i="51"/>
  <c r="BJ53" i="43"/>
  <c r="BC51" i="43"/>
  <c r="E113" i="60" l="1"/>
  <c r="E130" i="60"/>
  <c r="E114" i="60"/>
  <c r="F110" i="60"/>
  <c r="F111" i="60" s="1"/>
  <c r="F112" i="60" s="1"/>
  <c r="AC110" i="60"/>
  <c r="AC111" i="60" s="1"/>
  <c r="AC112" i="60" s="1"/>
  <c r="F88" i="60"/>
  <c r="F89" i="60" s="1"/>
  <c r="F90" i="60" s="1"/>
  <c r="AZ150" i="60"/>
  <c r="AZ69" i="60"/>
  <c r="AZ70" i="60"/>
  <c r="AZ72" i="60"/>
  <c r="AZ159" i="60" s="1"/>
  <c r="AZ179" i="60" s="1"/>
  <c r="AZ188" i="60" s="1"/>
  <c r="E161" i="60"/>
  <c r="E164" i="60" s="1"/>
  <c r="F21" i="60"/>
  <c r="F22" i="60" s="1"/>
  <c r="F23" i="60" s="1"/>
  <c r="Q113" i="60"/>
  <c r="Q114" i="60"/>
  <c r="Q130" i="60"/>
  <c r="AZ113" i="60"/>
  <c r="AZ130" i="60"/>
  <c r="AZ114" i="60"/>
  <c r="AB130" i="60"/>
  <c r="AB131" i="60" s="1"/>
  <c r="AB134" i="60" s="1"/>
  <c r="AB135" i="60" s="1"/>
  <c r="AB133" i="60" s="1"/>
  <c r="AB113" i="60"/>
  <c r="AB114" i="60"/>
  <c r="AZ129" i="60"/>
  <c r="AZ91" i="60"/>
  <c r="AZ92" i="60"/>
  <c r="Q163" i="60"/>
  <c r="Q166" i="60" s="1"/>
  <c r="R66" i="60"/>
  <c r="R67" i="60" s="1"/>
  <c r="R68" i="60" s="1"/>
  <c r="AN148" i="60"/>
  <c r="AN151" i="60" s="1"/>
  <c r="AN25" i="60"/>
  <c r="AN27" i="60"/>
  <c r="AN157" i="60" s="1"/>
  <c r="AN24" i="60"/>
  <c r="R88" i="60"/>
  <c r="R89" i="60" s="1"/>
  <c r="R90" i="60" s="1"/>
  <c r="E163" i="60"/>
  <c r="E166" i="60" s="1"/>
  <c r="F66" i="60"/>
  <c r="F67" i="60" s="1"/>
  <c r="F68" i="60" s="1"/>
  <c r="AB151" i="60"/>
  <c r="AZ149" i="60"/>
  <c r="AZ49" i="60"/>
  <c r="AZ158" i="60" s="1"/>
  <c r="AZ178" i="60" s="1"/>
  <c r="AZ187" i="60" s="1"/>
  <c r="AZ46" i="60"/>
  <c r="AZ47" i="60"/>
  <c r="Q162" i="60"/>
  <c r="Q165" i="60" s="1"/>
  <c r="R43" i="60"/>
  <c r="R44" i="60" s="1"/>
  <c r="R45" i="60" s="1"/>
  <c r="AO148" i="60"/>
  <c r="AO27" i="60"/>
  <c r="AO157" i="60" s="1"/>
  <c r="AO25" i="60"/>
  <c r="AO24" i="60"/>
  <c r="R110" i="60"/>
  <c r="R111" i="60" s="1"/>
  <c r="R112" i="60" s="1"/>
  <c r="AN163" i="60"/>
  <c r="AN166" i="60" s="1"/>
  <c r="AO66" i="60"/>
  <c r="AO67" i="60" s="1"/>
  <c r="AO68" i="60" s="1"/>
  <c r="G177" i="60"/>
  <c r="G186" i="60" s="1"/>
  <c r="AB163" i="60"/>
  <c r="AB166" i="60" s="1"/>
  <c r="AC66" i="60"/>
  <c r="AC67" i="60" s="1"/>
  <c r="AC68" i="60" s="1"/>
  <c r="AO20" i="60"/>
  <c r="AZ161" i="60"/>
  <c r="AZ164" i="60" s="1"/>
  <c r="BA21" i="60"/>
  <c r="BA22" i="60" s="1"/>
  <c r="BA23" i="60" s="1"/>
  <c r="BA110" i="60"/>
  <c r="BA111" i="60" s="1"/>
  <c r="BA112" i="60" s="1"/>
  <c r="BA88" i="60"/>
  <c r="BA89" i="60" s="1"/>
  <c r="BA90" i="60" s="1"/>
  <c r="BA87" i="60"/>
  <c r="Q150" i="60"/>
  <c r="Q69" i="60"/>
  <c r="Q70" i="60"/>
  <c r="Q72" i="60"/>
  <c r="Q159" i="60" s="1"/>
  <c r="Q179" i="60" s="1"/>
  <c r="Q188" i="60" s="1"/>
  <c r="Q177" i="60"/>
  <c r="Q186" i="60" s="1"/>
  <c r="Q161" i="60"/>
  <c r="Q164" i="60" s="1"/>
  <c r="R21" i="60"/>
  <c r="R22" i="60" s="1"/>
  <c r="R23" i="60" s="1"/>
  <c r="Q129" i="60"/>
  <c r="Q131" i="60" s="1"/>
  <c r="Q134" i="60" s="1"/>
  <c r="Q135" i="60" s="1"/>
  <c r="Q133" i="60" s="1"/>
  <c r="Q91" i="60"/>
  <c r="Q92" i="60"/>
  <c r="AN131" i="60"/>
  <c r="AN134" i="60" s="1"/>
  <c r="AN135" i="60" s="1"/>
  <c r="AN133" i="60" s="1"/>
  <c r="E150" i="60"/>
  <c r="E69" i="60"/>
  <c r="E70" i="60"/>
  <c r="E72" i="60"/>
  <c r="E159" i="60" s="1"/>
  <c r="E149" i="60"/>
  <c r="E46" i="60"/>
  <c r="E49" i="60"/>
  <c r="E158" i="60" s="1"/>
  <c r="E47" i="60"/>
  <c r="AZ162" i="60"/>
  <c r="AZ165" i="60" s="1"/>
  <c r="BA43" i="60"/>
  <c r="BA44" i="60" s="1"/>
  <c r="BA45" i="60" s="1"/>
  <c r="Q149" i="60"/>
  <c r="Q151" i="60" s="1"/>
  <c r="Q49" i="60"/>
  <c r="Q158" i="60" s="1"/>
  <c r="Q46" i="60"/>
  <c r="Q47" i="60"/>
  <c r="AO110" i="60"/>
  <c r="AO111" i="60" s="1"/>
  <c r="AO112" i="60" s="1"/>
  <c r="E129" i="60"/>
  <c r="E131" i="60" s="1"/>
  <c r="E134" i="60" s="1"/>
  <c r="E135" i="60" s="1"/>
  <c r="E133" i="60" s="1"/>
  <c r="E91" i="60"/>
  <c r="E92" i="60"/>
  <c r="AB162" i="60"/>
  <c r="AB165" i="60" s="1"/>
  <c r="AC43" i="60"/>
  <c r="AC44" i="60" s="1"/>
  <c r="AC45" i="60" s="1"/>
  <c r="AB161" i="60"/>
  <c r="AB164" i="60" s="1"/>
  <c r="AC21" i="60"/>
  <c r="AC22" i="60" s="1"/>
  <c r="AC23" i="60" s="1"/>
  <c r="AZ163" i="60"/>
  <c r="AZ166" i="60" s="1"/>
  <c r="BA66" i="60"/>
  <c r="BA67" i="60" s="1"/>
  <c r="BA68" i="60" s="1"/>
  <c r="E162" i="60"/>
  <c r="E165" i="60" s="1"/>
  <c r="F43" i="60"/>
  <c r="F44" i="60" s="1"/>
  <c r="F45" i="60" s="1"/>
  <c r="AZ148" i="60"/>
  <c r="AZ24" i="60"/>
  <c r="AZ25" i="60"/>
  <c r="AZ27" i="60"/>
  <c r="AZ157" i="60" s="1"/>
  <c r="E148" i="60"/>
  <c r="E24" i="60"/>
  <c r="E25" i="60"/>
  <c r="E27" i="60"/>
  <c r="E157" i="60" s="1"/>
  <c r="T177" i="60"/>
  <c r="T186" i="60" s="1"/>
  <c r="AO88" i="60"/>
  <c r="AO89" i="60" s="1"/>
  <c r="AO90" i="60" s="1"/>
  <c r="AC88" i="60"/>
  <c r="AC89" i="60" s="1"/>
  <c r="AC90" i="60" s="1"/>
  <c r="AN162" i="60"/>
  <c r="AN165" i="60" s="1"/>
  <c r="AO43" i="60"/>
  <c r="AO44" i="60" s="1"/>
  <c r="AO45" i="60" s="1"/>
  <c r="AB177" i="60"/>
  <c r="AB186" i="60" s="1"/>
  <c r="AB160" i="60"/>
  <c r="F28" i="57"/>
  <c r="BC55" i="57"/>
  <c r="BJ52" i="57" s="1"/>
  <c r="H28" i="51"/>
  <c r="M25" i="37"/>
  <c r="AR57" i="57" s="1"/>
  <c r="AR58" i="57" s="1"/>
  <c r="AR59" i="57" s="1"/>
  <c r="AR60" i="57" s="1"/>
  <c r="AR61" i="57" s="1"/>
  <c r="AR62" i="57" s="1"/>
  <c r="AR63" i="57" s="1"/>
  <c r="AR64" i="57" s="1"/>
  <c r="AR65" i="57" s="1"/>
  <c r="AR66" i="57" s="1"/>
  <c r="AR67" i="57" s="1"/>
  <c r="AR68" i="57" s="1"/>
  <c r="AR69" i="57" s="1"/>
  <c r="AR70" i="57" s="1"/>
  <c r="AR71" i="57" s="1"/>
  <c r="AR72" i="57" s="1"/>
  <c r="AR73" i="57" s="1"/>
  <c r="AR74" i="57" s="1"/>
  <c r="AR75" i="57" s="1"/>
  <c r="AR76" i="57" s="1"/>
  <c r="AR77" i="57" s="1"/>
  <c r="AR78" i="57" s="1"/>
  <c r="AR79" i="57" s="1"/>
  <c r="AR80" i="57" s="1"/>
  <c r="AR81" i="57" s="1"/>
  <c r="AR82" i="57" s="1"/>
  <c r="AR83" i="57" s="1"/>
  <c r="AR84" i="57" s="1"/>
  <c r="AR85" i="57" s="1"/>
  <c r="AR86" i="57" s="1"/>
  <c r="AR87" i="57" s="1"/>
  <c r="M24" i="37"/>
  <c r="AK64" i="57"/>
  <c r="AX88" i="57"/>
  <c r="BH87" i="57"/>
  <c r="BH86" i="57"/>
  <c r="BH85" i="57"/>
  <c r="BH84" i="57"/>
  <c r="BH83" i="57"/>
  <c r="BH82" i="57"/>
  <c r="BH81" i="57"/>
  <c r="BH80" i="57"/>
  <c r="BH79" i="57"/>
  <c r="BH78" i="57"/>
  <c r="BH77" i="57"/>
  <c r="BH76" i="57"/>
  <c r="BH75" i="57"/>
  <c r="BH74" i="57"/>
  <c r="BH73" i="57"/>
  <c r="BH72" i="57"/>
  <c r="BH71" i="57"/>
  <c r="BH70" i="57"/>
  <c r="BH69" i="57"/>
  <c r="BH68" i="57"/>
  <c r="BH67" i="57"/>
  <c r="BH66" i="57"/>
  <c r="AC66" i="57"/>
  <c r="BH65" i="57"/>
  <c r="AG68" i="57"/>
  <c r="AF68" i="57"/>
  <c r="BH64" i="57"/>
  <c r="BH63" i="57"/>
  <c r="AI66" i="57"/>
  <c r="BH62" i="57"/>
  <c r="AF65" i="57"/>
  <c r="Y62" i="57"/>
  <c r="AH59" i="57" s="1"/>
  <c r="W62" i="57"/>
  <c r="V62" i="57"/>
  <c r="O62" i="57"/>
  <c r="H62" i="57"/>
  <c r="BH61" i="57"/>
  <c r="AJ61" i="57"/>
  <c r="AK65" i="57" s="1"/>
  <c r="AF61" i="57"/>
  <c r="O61" i="57"/>
  <c r="H61" i="57"/>
  <c r="BH60" i="57"/>
  <c r="W60" i="57"/>
  <c r="V60" i="57"/>
  <c r="O60" i="57"/>
  <c r="H60" i="57"/>
  <c r="BH59" i="57"/>
  <c r="AG59" i="57"/>
  <c r="AF59" i="57"/>
  <c r="W59" i="57"/>
  <c r="V59" i="57"/>
  <c r="O59" i="57"/>
  <c r="H59" i="57"/>
  <c r="BH58" i="57"/>
  <c r="AL58" i="57"/>
  <c r="AL60" i="57" s="1"/>
  <c r="AA58" i="57"/>
  <c r="AA61" i="57" s="1"/>
  <c r="O58" i="57"/>
  <c r="H58" i="57"/>
  <c r="O57" i="57"/>
  <c r="H57" i="57"/>
  <c r="O56" i="57"/>
  <c r="H56" i="57"/>
  <c r="O55" i="57"/>
  <c r="H55" i="57"/>
  <c r="O54" i="57"/>
  <c r="H54" i="57"/>
  <c r="O53" i="57"/>
  <c r="H53" i="57"/>
  <c r="O52" i="57"/>
  <c r="H52" i="57"/>
  <c r="AR51" i="57"/>
  <c r="O51" i="57"/>
  <c r="H51" i="57"/>
  <c r="O50" i="57"/>
  <c r="H50" i="57"/>
  <c r="BH49" i="57"/>
  <c r="O49" i="57"/>
  <c r="H49" i="57"/>
  <c r="O48" i="57"/>
  <c r="H48" i="57"/>
  <c r="O47" i="57"/>
  <c r="H47" i="57"/>
  <c r="O46" i="57"/>
  <c r="H46" i="57"/>
  <c r="O45" i="57"/>
  <c r="H45" i="57"/>
  <c r="O44" i="57"/>
  <c r="H44" i="57"/>
  <c r="O43" i="57"/>
  <c r="H43" i="57"/>
  <c r="BH42" i="57"/>
  <c r="BH43" i="57" s="1"/>
  <c r="BI43" i="57" s="1"/>
  <c r="O42" i="57"/>
  <c r="H42" i="57"/>
  <c r="O41" i="57"/>
  <c r="H41" i="57"/>
  <c r="O40" i="57"/>
  <c r="H40" i="57"/>
  <c r="O39" i="57"/>
  <c r="H39" i="57"/>
  <c r="O38" i="57"/>
  <c r="H38" i="57"/>
  <c r="O37" i="57"/>
  <c r="H37" i="57"/>
  <c r="O36" i="57"/>
  <c r="H36" i="57"/>
  <c r="O35" i="57"/>
  <c r="H35" i="57"/>
  <c r="O34" i="57"/>
  <c r="H34" i="57"/>
  <c r="O33" i="57"/>
  <c r="H33" i="57"/>
  <c r="E33" i="57"/>
  <c r="O32" i="57"/>
  <c r="N47" i="57"/>
  <c r="L61" i="57"/>
  <c r="M47" i="57"/>
  <c r="H39" i="56"/>
  <c r="F29" i="56"/>
  <c r="F28" i="56"/>
  <c r="N20" i="56"/>
  <c r="N23" i="56" s="1"/>
  <c r="N14" i="56" s="1"/>
  <c r="AO16" i="56"/>
  <c r="AO17" i="56" s="1"/>
  <c r="AH13" i="56"/>
  <c r="AH14" i="56" s="1"/>
  <c r="AE13" i="56"/>
  <c r="AE14" i="56" s="1"/>
  <c r="AB13" i="56"/>
  <c r="AB14" i="56" s="1"/>
  <c r="Y13" i="56"/>
  <c r="Y14" i="56" s="1"/>
  <c r="AI12" i="56"/>
  <c r="AJ12" i="56" s="1"/>
  <c r="B11" i="56"/>
  <c r="G8" i="56"/>
  <c r="H8" i="56" s="1"/>
  <c r="AH7" i="56"/>
  <c r="AE7" i="56"/>
  <c r="AB7" i="56"/>
  <c r="Y7" i="56"/>
  <c r="H7" i="56"/>
  <c r="G7" i="56"/>
  <c r="H28" i="56" s="1"/>
  <c r="H40" i="56" s="1"/>
  <c r="AI6" i="56"/>
  <c r="H6" i="56"/>
  <c r="H27" i="56" s="1"/>
  <c r="G6" i="56"/>
  <c r="G27" i="56" s="1"/>
  <c r="F6" i="56"/>
  <c r="F27" i="56" s="1"/>
  <c r="E6" i="56"/>
  <c r="E9" i="56" s="1"/>
  <c r="AQ4" i="56"/>
  <c r="S6" i="56" s="1"/>
  <c r="H39" i="36"/>
  <c r="K7" i="37"/>
  <c r="L7" i="37" s="1"/>
  <c r="AP16" i="36"/>
  <c r="AP17" i="36" s="1"/>
  <c r="H40" i="21"/>
  <c r="F31" i="38"/>
  <c r="G39" i="56" s="1"/>
  <c r="F36" i="38"/>
  <c r="F34" i="38"/>
  <c r="F35" i="38"/>
  <c r="F33" i="38"/>
  <c r="E36" i="38"/>
  <c r="E35" i="38"/>
  <c r="E33" i="38"/>
  <c r="E34" i="38"/>
  <c r="E31" i="38"/>
  <c r="L20" i="56" s="1"/>
  <c r="L23" i="56" s="1"/>
  <c r="L14" i="56" s="1"/>
  <c r="AZ151" i="60" l="1"/>
  <c r="E151" i="60"/>
  <c r="F39" i="56"/>
  <c r="F42" i="56" s="1"/>
  <c r="F42" i="60"/>
  <c r="G43" i="60" s="1"/>
  <c r="G44" i="60" s="1"/>
  <c r="G45" i="60" s="1"/>
  <c r="AC42" i="60"/>
  <c r="AC162" i="60" s="1"/>
  <c r="AC165" i="60" s="1"/>
  <c r="R87" i="60"/>
  <c r="BA65" i="60"/>
  <c r="BA163" i="60" s="1"/>
  <c r="BA166" i="60" s="1"/>
  <c r="AO109" i="60"/>
  <c r="R20" i="60"/>
  <c r="R161" i="60" s="1"/>
  <c r="R164" i="60" s="1"/>
  <c r="AO87" i="60"/>
  <c r="AC65" i="60"/>
  <c r="AD66" i="60" s="1"/>
  <c r="AD67" i="60" s="1"/>
  <c r="AD68" i="60" s="1"/>
  <c r="R42" i="60"/>
  <c r="S43" i="60" s="1"/>
  <c r="S44" i="60" s="1"/>
  <c r="S45" i="60" s="1"/>
  <c r="F65" i="60"/>
  <c r="F163" i="60" s="1"/>
  <c r="F166" i="60" s="1"/>
  <c r="R65" i="60"/>
  <c r="AO42" i="60"/>
  <c r="AP43" i="60" s="1"/>
  <c r="AP44" i="60" s="1"/>
  <c r="AP45" i="60" s="1"/>
  <c r="AO149" i="60"/>
  <c r="AO49" i="60"/>
  <c r="AO158" i="60" s="1"/>
  <c r="AO47" i="60"/>
  <c r="AO46" i="60"/>
  <c r="AC87" i="60"/>
  <c r="E152" i="60"/>
  <c r="E155" i="60"/>
  <c r="E156" i="60" s="1"/>
  <c r="AZ152" i="60"/>
  <c r="AZ155" i="60"/>
  <c r="AZ156" i="60" s="1"/>
  <c r="Q152" i="60"/>
  <c r="Q155" i="60"/>
  <c r="Q156" i="60" s="1"/>
  <c r="AC149" i="60"/>
  <c r="AC49" i="60"/>
  <c r="AC158" i="60" s="1"/>
  <c r="AC46" i="60"/>
  <c r="AC47" i="60"/>
  <c r="BA42" i="60"/>
  <c r="R148" i="60"/>
  <c r="R24" i="60"/>
  <c r="R25" i="60"/>
  <c r="R27" i="60"/>
  <c r="R157" i="60" s="1"/>
  <c r="BA130" i="60"/>
  <c r="BA114" i="60"/>
  <c r="BA113" i="60"/>
  <c r="AO161" i="60"/>
  <c r="AO164" i="60" s="1"/>
  <c r="AP20" i="60"/>
  <c r="AP21" i="60"/>
  <c r="G66" i="60"/>
  <c r="G67" i="60" s="1"/>
  <c r="G68" i="60" s="1"/>
  <c r="S88" i="60"/>
  <c r="S89" i="60" s="1"/>
  <c r="S90" i="60" s="1"/>
  <c r="AN155" i="60"/>
  <c r="AN156" i="60" s="1"/>
  <c r="AN152" i="60"/>
  <c r="F148" i="60"/>
  <c r="F25" i="60"/>
  <c r="F27" i="60"/>
  <c r="F157" i="60" s="1"/>
  <c r="F24" i="60"/>
  <c r="F129" i="60"/>
  <c r="F131" i="60" s="1"/>
  <c r="F134" i="60" s="1"/>
  <c r="F135" i="60" s="1"/>
  <c r="F133" i="60" s="1"/>
  <c r="F92" i="60"/>
  <c r="F91" i="60"/>
  <c r="F130" i="60"/>
  <c r="F114" i="60"/>
  <c r="F113" i="60"/>
  <c r="AP88" i="60"/>
  <c r="AP89" i="60" s="1"/>
  <c r="AP90" i="60" s="1"/>
  <c r="E177" i="60"/>
  <c r="E186" i="60" s="1"/>
  <c r="E160" i="60"/>
  <c r="AZ177" i="60"/>
  <c r="AZ186" i="60" s="1"/>
  <c r="AZ160" i="60"/>
  <c r="F162" i="60"/>
  <c r="F165" i="60" s="1"/>
  <c r="BB66" i="60"/>
  <c r="BB67" i="60" s="1"/>
  <c r="BB68" i="60" s="1"/>
  <c r="BB65" i="60"/>
  <c r="AC148" i="60"/>
  <c r="AC24" i="60"/>
  <c r="AC27" i="60"/>
  <c r="AC157" i="60" s="1"/>
  <c r="AC25" i="60"/>
  <c r="BA149" i="60"/>
  <c r="BA47" i="60"/>
  <c r="BA49" i="60"/>
  <c r="BA158" i="60" s="1"/>
  <c r="BA178" i="60" s="1"/>
  <c r="BA187" i="60" s="1"/>
  <c r="BA46" i="60"/>
  <c r="S21" i="60"/>
  <c r="S22" i="60" s="1"/>
  <c r="S23" i="60" s="1"/>
  <c r="BB88" i="60"/>
  <c r="BB89" i="60" s="1"/>
  <c r="BB90" i="60" s="1"/>
  <c r="BA148" i="60"/>
  <c r="BA25" i="60"/>
  <c r="BA27" i="60"/>
  <c r="BA157" i="60" s="1"/>
  <c r="BA24" i="60"/>
  <c r="AC163" i="60"/>
  <c r="AC166" i="60" s="1"/>
  <c r="R113" i="60"/>
  <c r="R130" i="60"/>
  <c r="R114" i="60"/>
  <c r="AO177" i="60"/>
  <c r="AO186" i="60" s="1"/>
  <c r="R163" i="60"/>
  <c r="R166" i="60" s="1"/>
  <c r="S66" i="60"/>
  <c r="S67" i="60" s="1"/>
  <c r="S68" i="60" s="1"/>
  <c r="F20" i="60"/>
  <c r="AC113" i="60"/>
  <c r="AC114" i="60"/>
  <c r="AC130" i="60"/>
  <c r="AO129" i="60"/>
  <c r="AO91" i="60"/>
  <c r="AO92" i="60"/>
  <c r="F149" i="60"/>
  <c r="F47" i="60"/>
  <c r="F49" i="60"/>
  <c r="F158" i="60" s="1"/>
  <c r="F46" i="60"/>
  <c r="BA150" i="60"/>
  <c r="BA70" i="60"/>
  <c r="BA72" i="60"/>
  <c r="BA159" i="60" s="1"/>
  <c r="BA179" i="60" s="1"/>
  <c r="BA188" i="60" s="1"/>
  <c r="BA69" i="60"/>
  <c r="AC20" i="60"/>
  <c r="AO130" i="60"/>
  <c r="AO113" i="60"/>
  <c r="AO114" i="60"/>
  <c r="Q178" i="60"/>
  <c r="Q187" i="60" s="1"/>
  <c r="BA129" i="60"/>
  <c r="BA92" i="60"/>
  <c r="BA91" i="60"/>
  <c r="BA20" i="60"/>
  <c r="AC150" i="60"/>
  <c r="AC69" i="60"/>
  <c r="AC70" i="60"/>
  <c r="AC72" i="60"/>
  <c r="AC159" i="60" s="1"/>
  <c r="AC179" i="60" s="1"/>
  <c r="AC188" i="60" s="1"/>
  <c r="AO65" i="60"/>
  <c r="R109" i="60"/>
  <c r="AB152" i="60"/>
  <c r="AB155" i="60"/>
  <c r="AB156" i="60" s="1"/>
  <c r="AN177" i="60"/>
  <c r="AN160" i="60"/>
  <c r="R150" i="60"/>
  <c r="R69" i="60"/>
  <c r="R70" i="60"/>
  <c r="R72" i="60"/>
  <c r="R159" i="60" s="1"/>
  <c r="R179" i="60" s="1"/>
  <c r="R188" i="60" s="1"/>
  <c r="AZ131" i="60"/>
  <c r="AZ134" i="60" s="1"/>
  <c r="AZ135" i="60" s="1"/>
  <c r="AZ133" i="60" s="1"/>
  <c r="AC109" i="60"/>
  <c r="AC129" i="60"/>
  <c r="AC91" i="60"/>
  <c r="AC92" i="60"/>
  <c r="AB178" i="60"/>
  <c r="AB187" i="60" s="1"/>
  <c r="Q160" i="60"/>
  <c r="BA109" i="60"/>
  <c r="AO150" i="60"/>
  <c r="AO72" i="60"/>
  <c r="AO159" i="60" s="1"/>
  <c r="AO179" i="60" s="1"/>
  <c r="AO188" i="60" s="1"/>
  <c r="AO70" i="60"/>
  <c r="AO69" i="60"/>
  <c r="R149" i="60"/>
  <c r="R46" i="60"/>
  <c r="R49" i="60"/>
  <c r="R158" i="60" s="1"/>
  <c r="R47" i="60"/>
  <c r="F150" i="60"/>
  <c r="F70" i="60"/>
  <c r="F72" i="60"/>
  <c r="F159" i="60" s="1"/>
  <c r="F179" i="60" s="1"/>
  <c r="F188" i="60" s="1"/>
  <c r="F69" i="60"/>
  <c r="R129" i="60"/>
  <c r="R91" i="60"/>
  <c r="R92" i="60"/>
  <c r="F87" i="60"/>
  <c r="F109" i="60"/>
  <c r="AJ6" i="56"/>
  <c r="AL62" i="57"/>
  <c r="AK63" i="57"/>
  <c r="C8" i="37"/>
  <c r="N7" i="37"/>
  <c r="F7" i="37"/>
  <c r="AX52" i="51" s="1"/>
  <c r="AX53" i="51" s="1"/>
  <c r="E7" i="37"/>
  <c r="M20" i="56"/>
  <c r="M23" i="56" s="1"/>
  <c r="M14" i="56" s="1"/>
  <c r="F30" i="56"/>
  <c r="BH45" i="57"/>
  <c r="AS55" i="57"/>
  <c r="AS80" i="57"/>
  <c r="BG80" i="57" s="1"/>
  <c r="AS58" i="57"/>
  <c r="BB58" i="57" s="1"/>
  <c r="L32" i="57"/>
  <c r="L33" i="57"/>
  <c r="L34" i="57"/>
  <c r="L35" i="57"/>
  <c r="L36" i="57"/>
  <c r="L37" i="57"/>
  <c r="L38" i="57"/>
  <c r="L39" i="57"/>
  <c r="L40" i="57"/>
  <c r="L41" i="57"/>
  <c r="L42" i="57"/>
  <c r="M43" i="57"/>
  <c r="N44" i="57"/>
  <c r="L45" i="57"/>
  <c r="N46" i="57"/>
  <c r="N48" i="57"/>
  <c r="N49" i="57"/>
  <c r="N53" i="57"/>
  <c r="N54" i="57"/>
  <c r="N56" i="57"/>
  <c r="L57" i="57"/>
  <c r="M33" i="57"/>
  <c r="M34" i="57"/>
  <c r="M35" i="57"/>
  <c r="M36" i="57"/>
  <c r="M37" i="57"/>
  <c r="M38" i="57"/>
  <c r="M39" i="57"/>
  <c r="M40" i="57"/>
  <c r="M41" i="57"/>
  <c r="M42" i="57"/>
  <c r="N43" i="57"/>
  <c r="N45" i="57"/>
  <c r="BB80" i="57"/>
  <c r="M62" i="57"/>
  <c r="M61" i="57"/>
  <c r="M60" i="57"/>
  <c r="M57" i="57"/>
  <c r="M55" i="57"/>
  <c r="M51" i="57"/>
  <c r="M58" i="57"/>
  <c r="M59" i="57"/>
  <c r="M52" i="57"/>
  <c r="M45" i="57"/>
  <c r="M44" i="57"/>
  <c r="M32" i="57"/>
  <c r="N33" i="57"/>
  <c r="N34" i="57"/>
  <c r="N35" i="57"/>
  <c r="N36" i="57"/>
  <c r="N37" i="57"/>
  <c r="N38" i="57"/>
  <c r="N39" i="57"/>
  <c r="N40" i="57"/>
  <c r="N41" i="57"/>
  <c r="N42" i="57"/>
  <c r="L50" i="57"/>
  <c r="L51" i="57"/>
  <c r="N58" i="57"/>
  <c r="N50" i="57"/>
  <c r="N62" i="57"/>
  <c r="N59" i="57"/>
  <c r="N61" i="57"/>
  <c r="N60" i="57"/>
  <c r="N57" i="57"/>
  <c r="N55" i="57"/>
  <c r="N51" i="57"/>
  <c r="L60" i="57"/>
  <c r="L55" i="57"/>
  <c r="L59" i="57"/>
  <c r="L52" i="57"/>
  <c r="L62" i="57"/>
  <c r="L58" i="57"/>
  <c r="L56" i="57"/>
  <c r="L54" i="57"/>
  <c r="L53" i="57"/>
  <c r="L49" i="57"/>
  <c r="L48" i="57"/>
  <c r="L47" i="57"/>
  <c r="L46" i="57"/>
  <c r="N32" i="57"/>
  <c r="L43" i="57"/>
  <c r="L44" i="57"/>
  <c r="M46" i="57"/>
  <c r="M48" i="57"/>
  <c r="M49" i="57"/>
  <c r="M50" i="57"/>
  <c r="N52" i="57"/>
  <c r="M53" i="57"/>
  <c r="M54" i="57"/>
  <c r="M56" i="57"/>
  <c r="BH88" i="57"/>
  <c r="AS68" i="57"/>
  <c r="BG68" i="57" s="1"/>
  <c r="AS76" i="57"/>
  <c r="BG76" i="57" s="1"/>
  <c r="AS84" i="57"/>
  <c r="BG84" i="57" s="1"/>
  <c r="AS59" i="57"/>
  <c r="BG59" i="57" s="1"/>
  <c r="AS63" i="57"/>
  <c r="BG63" i="57" s="1"/>
  <c r="AS74" i="57"/>
  <c r="BG74" i="57" s="1"/>
  <c r="AS82" i="57"/>
  <c r="BG82" i="57" s="1"/>
  <c r="AS72" i="57"/>
  <c r="BG72" i="57" s="1"/>
  <c r="AS66" i="57"/>
  <c r="BG66" i="57" s="1"/>
  <c r="AS65" i="57"/>
  <c r="BG65" i="57" s="1"/>
  <c r="AS62" i="57"/>
  <c r="BG62" i="57" s="1"/>
  <c r="AS87" i="57"/>
  <c r="BG87" i="57" s="1"/>
  <c r="AS85" i="57"/>
  <c r="BG85" i="57" s="1"/>
  <c r="AS83" i="57"/>
  <c r="BG83" i="57" s="1"/>
  <c r="AS81" i="57"/>
  <c r="BG81" i="57" s="1"/>
  <c r="AS79" i="57"/>
  <c r="BG79" i="57" s="1"/>
  <c r="AS77" i="57"/>
  <c r="BG77" i="57" s="1"/>
  <c r="AS75" i="57"/>
  <c r="BG75" i="57" s="1"/>
  <c r="AS73" i="57"/>
  <c r="BG73" i="57" s="1"/>
  <c r="AS71" i="57"/>
  <c r="BG71" i="57" s="1"/>
  <c r="AS69" i="57"/>
  <c r="BG69" i="57" s="1"/>
  <c r="AS67" i="57"/>
  <c r="BG67" i="57" s="1"/>
  <c r="AS64" i="57"/>
  <c r="BG64" i="57" s="1"/>
  <c r="AS60" i="57"/>
  <c r="BG60" i="57" s="1"/>
  <c r="AS57" i="57"/>
  <c r="W86" i="57" s="1"/>
  <c r="AI67" i="57" s="1"/>
  <c r="AL71" i="57" s="1"/>
  <c r="AA63" i="57"/>
  <c r="AS61" i="57"/>
  <c r="BG61" i="57" s="1"/>
  <c r="AS70" i="57"/>
  <c r="BG70" i="57" s="1"/>
  <c r="AS78" i="57"/>
  <c r="BG78" i="57" s="1"/>
  <c r="AS86" i="57"/>
  <c r="BG86" i="57" s="1"/>
  <c r="H9" i="56"/>
  <c r="H20" i="56" s="1"/>
  <c r="F9" i="56"/>
  <c r="F20" i="56" s="1"/>
  <c r="G29" i="56"/>
  <c r="G41" i="56" s="1"/>
  <c r="G9" i="56"/>
  <c r="G20" i="56" s="1"/>
  <c r="G28" i="56"/>
  <c r="G40" i="56" s="1"/>
  <c r="F39" i="36"/>
  <c r="F42" i="36" s="1"/>
  <c r="G39" i="36"/>
  <c r="F40" i="21"/>
  <c r="G40" i="21"/>
  <c r="G24" i="38"/>
  <c r="G21" i="38"/>
  <c r="F24" i="38"/>
  <c r="F19" i="38"/>
  <c r="F21" i="38" s="1"/>
  <c r="F10" i="38"/>
  <c r="F8" i="38"/>
  <c r="G8" i="38" s="1"/>
  <c r="E9" i="38"/>
  <c r="F7" i="38"/>
  <c r="G7" i="38" s="1"/>
  <c r="G27" i="36"/>
  <c r="H6" i="36"/>
  <c r="H27" i="36" s="1"/>
  <c r="G6" i="36"/>
  <c r="F6" i="36"/>
  <c r="F27" i="36" s="1"/>
  <c r="E6" i="36"/>
  <c r="H16" i="21"/>
  <c r="H34" i="21" s="1"/>
  <c r="G16" i="21"/>
  <c r="G8" i="36"/>
  <c r="G29" i="36" s="1"/>
  <c r="H7" i="36"/>
  <c r="G7" i="36"/>
  <c r="G28" i="36" s="1"/>
  <c r="Z7" i="36"/>
  <c r="AI7" i="36"/>
  <c r="AF7" i="36"/>
  <c r="AC7" i="36"/>
  <c r="K6" i="37"/>
  <c r="AR57" i="51" s="1"/>
  <c r="AR58" i="51" s="1"/>
  <c r="AR59" i="51" s="1"/>
  <c r="AR60" i="51" s="1"/>
  <c r="AR61" i="51" s="1"/>
  <c r="AR62" i="51" s="1"/>
  <c r="AR63" i="51" s="1"/>
  <c r="AR64" i="51" s="1"/>
  <c r="AR65" i="51" s="1"/>
  <c r="AR66" i="51" s="1"/>
  <c r="AR67" i="51" s="1"/>
  <c r="AR68" i="51" s="1"/>
  <c r="AR69" i="51" s="1"/>
  <c r="AR70" i="51" s="1"/>
  <c r="AR71" i="51" s="1"/>
  <c r="AR72" i="51" s="1"/>
  <c r="AR73" i="51" s="1"/>
  <c r="AR74" i="51" s="1"/>
  <c r="AR75" i="51" s="1"/>
  <c r="AR76" i="51" s="1"/>
  <c r="AR77" i="51" s="1"/>
  <c r="AR78" i="51" s="1"/>
  <c r="AR79" i="51" s="1"/>
  <c r="AR80" i="51" s="1"/>
  <c r="AR81" i="51" s="1"/>
  <c r="AR82" i="51" s="1"/>
  <c r="AR83" i="51" s="1"/>
  <c r="AR84" i="51" s="1"/>
  <c r="AR85" i="51" s="1"/>
  <c r="AR86" i="51" s="1"/>
  <c r="AR87" i="51" s="1"/>
  <c r="B11" i="36"/>
  <c r="K41" i="37"/>
  <c r="K38" i="37"/>
  <c r="K35" i="37"/>
  <c r="K32" i="37"/>
  <c r="K29" i="37"/>
  <c r="K26" i="37"/>
  <c r="K23" i="37"/>
  <c r="K20" i="37"/>
  <c r="K17" i="37"/>
  <c r="AR4" i="36"/>
  <c r="T6" i="36" s="1"/>
  <c r="K14" i="37"/>
  <c r="K11" i="37"/>
  <c r="AR57" i="43" s="1"/>
  <c r="AR58" i="43" s="1"/>
  <c r="AR59" i="43" s="1"/>
  <c r="AR60" i="43" s="1"/>
  <c r="AR61" i="43" s="1"/>
  <c r="AR62" i="43" s="1"/>
  <c r="AR63" i="43" s="1"/>
  <c r="AR64" i="43" s="1"/>
  <c r="AR65" i="43" s="1"/>
  <c r="AR66" i="43" s="1"/>
  <c r="AR67" i="43" s="1"/>
  <c r="AR68" i="43" s="1"/>
  <c r="AR69" i="43" s="1"/>
  <c r="AR70" i="43" s="1"/>
  <c r="AR71" i="43" s="1"/>
  <c r="AR72" i="43" s="1"/>
  <c r="AR73" i="43" s="1"/>
  <c r="AR74" i="43" s="1"/>
  <c r="AR75" i="43" s="1"/>
  <c r="AR76" i="43" s="1"/>
  <c r="AR77" i="43" s="1"/>
  <c r="AR78" i="43" s="1"/>
  <c r="AR79" i="43" s="1"/>
  <c r="AR80" i="43" s="1"/>
  <c r="AR81" i="43" s="1"/>
  <c r="AR82" i="43" s="1"/>
  <c r="AR83" i="43" s="1"/>
  <c r="AR84" i="43" s="1"/>
  <c r="AR85" i="43" s="1"/>
  <c r="AR86" i="43" s="1"/>
  <c r="AR87" i="43" s="1"/>
  <c r="AO151" i="60" l="1"/>
  <c r="AP110" i="60"/>
  <c r="AP111" i="60" s="1"/>
  <c r="AP112" i="60" s="1"/>
  <c r="AP113" i="60" s="1"/>
  <c r="BA131" i="60"/>
  <c r="AO162" i="60"/>
  <c r="AO165" i="60" s="1"/>
  <c r="R162" i="60"/>
  <c r="R165" i="60" s="1"/>
  <c r="H8" i="36"/>
  <c r="H9" i="36" s="1"/>
  <c r="H20" i="36" s="1"/>
  <c r="AD43" i="60"/>
  <c r="AD44" i="60" s="1"/>
  <c r="AD45" i="60" s="1"/>
  <c r="R131" i="60"/>
  <c r="R134" i="60" s="1"/>
  <c r="R135" i="60" s="1"/>
  <c r="R133" i="60" s="1"/>
  <c r="AC131" i="60"/>
  <c r="AC134" i="60" s="1"/>
  <c r="AC135" i="60" s="1"/>
  <c r="AC133" i="60" s="1"/>
  <c r="BB87" i="60"/>
  <c r="AD42" i="60"/>
  <c r="G110" i="60"/>
  <c r="G111" i="60" s="1"/>
  <c r="G112" i="60" s="1"/>
  <c r="BA134" i="60"/>
  <c r="BA135" i="60" s="1"/>
  <c r="BA133" i="60" s="1"/>
  <c r="BA161" i="60"/>
  <c r="BA164" i="60" s="1"/>
  <c r="BB21" i="60"/>
  <c r="BB22" i="60" s="1"/>
  <c r="BB23" i="60" s="1"/>
  <c r="AC161" i="60"/>
  <c r="AC164" i="60" s="1"/>
  <c r="AD21" i="60"/>
  <c r="AD22" i="60" s="1"/>
  <c r="AD23" i="60" s="1"/>
  <c r="BA151" i="60"/>
  <c r="BA152" i="60" s="1"/>
  <c r="S20" i="60"/>
  <c r="AD149" i="60"/>
  <c r="AD46" i="60"/>
  <c r="AD49" i="60"/>
  <c r="AD158" i="60" s="1"/>
  <c r="AD178" i="60" s="1"/>
  <c r="AD187" i="60" s="1"/>
  <c r="AD47" i="60"/>
  <c r="AC177" i="60"/>
  <c r="AC186" i="60" s="1"/>
  <c r="AC160" i="60"/>
  <c r="BB150" i="60"/>
  <c r="BB72" i="60"/>
  <c r="BB159" i="60" s="1"/>
  <c r="BB179" i="60" s="1"/>
  <c r="BB188" i="60" s="1"/>
  <c r="BB70" i="60"/>
  <c r="BB69" i="60"/>
  <c r="AP42" i="60"/>
  <c r="AO152" i="60"/>
  <c r="AO155" i="60"/>
  <c r="AO156" i="60" s="1"/>
  <c r="G65" i="60"/>
  <c r="S149" i="60"/>
  <c r="S47" i="60"/>
  <c r="S49" i="60"/>
  <c r="S158" i="60" s="1"/>
  <c r="S178" i="60" s="1"/>
  <c r="S187" i="60" s="1"/>
  <c r="S46" i="60"/>
  <c r="R177" i="60"/>
  <c r="R186" i="60" s="1"/>
  <c r="R160" i="60"/>
  <c r="BA162" i="60"/>
  <c r="BA165" i="60" s="1"/>
  <c r="BB43" i="60"/>
  <c r="BB44" i="60" s="1"/>
  <c r="BB45" i="60" s="1"/>
  <c r="BA155" i="60"/>
  <c r="BA156" i="60" s="1"/>
  <c r="G88" i="60"/>
  <c r="G89" i="60" s="1"/>
  <c r="G90" i="60" s="1"/>
  <c r="AO160" i="60"/>
  <c r="BC88" i="60"/>
  <c r="BC89" i="60" s="1"/>
  <c r="BC90" i="60" s="1"/>
  <c r="AD162" i="60"/>
  <c r="AD165" i="60" s="1"/>
  <c r="AE43" i="60"/>
  <c r="AE44" i="60" s="1"/>
  <c r="AE45" i="60" s="1"/>
  <c r="AP129" i="60"/>
  <c r="AP91" i="60"/>
  <c r="AP92" i="60"/>
  <c r="F177" i="60"/>
  <c r="F186" i="60" s="1"/>
  <c r="F160" i="60"/>
  <c r="G150" i="60"/>
  <c r="G72" i="60"/>
  <c r="G159" i="60" s="1"/>
  <c r="G179" i="60" s="1"/>
  <c r="G188" i="60" s="1"/>
  <c r="G70" i="60"/>
  <c r="G69" i="60"/>
  <c r="BB110" i="60"/>
  <c r="BB111" i="60" s="1"/>
  <c r="BB112" i="60" s="1"/>
  <c r="R178" i="60"/>
  <c r="R187" i="60" s="1"/>
  <c r="AP114" i="60"/>
  <c r="AP130" i="60"/>
  <c r="AN186" i="60"/>
  <c r="AN178" i="60"/>
  <c r="S110" i="60"/>
  <c r="S111" i="60" s="1"/>
  <c r="S112" i="60" s="1"/>
  <c r="S65" i="60"/>
  <c r="AD65" i="60"/>
  <c r="BA177" i="60"/>
  <c r="BA186" i="60" s="1"/>
  <c r="BA160" i="60"/>
  <c r="BB129" i="60"/>
  <c r="BB91" i="60"/>
  <c r="BB92" i="60"/>
  <c r="AC151" i="60"/>
  <c r="AC152" i="60" s="1"/>
  <c r="G42" i="60"/>
  <c r="AP87" i="60"/>
  <c r="S87" i="60"/>
  <c r="AO178" i="60"/>
  <c r="AO187" i="60" s="1"/>
  <c r="AD110" i="60"/>
  <c r="AD111" i="60" s="1"/>
  <c r="AD112" i="60" s="1"/>
  <c r="AO163" i="60"/>
  <c r="AO166" i="60" s="1"/>
  <c r="AP66" i="60"/>
  <c r="AP67" i="60" s="1"/>
  <c r="AP68" i="60" s="1"/>
  <c r="AO131" i="60"/>
  <c r="AO134" i="60" s="1"/>
  <c r="AO135" i="60" s="1"/>
  <c r="AO133" i="60" s="1"/>
  <c r="F161" i="60"/>
  <c r="F164" i="60" s="1"/>
  <c r="G21" i="60"/>
  <c r="G20" i="60"/>
  <c r="S150" i="60"/>
  <c r="S70" i="60"/>
  <c r="S72" i="60"/>
  <c r="S159" i="60" s="1"/>
  <c r="S69" i="60"/>
  <c r="AD150" i="60"/>
  <c r="AD69" i="60"/>
  <c r="AD70" i="60"/>
  <c r="AD72" i="60"/>
  <c r="AD159" i="60" s="1"/>
  <c r="AD179" i="60" s="1"/>
  <c r="AD188" i="60" s="1"/>
  <c r="S148" i="60"/>
  <c r="S151" i="60" s="1"/>
  <c r="S25" i="60"/>
  <c r="S27" i="60"/>
  <c r="S157" i="60" s="1"/>
  <c r="S24" i="60"/>
  <c r="BB163" i="60"/>
  <c r="BB166" i="60" s="1"/>
  <c r="BC66" i="60"/>
  <c r="BC67" i="60" s="1"/>
  <c r="BC68" i="60" s="1"/>
  <c r="G149" i="60"/>
  <c r="G49" i="60"/>
  <c r="G158" i="60" s="1"/>
  <c r="G46" i="60"/>
  <c r="G47" i="60"/>
  <c r="AP149" i="60"/>
  <c r="AP49" i="60"/>
  <c r="AP158" i="60" s="1"/>
  <c r="AP46" i="60"/>
  <c r="AP47" i="60"/>
  <c r="F151" i="60"/>
  <c r="F155" i="60" s="1"/>
  <c r="F156" i="60" s="1"/>
  <c r="S129" i="60"/>
  <c r="S92" i="60"/>
  <c r="S91" i="60"/>
  <c r="S42" i="60"/>
  <c r="AP161" i="60"/>
  <c r="AP164" i="60" s="1"/>
  <c r="AQ21" i="60"/>
  <c r="AQ22" i="60" s="1"/>
  <c r="AQ23" i="60" s="1"/>
  <c r="R151" i="60"/>
  <c r="R152" i="60" s="1"/>
  <c r="E178" i="60"/>
  <c r="AD88" i="60"/>
  <c r="AD89" i="60" s="1"/>
  <c r="AD90" i="60" s="1"/>
  <c r="AT80" i="57"/>
  <c r="AK6" i="36"/>
  <c r="I55" i="57"/>
  <c r="G41" i="21"/>
  <c r="G40" i="36"/>
  <c r="G42" i="56"/>
  <c r="G41" i="36"/>
  <c r="G42" i="21"/>
  <c r="F9" i="38"/>
  <c r="AL69" i="57"/>
  <c r="J32" i="57" s="1"/>
  <c r="AT57" i="57"/>
  <c r="AK71" i="57"/>
  <c r="AK72" i="57" s="1"/>
  <c r="I33" i="57"/>
  <c r="Q33" i="57" s="1"/>
  <c r="BG58" i="57"/>
  <c r="AT58" i="57"/>
  <c r="BB67" i="57"/>
  <c r="AT67" i="57"/>
  <c r="I42" i="57"/>
  <c r="BB65" i="57"/>
  <c r="AT65" i="57"/>
  <c r="I40" i="57"/>
  <c r="AT61" i="57"/>
  <c r="BB61" i="57"/>
  <c r="I36" i="57"/>
  <c r="BB64" i="57"/>
  <c r="AT64" i="57"/>
  <c r="I39" i="57"/>
  <c r="BB73" i="57"/>
  <c r="AT73" i="57"/>
  <c r="I48" i="57"/>
  <c r="BB81" i="57"/>
  <c r="AT81" i="57"/>
  <c r="I56" i="57"/>
  <c r="BB62" i="57"/>
  <c r="AT62" i="57"/>
  <c r="I37" i="57"/>
  <c r="AT82" i="57"/>
  <c r="BB82" i="57"/>
  <c r="I57" i="57"/>
  <c r="AT84" i="57"/>
  <c r="BB84" i="57"/>
  <c r="I59" i="57"/>
  <c r="BB75" i="57"/>
  <c r="AT75" i="57"/>
  <c r="I50" i="57"/>
  <c r="AT74" i="57"/>
  <c r="BB74" i="57"/>
  <c r="I49" i="57"/>
  <c r="G32" i="57"/>
  <c r="AT78" i="57"/>
  <c r="BB78" i="57"/>
  <c r="I53" i="57"/>
  <c r="BB69" i="57"/>
  <c r="AT69" i="57"/>
  <c r="I44" i="57"/>
  <c r="BB77" i="57"/>
  <c r="AT77" i="57"/>
  <c r="I52" i="57"/>
  <c r="BB85" i="57"/>
  <c r="AT85" i="57"/>
  <c r="I60" i="57"/>
  <c r="BB66" i="57"/>
  <c r="AT66" i="57"/>
  <c r="I41" i="57"/>
  <c r="AT63" i="57"/>
  <c r="BB63" i="57"/>
  <c r="I38" i="57"/>
  <c r="AT68" i="57"/>
  <c r="BB68" i="57"/>
  <c r="I43" i="57"/>
  <c r="AT86" i="57"/>
  <c r="BB86" i="57"/>
  <c r="I61" i="57"/>
  <c r="BB83" i="57"/>
  <c r="AT83" i="57"/>
  <c r="I58" i="57"/>
  <c r="AT76" i="57"/>
  <c r="I51" i="57"/>
  <c r="BB76" i="57"/>
  <c r="AT70" i="57"/>
  <c r="BB70" i="57"/>
  <c r="I45" i="57"/>
  <c r="BB60" i="57"/>
  <c r="AT60" i="57"/>
  <c r="I35" i="57"/>
  <c r="BB71" i="57"/>
  <c r="AT71" i="57"/>
  <c r="I46" i="57"/>
  <c r="BB79" i="57"/>
  <c r="AT79" i="57"/>
  <c r="I54" i="57"/>
  <c r="BB87" i="57"/>
  <c r="I62" i="57"/>
  <c r="AT87" i="57"/>
  <c r="AT72" i="57"/>
  <c r="BB72" i="57"/>
  <c r="I47" i="57"/>
  <c r="BB59" i="57"/>
  <c r="I34" i="57"/>
  <c r="AT59" i="57"/>
  <c r="G30" i="56"/>
  <c r="L32" i="37"/>
  <c r="L17" i="37"/>
  <c r="L41" i="37"/>
  <c r="F41" i="37" s="1"/>
  <c r="G41" i="37" s="1"/>
  <c r="H41" i="37" s="1"/>
  <c r="L38" i="37"/>
  <c r="F38" i="37" s="1"/>
  <c r="G38" i="37" s="1"/>
  <c r="H38" i="37" s="1"/>
  <c r="L35" i="37"/>
  <c r="F35" i="37" s="1"/>
  <c r="G35" i="37" s="1"/>
  <c r="H35" i="37" s="1"/>
  <c r="L29" i="37"/>
  <c r="F29" i="37" s="1"/>
  <c r="G29" i="37" s="1"/>
  <c r="H29" i="37" s="1"/>
  <c r="L26" i="37"/>
  <c r="F26" i="37" s="1"/>
  <c r="G26" i="37" s="1"/>
  <c r="H26" i="37" s="1"/>
  <c r="L23" i="37"/>
  <c r="L20" i="37"/>
  <c r="F20" i="37" s="1"/>
  <c r="E20" i="37" s="1"/>
  <c r="L6" i="37"/>
  <c r="L14" i="37"/>
  <c r="L11" i="37"/>
  <c r="G7" i="37"/>
  <c r="Q34" i="57" l="1"/>
  <c r="G42" i="36"/>
  <c r="AC178" i="60"/>
  <c r="AC187" i="60" s="1"/>
  <c r="G151" i="60"/>
  <c r="S179" i="60"/>
  <c r="S188" i="60" s="1"/>
  <c r="AP109" i="60"/>
  <c r="AQ110" i="60" s="1"/>
  <c r="AQ111" i="60" s="1"/>
  <c r="AQ112" i="60" s="1"/>
  <c r="AD87" i="60"/>
  <c r="F178" i="60"/>
  <c r="F187" i="60" s="1"/>
  <c r="G87" i="60"/>
  <c r="AE42" i="60"/>
  <c r="AF43" i="60" s="1"/>
  <c r="AF44" i="60" s="1"/>
  <c r="AF45" i="60" s="1"/>
  <c r="S109" i="60"/>
  <c r="BC65" i="60"/>
  <c r="BC163" i="60" s="1"/>
  <c r="BC166" i="60" s="1"/>
  <c r="BB42" i="60"/>
  <c r="S155" i="60"/>
  <c r="S156" i="60" s="1"/>
  <c r="S152" i="60"/>
  <c r="AD129" i="60"/>
  <c r="AD91" i="60"/>
  <c r="AD92" i="60"/>
  <c r="S162" i="60"/>
  <c r="S165" i="60" s="1"/>
  <c r="T43" i="60"/>
  <c r="T44" i="60" s="1"/>
  <c r="T45" i="60" s="1"/>
  <c r="G161" i="60"/>
  <c r="G164" i="60" s="1"/>
  <c r="H21" i="60"/>
  <c r="H22" i="60" s="1"/>
  <c r="H23" i="60" s="1"/>
  <c r="AP65" i="60"/>
  <c r="AD109" i="60"/>
  <c r="R155" i="60"/>
  <c r="R156" i="60" s="1"/>
  <c r="G162" i="60"/>
  <c r="G165" i="60" s="1"/>
  <c r="H43" i="60"/>
  <c r="H44" i="60" s="1"/>
  <c r="H45" i="60" s="1"/>
  <c r="S163" i="60"/>
  <c r="S166" i="60" s="1"/>
  <c r="T66" i="60"/>
  <c r="T67" i="60" s="1"/>
  <c r="T68" i="60" s="1"/>
  <c r="AN187" i="60"/>
  <c r="AN179" i="60"/>
  <c r="AN188" i="60" s="1"/>
  <c r="AP131" i="60"/>
  <c r="AP134" i="60" s="1"/>
  <c r="AP135" i="60" s="1"/>
  <c r="AN136" i="60" s="1"/>
  <c r="BC129" i="60"/>
  <c r="BC91" i="60"/>
  <c r="BC92" i="60"/>
  <c r="H88" i="60"/>
  <c r="H89" i="60" s="1"/>
  <c r="H90" i="60" s="1"/>
  <c r="BB162" i="60"/>
  <c r="BB165" i="60" s="1"/>
  <c r="BC43" i="60"/>
  <c r="BC44" i="60" s="1"/>
  <c r="BC45" i="60" s="1"/>
  <c r="G163" i="60"/>
  <c r="G166" i="60" s="1"/>
  <c r="H66" i="60"/>
  <c r="H67" i="60" s="1"/>
  <c r="H68" i="60" s="1"/>
  <c r="AD148" i="60"/>
  <c r="AD151" i="60" s="1"/>
  <c r="AD152" i="60" s="1"/>
  <c r="AD24" i="60"/>
  <c r="AD25" i="60"/>
  <c r="AD27" i="60"/>
  <c r="AD157" i="60" s="1"/>
  <c r="BB148" i="60"/>
  <c r="BB27" i="60"/>
  <c r="BB157" i="60" s="1"/>
  <c r="BB25" i="60"/>
  <c r="BB24" i="60"/>
  <c r="AQ113" i="60"/>
  <c r="AQ130" i="60"/>
  <c r="AQ114" i="60"/>
  <c r="AE88" i="60"/>
  <c r="AE89" i="60" s="1"/>
  <c r="AE90" i="60" s="1"/>
  <c r="AQ148" i="60"/>
  <c r="AQ24" i="60"/>
  <c r="AQ25" i="60"/>
  <c r="AQ27" i="60"/>
  <c r="AQ157" i="60" s="1"/>
  <c r="S177" i="60"/>
  <c r="S186" i="60" s="1"/>
  <c r="S160" i="60"/>
  <c r="AP150" i="60"/>
  <c r="AP151" i="60" s="1"/>
  <c r="AP69" i="60"/>
  <c r="AP70" i="60"/>
  <c r="AP72" i="60"/>
  <c r="AP159" i="60" s="1"/>
  <c r="AP179" i="60" s="1"/>
  <c r="AP188" i="60" s="1"/>
  <c r="AE162" i="60"/>
  <c r="AE165" i="60" s="1"/>
  <c r="BC87" i="60"/>
  <c r="AD20" i="60"/>
  <c r="AQ109" i="60"/>
  <c r="AQ20" i="60"/>
  <c r="BC150" i="60"/>
  <c r="BC69" i="60"/>
  <c r="BC70" i="60"/>
  <c r="BC72" i="60"/>
  <c r="BC159" i="60" s="1"/>
  <c r="BC179" i="60" s="1"/>
  <c r="BC188" i="60" s="1"/>
  <c r="F152" i="60"/>
  <c r="T88" i="60"/>
  <c r="T89" i="60" s="1"/>
  <c r="T90" i="60" s="1"/>
  <c r="T110" i="60"/>
  <c r="T111" i="60" s="1"/>
  <c r="T112" i="60" s="1"/>
  <c r="BB130" i="60"/>
  <c r="BB131" i="60" s="1"/>
  <c r="BB134" i="60" s="1"/>
  <c r="BB135" i="60" s="1"/>
  <c r="BB113" i="60"/>
  <c r="BB114" i="60"/>
  <c r="AE149" i="60"/>
  <c r="AE47" i="60"/>
  <c r="AE49" i="60"/>
  <c r="AE158" i="60" s="1"/>
  <c r="AE46" i="60"/>
  <c r="S161" i="60"/>
  <c r="S164" i="60" s="1"/>
  <c r="T21" i="60"/>
  <c r="T20" i="60"/>
  <c r="AC155" i="60"/>
  <c r="AC156" i="60" s="1"/>
  <c r="G109" i="60"/>
  <c r="E187" i="60"/>
  <c r="E179" i="60"/>
  <c r="E188" i="60" s="1"/>
  <c r="AP178" i="60"/>
  <c r="AP187" i="60" s="1"/>
  <c r="AP160" i="60"/>
  <c r="G178" i="60"/>
  <c r="G187" i="60" s="1"/>
  <c r="G160" i="60"/>
  <c r="AD113" i="60"/>
  <c r="AD130" i="60"/>
  <c r="AD114" i="60"/>
  <c r="AQ88" i="60"/>
  <c r="AQ89" i="60" s="1"/>
  <c r="AQ90" i="60" s="1"/>
  <c r="AD163" i="60"/>
  <c r="AD166" i="60" s="1"/>
  <c r="AE66" i="60"/>
  <c r="AE67" i="60" s="1"/>
  <c r="AE68" i="60" s="1"/>
  <c r="S130" i="60"/>
  <c r="S131" i="60" s="1"/>
  <c r="S134" i="60" s="1"/>
  <c r="S135" i="60" s="1"/>
  <c r="S114" i="60"/>
  <c r="S113" i="60"/>
  <c r="BB109" i="60"/>
  <c r="G129" i="60"/>
  <c r="G92" i="60"/>
  <c r="G91" i="60"/>
  <c r="BB149" i="60"/>
  <c r="BB49" i="60"/>
  <c r="BB158" i="60" s="1"/>
  <c r="BB178" i="60" s="1"/>
  <c r="BB187" i="60" s="1"/>
  <c r="BB47" i="60"/>
  <c r="BB46" i="60"/>
  <c r="AP162" i="60"/>
  <c r="AP165" i="60" s="1"/>
  <c r="AQ43" i="60"/>
  <c r="AQ44" i="60" s="1"/>
  <c r="AQ45" i="60" s="1"/>
  <c r="BB20" i="60"/>
  <c r="G114" i="60"/>
  <c r="G130" i="60"/>
  <c r="G113" i="60"/>
  <c r="H17" i="37"/>
  <c r="G17" i="37"/>
  <c r="F17" i="37"/>
  <c r="E17" i="37" s="1"/>
  <c r="AK70" i="57"/>
  <c r="F5" i="21"/>
  <c r="G5" i="21" s="1"/>
  <c r="H5" i="21" s="1"/>
  <c r="G11" i="37"/>
  <c r="H11" i="37" s="1"/>
  <c r="F11" i="37"/>
  <c r="E11" i="37" s="1"/>
  <c r="E6" i="37"/>
  <c r="F6" i="37"/>
  <c r="H14" i="37"/>
  <c r="G14" i="37"/>
  <c r="F14" i="37"/>
  <c r="E14" i="37" s="1"/>
  <c r="BC57" i="57"/>
  <c r="BI57" i="57" s="1"/>
  <c r="BI58" i="57" s="1"/>
  <c r="F33" i="57"/>
  <c r="J33" i="57" s="1"/>
  <c r="F34" i="57" s="1"/>
  <c r="J34" i="57" s="1"/>
  <c r="Q35" i="57"/>
  <c r="Q36" i="57" s="1"/>
  <c r="Q37" i="57" s="1"/>
  <c r="Q38" i="57" s="1"/>
  <c r="Q39" i="57" s="1"/>
  <c r="Q40" i="57" s="1"/>
  <c r="Q41" i="57" s="1"/>
  <c r="Q42" i="57" s="1"/>
  <c r="Q43" i="57" s="1"/>
  <c r="Q44" i="57" s="1"/>
  <c r="Q45" i="57" s="1"/>
  <c r="Q46" i="57" s="1"/>
  <c r="Q47" i="57" s="1"/>
  <c r="Q48" i="57" s="1"/>
  <c r="Q49" i="57" s="1"/>
  <c r="Q50" i="57" s="1"/>
  <c r="Q51" i="57" s="1"/>
  <c r="Q52" i="57" s="1"/>
  <c r="Q53" i="57" s="1"/>
  <c r="Q54" i="57" s="1"/>
  <c r="Q55" i="57" s="1"/>
  <c r="Q56" i="57" s="1"/>
  <c r="Q57" i="57" s="1"/>
  <c r="Q58" i="57" s="1"/>
  <c r="Q59" i="57" s="1"/>
  <c r="Q60" i="57" s="1"/>
  <c r="Q61" i="57" s="1"/>
  <c r="Q62" i="57" s="1"/>
  <c r="K32" i="57"/>
  <c r="F32" i="37"/>
  <c r="E32" i="37" s="1"/>
  <c r="F23" i="37"/>
  <c r="N41" i="37"/>
  <c r="Q41" i="37" s="1"/>
  <c r="F15" i="21"/>
  <c r="G15" i="21" s="1"/>
  <c r="N38" i="37"/>
  <c r="Q38" i="37" s="1"/>
  <c r="F14" i="21"/>
  <c r="G14" i="21" s="1"/>
  <c r="N35" i="37"/>
  <c r="Q35" i="37" s="1"/>
  <c r="F13" i="21"/>
  <c r="G13" i="21" s="1"/>
  <c r="H13" i="21" s="1"/>
  <c r="N32" i="37"/>
  <c r="R32" i="37" s="1"/>
  <c r="F12" i="21"/>
  <c r="N29" i="37"/>
  <c r="R29" i="37" s="1"/>
  <c r="F11" i="21"/>
  <c r="N26" i="37"/>
  <c r="P26" i="37" s="1"/>
  <c r="F10" i="21"/>
  <c r="N23" i="37"/>
  <c r="P23" i="37" s="1"/>
  <c r="F9" i="21"/>
  <c r="N20" i="37"/>
  <c r="R20" i="37" s="1"/>
  <c r="F8" i="21"/>
  <c r="N17" i="37"/>
  <c r="R17" i="37" s="1"/>
  <c r="F7" i="21"/>
  <c r="G7" i="21" s="1"/>
  <c r="H7" i="21" s="1"/>
  <c r="N14" i="37"/>
  <c r="R14" i="37" s="1"/>
  <c r="F6" i="21"/>
  <c r="N6" i="37"/>
  <c r="L8" i="37"/>
  <c r="F4" i="21" s="1"/>
  <c r="G4" i="21" s="1"/>
  <c r="H4" i="21" s="1"/>
  <c r="E26" i="37"/>
  <c r="R41" i="37"/>
  <c r="E41" i="37"/>
  <c r="E35" i="37"/>
  <c r="P29" i="37"/>
  <c r="E29" i="37"/>
  <c r="G20" i="37"/>
  <c r="H20" i="37" s="1"/>
  <c r="E38" i="37"/>
  <c r="N11" i="37"/>
  <c r="H7" i="37"/>
  <c r="P38" i="37" l="1"/>
  <c r="BD66" i="60"/>
  <c r="BD67" i="60" s="1"/>
  <c r="BD68" i="60" s="1"/>
  <c r="BD70" i="60" s="1"/>
  <c r="G33" i="57"/>
  <c r="K33" i="57" s="1"/>
  <c r="G32" i="37"/>
  <c r="H32" i="37" s="1"/>
  <c r="P17" i="37"/>
  <c r="P41" i="37"/>
  <c r="L43" i="37"/>
  <c r="G47" i="37" s="1"/>
  <c r="BC58" i="57"/>
  <c r="BC59" i="57" s="1"/>
  <c r="BA60" i="57" s="1"/>
  <c r="BC60" i="57" s="1"/>
  <c r="BA61" i="57" s="1"/>
  <c r="P35" i="37"/>
  <c r="Q23" i="37"/>
  <c r="BD65" i="60"/>
  <c r="BD163" i="60" s="1"/>
  <c r="BD166" i="60" s="1"/>
  <c r="AF42" i="60"/>
  <c r="AF162" i="60" s="1"/>
  <c r="AF165" i="60" s="1"/>
  <c r="AE87" i="60"/>
  <c r="T87" i="60"/>
  <c r="U88" i="60" s="1"/>
  <c r="U89" i="60" s="1"/>
  <c r="U90" i="60" s="1"/>
  <c r="AP133" i="60"/>
  <c r="AQ134" i="60" s="1"/>
  <c r="AQ135" i="60" s="1"/>
  <c r="AO136" i="60" s="1"/>
  <c r="T109" i="60"/>
  <c r="U110" i="60" s="1"/>
  <c r="U111" i="60" s="1"/>
  <c r="U112" i="60" s="1"/>
  <c r="H42" i="60"/>
  <c r="BC42" i="60"/>
  <c r="BC162" i="60" s="1"/>
  <c r="BC165" i="60" s="1"/>
  <c r="AZ136" i="60"/>
  <c r="BB133" i="60"/>
  <c r="AP155" i="60"/>
  <c r="AP156" i="60" s="1"/>
  <c r="AP152" i="60"/>
  <c r="AQ149" i="60"/>
  <c r="AQ46" i="60"/>
  <c r="AQ49" i="60"/>
  <c r="AQ158" i="60" s="1"/>
  <c r="AQ47" i="60"/>
  <c r="AQ42" i="60"/>
  <c r="G131" i="60"/>
  <c r="G134" i="60" s="1"/>
  <c r="G135" i="60" s="1"/>
  <c r="AQ129" i="60"/>
  <c r="AQ131" i="60" s="1"/>
  <c r="AQ91" i="60"/>
  <c r="AQ92" i="60"/>
  <c r="T161" i="60"/>
  <c r="T164" i="60" s="1"/>
  <c r="U21" i="60"/>
  <c r="U22" i="60" s="1"/>
  <c r="U23" i="60" s="1"/>
  <c r="G152" i="60"/>
  <c r="G155" i="60"/>
  <c r="G156" i="60" s="1"/>
  <c r="AF149" i="60"/>
  <c r="AF49" i="60"/>
  <c r="AF158" i="60" s="1"/>
  <c r="AF178" i="60" s="1"/>
  <c r="AF187" i="60" s="1"/>
  <c r="AF46" i="60"/>
  <c r="AF47" i="60"/>
  <c r="AE129" i="60"/>
  <c r="AE92" i="60"/>
  <c r="AE91" i="60"/>
  <c r="BB177" i="60"/>
  <c r="BB186" i="60" s="1"/>
  <c r="BB160" i="60"/>
  <c r="H129" i="60"/>
  <c r="H91" i="60"/>
  <c r="H92" i="60"/>
  <c r="T150" i="60"/>
  <c r="T72" i="60"/>
  <c r="T159" i="60" s="1"/>
  <c r="T179" i="60" s="1"/>
  <c r="T188" i="60" s="1"/>
  <c r="T70" i="60"/>
  <c r="T69" i="60"/>
  <c r="H149" i="60"/>
  <c r="H49" i="60"/>
  <c r="H158" i="60" s="1"/>
  <c r="H46" i="60"/>
  <c r="H47" i="60"/>
  <c r="AE110" i="60"/>
  <c r="AE111" i="60" s="1"/>
  <c r="AE112" i="60" s="1"/>
  <c r="AE109" i="60"/>
  <c r="BC110" i="60"/>
  <c r="BC111" i="60" s="1"/>
  <c r="BC112" i="60" s="1"/>
  <c r="AE65" i="60"/>
  <c r="AQ87" i="60"/>
  <c r="AN137" i="60"/>
  <c r="AN138" i="60"/>
  <c r="T114" i="60"/>
  <c r="T130" i="60"/>
  <c r="T113" i="60"/>
  <c r="AQ161" i="60"/>
  <c r="AQ164" i="60" s="1"/>
  <c r="AR21" i="60"/>
  <c r="AR22" i="60" s="1"/>
  <c r="AR23" i="60" s="1"/>
  <c r="BD150" i="60"/>
  <c r="BD69" i="60"/>
  <c r="BD72" i="60"/>
  <c r="BD159" i="60" s="1"/>
  <c r="BD179" i="60" s="1"/>
  <c r="BD188" i="60" s="1"/>
  <c r="BB151" i="60"/>
  <c r="BC149" i="60"/>
  <c r="BC49" i="60"/>
  <c r="BC158" i="60" s="1"/>
  <c r="BC46" i="60"/>
  <c r="BC47" i="60"/>
  <c r="H87" i="60"/>
  <c r="T65" i="60"/>
  <c r="H162" i="60"/>
  <c r="H165" i="60" s="1"/>
  <c r="I43" i="60"/>
  <c r="I44" i="60" s="1"/>
  <c r="I45" i="60" s="1"/>
  <c r="AP163" i="60"/>
  <c r="AP166" i="60" s="1"/>
  <c r="AQ66" i="60"/>
  <c r="AQ67" i="60" s="1"/>
  <c r="AQ68" i="60" s="1"/>
  <c r="AE150" i="60"/>
  <c r="AE70" i="60"/>
  <c r="AE72" i="60"/>
  <c r="AE159" i="60" s="1"/>
  <c r="AE69" i="60"/>
  <c r="H110" i="60"/>
  <c r="H111" i="60" s="1"/>
  <c r="H112" i="60" s="1"/>
  <c r="T129" i="60"/>
  <c r="T131" i="60" s="1"/>
  <c r="T92" i="60"/>
  <c r="T91" i="60"/>
  <c r="AR110" i="60"/>
  <c r="AR111" i="60" s="1"/>
  <c r="AR112" i="60" s="1"/>
  <c r="BD88" i="60"/>
  <c r="BD89" i="60" s="1"/>
  <c r="BD90" i="60" s="1"/>
  <c r="AD177" i="60"/>
  <c r="AD186" i="60" s="1"/>
  <c r="AD160" i="60"/>
  <c r="H65" i="60"/>
  <c r="H20" i="60"/>
  <c r="T42" i="60"/>
  <c r="AD155" i="60"/>
  <c r="AD156" i="60" s="1"/>
  <c r="BB161" i="60"/>
  <c r="BB164" i="60" s="1"/>
  <c r="BC21" i="60"/>
  <c r="BC22" i="60" s="1"/>
  <c r="BC23" i="60" s="1"/>
  <c r="Q136" i="60"/>
  <c r="S133" i="60"/>
  <c r="AD161" i="60"/>
  <c r="AD164" i="60" s="1"/>
  <c r="AE21" i="60"/>
  <c r="AE22" i="60" s="1"/>
  <c r="AE23" i="60" s="1"/>
  <c r="AQ177" i="60"/>
  <c r="AQ186" i="60" s="1"/>
  <c r="AF88" i="60"/>
  <c r="AF89" i="60" s="1"/>
  <c r="AF90" i="60" s="1"/>
  <c r="H150" i="60"/>
  <c r="H69" i="60"/>
  <c r="H72" i="60"/>
  <c r="H159" i="60" s="1"/>
  <c r="H70" i="60"/>
  <c r="H148" i="60"/>
  <c r="H24" i="60"/>
  <c r="H25" i="60"/>
  <c r="H27" i="60"/>
  <c r="H157" i="60" s="1"/>
  <c r="T149" i="60"/>
  <c r="T49" i="60"/>
  <c r="T158" i="60" s="1"/>
  <c r="T46" i="60"/>
  <c r="T47" i="60"/>
  <c r="AD131" i="60"/>
  <c r="AD134" i="60" s="1"/>
  <c r="AD135" i="60" s="1"/>
  <c r="Q29" i="37"/>
  <c r="R35" i="37"/>
  <c r="Q17" i="37"/>
  <c r="G6" i="37"/>
  <c r="F8" i="37"/>
  <c r="F35" i="57"/>
  <c r="J35" i="57" s="1"/>
  <c r="R23" i="37"/>
  <c r="H47" i="37"/>
  <c r="F47" i="37"/>
  <c r="G23" i="37"/>
  <c r="H23" i="37" s="1"/>
  <c r="E23" i="37"/>
  <c r="G11" i="21"/>
  <c r="H15" i="21"/>
  <c r="G9" i="21"/>
  <c r="O11" i="21"/>
  <c r="N11" i="21"/>
  <c r="N12" i="21" s="1"/>
  <c r="G6" i="21"/>
  <c r="N10" i="21"/>
  <c r="G8" i="21"/>
  <c r="G10" i="21"/>
  <c r="H10" i="21" s="1"/>
  <c r="F27" i="21"/>
  <c r="J27" i="21" s="1"/>
  <c r="N27" i="21" s="1"/>
  <c r="G12" i="21"/>
  <c r="H14" i="21"/>
  <c r="Q32" i="37"/>
  <c r="Q20" i="37"/>
  <c r="P20" i="37"/>
  <c r="P14" i="37"/>
  <c r="R38" i="37"/>
  <c r="P32" i="37"/>
  <c r="R26" i="37"/>
  <c r="Q26" i="37"/>
  <c r="Q14" i="37"/>
  <c r="P6" i="37"/>
  <c r="R6" i="37"/>
  <c r="Q6" i="37"/>
  <c r="P11" i="37"/>
  <c r="R11" i="37"/>
  <c r="Q11" i="37"/>
  <c r="AG43" i="60" l="1"/>
  <c r="AG44" i="60" s="1"/>
  <c r="AG45" i="60" s="1"/>
  <c r="BE66" i="60"/>
  <c r="BE67" i="60" s="1"/>
  <c r="BE68" i="60" s="1"/>
  <c r="BE72" i="60" s="1"/>
  <c r="BE159" i="60" s="1"/>
  <c r="T151" i="60"/>
  <c r="T152" i="60" s="1"/>
  <c r="H151" i="60"/>
  <c r="H152" i="60" s="1"/>
  <c r="BD43" i="60"/>
  <c r="BD44" i="60" s="1"/>
  <c r="BD45" i="60" s="1"/>
  <c r="AE20" i="60"/>
  <c r="BD87" i="60"/>
  <c r="BE88" i="60" s="1"/>
  <c r="BE89" i="60" s="1"/>
  <c r="BE90" i="60" s="1"/>
  <c r="BE65" i="60"/>
  <c r="BE163" i="60" s="1"/>
  <c r="BE166" i="60" s="1"/>
  <c r="H109" i="60"/>
  <c r="T178" i="60"/>
  <c r="T187" i="60" s="1"/>
  <c r="T160" i="60"/>
  <c r="U129" i="60"/>
  <c r="U91" i="60"/>
  <c r="U92" i="60"/>
  <c r="T162" i="60"/>
  <c r="T165" i="60" s="1"/>
  <c r="U43" i="60"/>
  <c r="U44" i="60" s="1"/>
  <c r="U45" i="60" s="1"/>
  <c r="AR130" i="60"/>
  <c r="AR114" i="60"/>
  <c r="AR113" i="60"/>
  <c r="AO138" i="60"/>
  <c r="AO137" i="60"/>
  <c r="I149" i="60"/>
  <c r="I49" i="60"/>
  <c r="I158" i="60" s="1"/>
  <c r="I46" i="60"/>
  <c r="I47" i="60"/>
  <c r="I88" i="60"/>
  <c r="I89" i="60" s="1"/>
  <c r="I90" i="60" s="1"/>
  <c r="BC113" i="60"/>
  <c r="BC114" i="60"/>
  <c r="BC130" i="60"/>
  <c r="BC131" i="60" s="1"/>
  <c r="AF110" i="60"/>
  <c r="AF111" i="60" s="1"/>
  <c r="AF112" i="60" s="1"/>
  <c r="BE150" i="60"/>
  <c r="BE70" i="60"/>
  <c r="BE69" i="60"/>
  <c r="U113" i="60"/>
  <c r="U114" i="60"/>
  <c r="U130" i="60"/>
  <c r="E136" i="60"/>
  <c r="G133" i="60"/>
  <c r="AG149" i="60"/>
  <c r="AG49" i="60"/>
  <c r="AG158" i="60" s="1"/>
  <c r="AG178" i="60" s="1"/>
  <c r="AG187" i="60" s="1"/>
  <c r="AG46" i="60"/>
  <c r="AG47" i="60"/>
  <c r="BC148" i="60"/>
  <c r="BC151" i="60" s="1"/>
  <c r="BC24" i="60"/>
  <c r="BC27" i="60"/>
  <c r="BC157" i="60" s="1"/>
  <c r="BC25" i="60"/>
  <c r="AB136" i="60"/>
  <c r="AD133" i="60"/>
  <c r="AE148" i="60"/>
  <c r="AE151" i="60" s="1"/>
  <c r="AE25" i="60"/>
  <c r="AE27" i="60"/>
  <c r="AE157" i="60" s="1"/>
  <c r="AE24" i="60"/>
  <c r="U87" i="60"/>
  <c r="BC20" i="60"/>
  <c r="H161" i="60"/>
  <c r="H164" i="60" s="1"/>
  <c r="I21" i="60"/>
  <c r="I22" i="60" s="1"/>
  <c r="I23" i="60" s="1"/>
  <c r="H163" i="60"/>
  <c r="H166" i="60" s="1"/>
  <c r="I66" i="60"/>
  <c r="I67" i="60" s="1"/>
  <c r="I68" i="60" s="1"/>
  <c r="BD129" i="60"/>
  <c r="BD91" i="60"/>
  <c r="BD92" i="60"/>
  <c r="H113" i="60"/>
  <c r="H114" i="60"/>
  <c r="H130" i="60"/>
  <c r="H131" i="60" s="1"/>
  <c r="AQ65" i="60"/>
  <c r="I42" i="60"/>
  <c r="BB152" i="60"/>
  <c r="BB155" i="60"/>
  <c r="BB156" i="60" s="1"/>
  <c r="BC109" i="60"/>
  <c r="AE130" i="60"/>
  <c r="AE131" i="60" s="1"/>
  <c r="AE114" i="60"/>
  <c r="AE113" i="60"/>
  <c r="U109" i="60"/>
  <c r="AQ162" i="60"/>
  <c r="AQ165" i="60" s="1"/>
  <c r="AR43" i="60"/>
  <c r="AR44" i="60" s="1"/>
  <c r="AR45" i="60" s="1"/>
  <c r="H177" i="60"/>
  <c r="H186" i="60" s="1"/>
  <c r="H160" i="60"/>
  <c r="AE161" i="60"/>
  <c r="AE164" i="60" s="1"/>
  <c r="AF21" i="60"/>
  <c r="AF22" i="60" s="1"/>
  <c r="AF23" i="60" s="1"/>
  <c r="BD149" i="60"/>
  <c r="BD49" i="60"/>
  <c r="BD158" i="60" s="1"/>
  <c r="BD178" i="60" s="1"/>
  <c r="BD187" i="60" s="1"/>
  <c r="BD46" i="60"/>
  <c r="BD47" i="60"/>
  <c r="I110" i="60"/>
  <c r="I111" i="60" s="1"/>
  <c r="I112" i="60" s="1"/>
  <c r="AQ150" i="60"/>
  <c r="AQ151" i="60" s="1"/>
  <c r="AQ152" i="60" s="1"/>
  <c r="AQ69" i="60"/>
  <c r="AQ70" i="60"/>
  <c r="AQ72" i="60"/>
  <c r="AQ159" i="60" s="1"/>
  <c r="AR148" i="60"/>
  <c r="AR25" i="60"/>
  <c r="AR27" i="60"/>
  <c r="AR157" i="60" s="1"/>
  <c r="AR24" i="60"/>
  <c r="AR88" i="60"/>
  <c r="AR89" i="60" s="1"/>
  <c r="AR90" i="60" s="1"/>
  <c r="T155" i="60"/>
  <c r="T156" i="60" s="1"/>
  <c r="U148" i="60"/>
  <c r="U24" i="60"/>
  <c r="U25" i="60"/>
  <c r="U27" i="60"/>
  <c r="U157" i="60" s="1"/>
  <c r="BC134" i="60"/>
  <c r="BC135" i="60" s="1"/>
  <c r="BA136" i="60" s="1"/>
  <c r="AF129" i="60"/>
  <c r="AF92" i="60"/>
  <c r="AF91" i="60"/>
  <c r="T134" i="60"/>
  <c r="T135" i="60" s="1"/>
  <c r="R136" i="60" s="1"/>
  <c r="AF87" i="60"/>
  <c r="AG42" i="60"/>
  <c r="Q137" i="60"/>
  <c r="Q138" i="60"/>
  <c r="BD42" i="60"/>
  <c r="AR109" i="60"/>
  <c r="AQ133" i="60"/>
  <c r="T163" i="60"/>
  <c r="T166" i="60" s="1"/>
  <c r="U66" i="60"/>
  <c r="U67" i="60" s="1"/>
  <c r="U68" i="60" s="1"/>
  <c r="AR20" i="60"/>
  <c r="AE163" i="60"/>
  <c r="AE166" i="60" s="1"/>
  <c r="AF66" i="60"/>
  <c r="AF67" i="60" s="1"/>
  <c r="AF68" i="60" s="1"/>
  <c r="U20" i="60"/>
  <c r="AQ178" i="60"/>
  <c r="AQ187" i="60" s="1"/>
  <c r="AZ137" i="60"/>
  <c r="AZ138" i="60"/>
  <c r="H6" i="37"/>
  <c r="H8" i="37" s="1"/>
  <c r="G8" i="37"/>
  <c r="P15" i="37"/>
  <c r="P24" i="37" s="1"/>
  <c r="F36" i="57"/>
  <c r="J36" i="57" s="1"/>
  <c r="BC61" i="57"/>
  <c r="BA62" i="57" s="1"/>
  <c r="N13" i="21"/>
  <c r="H12" i="21"/>
  <c r="P11" i="21"/>
  <c r="P12" i="21" s="1"/>
  <c r="O12" i="21"/>
  <c r="H8" i="21"/>
  <c r="H25" i="21" s="1"/>
  <c r="L25" i="21" s="1"/>
  <c r="P25" i="21" s="1"/>
  <c r="H6" i="21"/>
  <c r="O10" i="21"/>
  <c r="H9" i="21"/>
  <c r="H11" i="21"/>
  <c r="M175" i="55"/>
  <c r="N175" i="55"/>
  <c r="M135" i="55"/>
  <c r="N135" i="55"/>
  <c r="F62" i="55"/>
  <c r="G62" i="55"/>
  <c r="H62" i="55"/>
  <c r="I62" i="55"/>
  <c r="J62" i="55"/>
  <c r="K62" i="55"/>
  <c r="L62" i="55"/>
  <c r="M62" i="55"/>
  <c r="N62" i="55"/>
  <c r="H155" i="60" l="1"/>
  <c r="H156" i="60" s="1"/>
  <c r="BF66" i="60"/>
  <c r="BF67" i="60" s="1"/>
  <c r="BF68" i="60" s="1"/>
  <c r="BF72" i="60" s="1"/>
  <c r="BF159" i="60" s="1"/>
  <c r="BF179" i="60" s="1"/>
  <c r="BF188" i="60" s="1"/>
  <c r="AF20" i="60"/>
  <c r="BE87" i="60"/>
  <c r="BF88" i="60" s="1"/>
  <c r="BF89" i="60" s="1"/>
  <c r="BF90" i="60" s="1"/>
  <c r="AF65" i="60"/>
  <c r="BC133" i="60"/>
  <c r="BD162" i="60"/>
  <c r="BD165" i="60" s="1"/>
  <c r="BE43" i="60"/>
  <c r="BE44" i="60" s="1"/>
  <c r="BE45" i="60" s="1"/>
  <c r="U161" i="60"/>
  <c r="U164" i="60" s="1"/>
  <c r="V21" i="60"/>
  <c r="V22" i="60" s="1"/>
  <c r="V23" i="60" s="1"/>
  <c r="AR161" i="60"/>
  <c r="AR164" i="60" s="1"/>
  <c r="AS21" i="60"/>
  <c r="AS22" i="60" s="1"/>
  <c r="AS23" i="60" s="1"/>
  <c r="R137" i="60"/>
  <c r="R138" i="60"/>
  <c r="AR177" i="60"/>
  <c r="AR186" i="60" s="1"/>
  <c r="I113" i="60"/>
  <c r="I130" i="60"/>
  <c r="I114" i="60"/>
  <c r="AF161" i="60"/>
  <c r="AF164" i="60" s="1"/>
  <c r="AG21" i="60"/>
  <c r="AG22" i="60" s="1"/>
  <c r="AG23" i="60" s="1"/>
  <c r="V110" i="60"/>
  <c r="V111" i="60" s="1"/>
  <c r="V112" i="60" s="1"/>
  <c r="I162" i="60"/>
  <c r="I165" i="60" s="1"/>
  <c r="J43" i="60"/>
  <c r="J44" i="60" s="1"/>
  <c r="J45" i="60" s="1"/>
  <c r="I150" i="60"/>
  <c r="I69" i="60"/>
  <c r="I70" i="60"/>
  <c r="I72" i="60"/>
  <c r="I159" i="60" s="1"/>
  <c r="I179" i="60" s="1"/>
  <c r="I188" i="60" s="1"/>
  <c r="I20" i="60"/>
  <c r="AE134" i="60"/>
  <c r="AE135" i="60" s="1"/>
  <c r="AC136" i="60" s="1"/>
  <c r="H134" i="60"/>
  <c r="H135" i="60" s="1"/>
  <c r="F136" i="60" s="1"/>
  <c r="I87" i="60"/>
  <c r="AF163" i="60"/>
  <c r="AF166" i="60" s="1"/>
  <c r="AG66" i="60"/>
  <c r="AG67" i="60" s="1"/>
  <c r="AG68" i="60" s="1"/>
  <c r="AG88" i="60"/>
  <c r="AG89" i="60" s="1"/>
  <c r="AG90" i="60" s="1"/>
  <c r="AF150" i="60"/>
  <c r="AF72" i="60"/>
  <c r="AF159" i="60" s="1"/>
  <c r="AF179" i="60" s="1"/>
  <c r="AF188" i="60" s="1"/>
  <c r="AF70" i="60"/>
  <c r="AF69" i="60"/>
  <c r="U65" i="60"/>
  <c r="AS110" i="60"/>
  <c r="AS111" i="60" s="1"/>
  <c r="AS112" i="60" s="1"/>
  <c r="AG162" i="60"/>
  <c r="AG165" i="60" s="1"/>
  <c r="AH43" i="60"/>
  <c r="AH44" i="60" s="1"/>
  <c r="AH45" i="60" s="1"/>
  <c r="T133" i="60"/>
  <c r="BA137" i="60"/>
  <c r="BA138" i="60"/>
  <c r="AR87" i="60"/>
  <c r="I109" i="60"/>
  <c r="AF148" i="60"/>
  <c r="AF27" i="60"/>
  <c r="AF157" i="60" s="1"/>
  <c r="AF25" i="60"/>
  <c r="AF24" i="60"/>
  <c r="AR42" i="60"/>
  <c r="BD110" i="60"/>
  <c r="BD111" i="60" s="1"/>
  <c r="BD112" i="60" s="1"/>
  <c r="AQ163" i="60"/>
  <c r="AQ166" i="60" s="1"/>
  <c r="AR66" i="60"/>
  <c r="AR67" i="60" s="1"/>
  <c r="AR68" i="60" s="1"/>
  <c r="I65" i="60"/>
  <c r="AE177" i="60"/>
  <c r="AE160" i="60"/>
  <c r="AB138" i="60"/>
  <c r="AB137" i="60"/>
  <c r="E137" i="60"/>
  <c r="E138" i="60"/>
  <c r="H178" i="60"/>
  <c r="U150" i="60"/>
  <c r="U69" i="60"/>
  <c r="U72" i="60"/>
  <c r="U159" i="60" s="1"/>
  <c r="U179" i="60" s="1"/>
  <c r="U188" i="60" s="1"/>
  <c r="U70" i="60"/>
  <c r="AR129" i="60"/>
  <c r="AR131" i="60" s="1"/>
  <c r="AR134" i="60" s="1"/>
  <c r="AR135" i="60" s="1"/>
  <c r="AR92" i="60"/>
  <c r="AR91" i="60"/>
  <c r="AR149" i="60"/>
  <c r="AR47" i="60"/>
  <c r="AR49" i="60"/>
  <c r="AR158" i="60" s="1"/>
  <c r="AR46" i="60"/>
  <c r="BC161" i="60"/>
  <c r="BC164" i="60" s="1"/>
  <c r="BD21" i="60"/>
  <c r="BD22" i="60" s="1"/>
  <c r="BD23" i="60" s="1"/>
  <c r="AQ155" i="60"/>
  <c r="AQ156" i="60" s="1"/>
  <c r="AF109" i="60"/>
  <c r="U149" i="60"/>
  <c r="U151" i="60" s="1"/>
  <c r="U49" i="60"/>
  <c r="U158" i="60" s="1"/>
  <c r="U178" i="60" s="1"/>
  <c r="U187" i="60" s="1"/>
  <c r="U46" i="60"/>
  <c r="U47" i="60"/>
  <c r="BF150" i="60"/>
  <c r="BF69" i="60"/>
  <c r="BF70" i="60"/>
  <c r="BF65" i="60"/>
  <c r="U177" i="60"/>
  <c r="U186" i="60" s="1"/>
  <c r="AQ179" i="60"/>
  <c r="AQ188" i="60" s="1"/>
  <c r="AQ160" i="60"/>
  <c r="BE129" i="60"/>
  <c r="BE92" i="60"/>
  <c r="BE91" i="60"/>
  <c r="BC152" i="60"/>
  <c r="BC155" i="60"/>
  <c r="BC156" i="60" s="1"/>
  <c r="I148" i="60"/>
  <c r="I24" i="60"/>
  <c r="I25" i="60"/>
  <c r="I27" i="60"/>
  <c r="I157" i="60" s="1"/>
  <c r="V88" i="60"/>
  <c r="V89" i="60" s="1"/>
  <c r="V90" i="60" s="1"/>
  <c r="AE155" i="60"/>
  <c r="AE156" i="60" s="1"/>
  <c r="AE152" i="60"/>
  <c r="BC177" i="60"/>
  <c r="BC160" i="60"/>
  <c r="AF114" i="60"/>
  <c r="AF130" i="60"/>
  <c r="AF131" i="60" s="1"/>
  <c r="AF113" i="60"/>
  <c r="I129" i="60"/>
  <c r="I131" i="60" s="1"/>
  <c r="I91" i="60"/>
  <c r="I92" i="60"/>
  <c r="U42" i="60"/>
  <c r="U131" i="60"/>
  <c r="F37" i="57"/>
  <c r="J37" i="57" s="1"/>
  <c r="BC62" i="57"/>
  <c r="BA63" i="57" s="1"/>
  <c r="O13" i="21"/>
  <c r="P10" i="21"/>
  <c r="AR178" i="60" l="1"/>
  <c r="AR187" i="60" s="1"/>
  <c r="I151" i="60"/>
  <c r="I152" i="60" s="1"/>
  <c r="BF163" i="60"/>
  <c r="BF166" i="60" s="1"/>
  <c r="BG66" i="60"/>
  <c r="BG67" i="60" s="1"/>
  <c r="BG68" i="60" s="1"/>
  <c r="AF151" i="60"/>
  <c r="AF155" i="60" s="1"/>
  <c r="AF156" i="60" s="1"/>
  <c r="AG87" i="60"/>
  <c r="BC186" i="60"/>
  <c r="BC178" i="60"/>
  <c r="BC187" i="60" s="1"/>
  <c r="AP136" i="60"/>
  <c r="AR133" i="60"/>
  <c r="U152" i="60"/>
  <c r="U155" i="60"/>
  <c r="U156" i="60" s="1"/>
  <c r="BF129" i="60"/>
  <c r="BF92" i="60"/>
  <c r="BF91" i="60"/>
  <c r="I163" i="60"/>
  <c r="I166" i="60" s="1"/>
  <c r="J66" i="60"/>
  <c r="J67" i="60" s="1"/>
  <c r="J68" i="60" s="1"/>
  <c r="BD113" i="60"/>
  <c r="BD130" i="60"/>
  <c r="BD131" i="60" s="1"/>
  <c r="BD134" i="60" s="1"/>
  <c r="BD135" i="60" s="1"/>
  <c r="BD114" i="60"/>
  <c r="AS88" i="60"/>
  <c r="AS89" i="60" s="1"/>
  <c r="AS90" i="60" s="1"/>
  <c r="AH149" i="60"/>
  <c r="AH49" i="60"/>
  <c r="AH158" i="60" s="1"/>
  <c r="AH46" i="60"/>
  <c r="AH47" i="60"/>
  <c r="AS114" i="60"/>
  <c r="AS130" i="60"/>
  <c r="AS113" i="60"/>
  <c r="AG129" i="60"/>
  <c r="AG91" i="60"/>
  <c r="AG92" i="60"/>
  <c r="AE133" i="60"/>
  <c r="J149" i="60"/>
  <c r="J47" i="60"/>
  <c r="J49" i="60"/>
  <c r="J158" i="60" s="1"/>
  <c r="J178" i="60" s="1"/>
  <c r="J187" i="60" s="1"/>
  <c r="J46" i="60"/>
  <c r="AG20" i="60"/>
  <c r="V148" i="60"/>
  <c r="V24" i="60"/>
  <c r="V25" i="60"/>
  <c r="V27" i="60"/>
  <c r="V157" i="60" s="1"/>
  <c r="BE149" i="60"/>
  <c r="BE47" i="60"/>
  <c r="BE49" i="60"/>
  <c r="BE158" i="60" s="1"/>
  <c r="BE46" i="60"/>
  <c r="V129" i="60"/>
  <c r="V91" i="60"/>
  <c r="V92" i="60"/>
  <c r="BD148" i="60"/>
  <c r="BD151" i="60" s="1"/>
  <c r="BD152" i="60" s="1"/>
  <c r="BD24" i="60"/>
  <c r="BD25" i="60"/>
  <c r="BD27" i="60"/>
  <c r="BD157" i="60" s="1"/>
  <c r="BF87" i="60"/>
  <c r="H187" i="60"/>
  <c r="H179" i="60"/>
  <c r="H188" i="60" s="1"/>
  <c r="AR65" i="60"/>
  <c r="BD109" i="60"/>
  <c r="AF177" i="60"/>
  <c r="AF186" i="60" s="1"/>
  <c r="AF160" i="60"/>
  <c r="AH42" i="60"/>
  <c r="AH162" i="60" s="1"/>
  <c r="AH165" i="60" s="1"/>
  <c r="U163" i="60"/>
  <c r="U166" i="60" s="1"/>
  <c r="V66" i="60"/>
  <c r="V67" i="60" s="1"/>
  <c r="V68" i="60" s="1"/>
  <c r="AH88" i="60"/>
  <c r="AH89" i="60" s="1"/>
  <c r="AH90" i="60" s="1"/>
  <c r="J88" i="60"/>
  <c r="J89" i="60" s="1"/>
  <c r="J90" i="60" s="1"/>
  <c r="AC137" i="60"/>
  <c r="AC138" i="60"/>
  <c r="AG148" i="60"/>
  <c r="AG24" i="60"/>
  <c r="AG25" i="60"/>
  <c r="AG27" i="60"/>
  <c r="AG157" i="60" s="1"/>
  <c r="AS20" i="60"/>
  <c r="V20" i="60"/>
  <c r="U162" i="60"/>
  <c r="U165" i="60" s="1"/>
  <c r="V43" i="60"/>
  <c r="V44" i="60" s="1"/>
  <c r="V45" i="60" s="1"/>
  <c r="AG110" i="60"/>
  <c r="AG111" i="60" s="1"/>
  <c r="AG112" i="60" s="1"/>
  <c r="BD20" i="60"/>
  <c r="AR150" i="60"/>
  <c r="AR151" i="60" s="1"/>
  <c r="AR70" i="60"/>
  <c r="AR72" i="60"/>
  <c r="AR159" i="60" s="1"/>
  <c r="AR179" i="60" s="1"/>
  <c r="AR188" i="60" s="1"/>
  <c r="AR69" i="60"/>
  <c r="AR162" i="60"/>
  <c r="AR165" i="60" s="1"/>
  <c r="AS43" i="60"/>
  <c r="AS44" i="60" s="1"/>
  <c r="AS45" i="60" s="1"/>
  <c r="I155" i="60"/>
  <c r="I156" i="60" s="1"/>
  <c r="AG150" i="60"/>
  <c r="AG69" i="60"/>
  <c r="AG72" i="60"/>
  <c r="AG159" i="60" s="1"/>
  <c r="AG179" i="60" s="1"/>
  <c r="AG188" i="60" s="1"/>
  <c r="AG70" i="60"/>
  <c r="F137" i="60"/>
  <c r="F138" i="60"/>
  <c r="I161" i="60"/>
  <c r="I164" i="60" s="1"/>
  <c r="J21" i="60"/>
  <c r="J22" i="60" s="1"/>
  <c r="J23" i="60" s="1"/>
  <c r="V113" i="60"/>
  <c r="V130" i="60"/>
  <c r="V114" i="60"/>
  <c r="AR160" i="60"/>
  <c r="AS148" i="60"/>
  <c r="AS27" i="60"/>
  <c r="AS157" i="60" s="1"/>
  <c r="AS25" i="60"/>
  <c r="AS24" i="60"/>
  <c r="V87" i="60"/>
  <c r="AF152" i="60"/>
  <c r="I177" i="60"/>
  <c r="I160" i="60"/>
  <c r="U160" i="60"/>
  <c r="AE186" i="60"/>
  <c r="AE178" i="60"/>
  <c r="J110" i="60"/>
  <c r="J111" i="60" s="1"/>
  <c r="J112" i="60" s="1"/>
  <c r="U134" i="60"/>
  <c r="U135" i="60" s="1"/>
  <c r="S136" i="60" s="1"/>
  <c r="AS109" i="60"/>
  <c r="AG65" i="60"/>
  <c r="H133" i="60"/>
  <c r="J42" i="60"/>
  <c r="V109" i="60"/>
  <c r="BE42" i="60"/>
  <c r="BC63" i="57"/>
  <c r="F38" i="57"/>
  <c r="J38" i="57" s="1"/>
  <c r="BH42" i="43"/>
  <c r="BH43" i="43" s="1"/>
  <c r="BI43" i="43" s="1"/>
  <c r="BH42" i="50"/>
  <c r="BH43" i="50" s="1"/>
  <c r="BI43" i="50" s="1"/>
  <c r="BN51" i="43"/>
  <c r="BH49" i="43"/>
  <c r="BH49" i="50"/>
  <c r="BG65" i="60" l="1"/>
  <c r="BG88" i="60"/>
  <c r="BG89" i="60" s="1"/>
  <c r="BG90" i="60" s="1"/>
  <c r="BG72" i="60"/>
  <c r="BG159" i="60" s="1"/>
  <c r="BG179" i="60" s="1"/>
  <c r="BG188" i="60" s="1"/>
  <c r="BG69" i="60"/>
  <c r="BG70" i="60"/>
  <c r="BG150" i="60"/>
  <c r="U133" i="60"/>
  <c r="AG109" i="60"/>
  <c r="AH110" i="60" s="1"/>
  <c r="AH111" i="60" s="1"/>
  <c r="AH112" i="60" s="1"/>
  <c r="J109" i="60"/>
  <c r="J148" i="60"/>
  <c r="J25" i="60"/>
  <c r="J27" i="60"/>
  <c r="J157" i="60" s="1"/>
  <c r="J24" i="60"/>
  <c r="AR155" i="60"/>
  <c r="AR156" i="60" s="1"/>
  <c r="AR152" i="60"/>
  <c r="V149" i="60"/>
  <c r="V49" i="60"/>
  <c r="V158" i="60" s="1"/>
  <c r="V178" i="60" s="1"/>
  <c r="V187" i="60" s="1"/>
  <c r="V46" i="60"/>
  <c r="V47" i="60"/>
  <c r="AS161" i="60"/>
  <c r="AS164" i="60" s="1"/>
  <c r="AT21" i="60"/>
  <c r="AT22" i="60" s="1"/>
  <c r="AT23" i="60" s="1"/>
  <c r="AG151" i="60"/>
  <c r="AG155" i="60" s="1"/>
  <c r="AG156" i="60" s="1"/>
  <c r="J129" i="60"/>
  <c r="J92" i="60"/>
  <c r="J91" i="60"/>
  <c r="V150" i="60"/>
  <c r="V69" i="60"/>
  <c r="V70" i="60"/>
  <c r="V72" i="60"/>
  <c r="V159" i="60" s="1"/>
  <c r="V179" i="60" s="1"/>
  <c r="V188" i="60" s="1"/>
  <c r="AF134" i="60"/>
  <c r="AF135" i="60" s="1"/>
  <c r="AD136" i="60" s="1"/>
  <c r="AS87" i="60"/>
  <c r="J65" i="60"/>
  <c r="I134" i="60"/>
  <c r="I135" i="60" s="1"/>
  <c r="G136" i="60" s="1"/>
  <c r="BE162" i="60"/>
  <c r="BE165" i="60" s="1"/>
  <c r="BF43" i="60"/>
  <c r="BF44" i="60" s="1"/>
  <c r="BF45" i="60" s="1"/>
  <c r="K110" i="60"/>
  <c r="K111" i="60" s="1"/>
  <c r="K112" i="60" s="1"/>
  <c r="J20" i="60"/>
  <c r="BD161" i="60"/>
  <c r="BD164" i="60" s="1"/>
  <c r="BE21" i="60"/>
  <c r="BE22" i="60" s="1"/>
  <c r="BE23" i="60" s="1"/>
  <c r="V42" i="60"/>
  <c r="AG177" i="60"/>
  <c r="AG186" i="60" s="1"/>
  <c r="AG160" i="60"/>
  <c r="AH129" i="60"/>
  <c r="AH91" i="60"/>
  <c r="AH92" i="60"/>
  <c r="BE110" i="60"/>
  <c r="BE111" i="60" s="1"/>
  <c r="BE112" i="60" s="1"/>
  <c r="J150" i="60"/>
  <c r="J70" i="60"/>
  <c r="J72" i="60"/>
  <c r="J159" i="60" s="1"/>
  <c r="J179" i="60" s="1"/>
  <c r="J188" i="60" s="1"/>
  <c r="J69" i="60"/>
  <c r="AP137" i="60"/>
  <c r="AP138" i="60"/>
  <c r="AG163" i="60"/>
  <c r="AG166" i="60" s="1"/>
  <c r="AH66" i="60"/>
  <c r="AH67" i="60" s="1"/>
  <c r="AH68" i="60" s="1"/>
  <c r="W110" i="60"/>
  <c r="W111" i="60" s="1"/>
  <c r="W112" i="60" s="1"/>
  <c r="AT110" i="60"/>
  <c r="AT111" i="60" s="1"/>
  <c r="AT112" i="60" s="1"/>
  <c r="J130" i="60"/>
  <c r="J114" i="60"/>
  <c r="J113" i="60"/>
  <c r="W88" i="60"/>
  <c r="W89" i="60" s="1"/>
  <c r="W90" i="60" s="1"/>
  <c r="AS177" i="60"/>
  <c r="AS186" i="60" s="1"/>
  <c r="AS42" i="60"/>
  <c r="AG113" i="60"/>
  <c r="AG114" i="60"/>
  <c r="AG130" i="60"/>
  <c r="AH87" i="60"/>
  <c r="AR163" i="60"/>
  <c r="AR166" i="60" s="1"/>
  <c r="AS66" i="60"/>
  <c r="AS67" i="60" s="1"/>
  <c r="AS68" i="60" s="1"/>
  <c r="BD177" i="60"/>
  <c r="BD186" i="60" s="1"/>
  <c r="BD160" i="60"/>
  <c r="BD155" i="60"/>
  <c r="BD156" i="60" s="1"/>
  <c r="V131" i="60"/>
  <c r="BB136" i="60"/>
  <c r="BD133" i="60"/>
  <c r="J162" i="60"/>
  <c r="J165" i="60" s="1"/>
  <c r="K43" i="60"/>
  <c r="K44" i="60" s="1"/>
  <c r="K45" i="60" s="1"/>
  <c r="S137" i="60"/>
  <c r="S138" i="60"/>
  <c r="AE187" i="60"/>
  <c r="AE179" i="60"/>
  <c r="AE188" i="60" s="1"/>
  <c r="I186" i="60"/>
  <c r="I178" i="60"/>
  <c r="I187" i="60" s="1"/>
  <c r="AS149" i="60"/>
  <c r="AS49" i="60"/>
  <c r="AS158" i="60" s="1"/>
  <c r="AS178" i="60" s="1"/>
  <c r="AS187" i="60" s="1"/>
  <c r="AS46" i="60"/>
  <c r="AS47" i="60"/>
  <c r="V161" i="60"/>
  <c r="V164" i="60" s="1"/>
  <c r="W21" i="60"/>
  <c r="W22" i="60" s="1"/>
  <c r="W23" i="60" s="1"/>
  <c r="J87" i="60"/>
  <c r="V65" i="60"/>
  <c r="V177" i="60"/>
  <c r="V186" i="60" s="1"/>
  <c r="V160" i="60"/>
  <c r="AG161" i="60"/>
  <c r="AG164" i="60" s="1"/>
  <c r="AH21" i="60"/>
  <c r="AH22" i="60" s="1"/>
  <c r="AH23" i="60" s="1"/>
  <c r="AG131" i="60"/>
  <c r="AS129" i="60"/>
  <c r="AS131" i="60" s="1"/>
  <c r="AS134" i="60" s="1"/>
  <c r="AS135" i="60" s="1"/>
  <c r="AS92" i="60"/>
  <c r="AS91" i="60"/>
  <c r="F39" i="57"/>
  <c r="J39" i="57" s="1"/>
  <c r="BC64" i="57"/>
  <c r="V151" i="60" l="1"/>
  <c r="AH65" i="60"/>
  <c r="AH163" i="60" s="1"/>
  <c r="AH166" i="60" s="1"/>
  <c r="BG87" i="60"/>
  <c r="BG91" i="60"/>
  <c r="BG129" i="60"/>
  <c r="BG92" i="60"/>
  <c r="V134" i="60"/>
  <c r="V135" i="60" s="1"/>
  <c r="V133" i="60" s="1"/>
  <c r="BG163" i="60"/>
  <c r="BG166" i="60" s="1"/>
  <c r="BH66" i="60"/>
  <c r="BH67" i="60" s="1"/>
  <c r="BH68" i="60" s="1"/>
  <c r="K109" i="60"/>
  <c r="BE109" i="60"/>
  <c r="V155" i="60"/>
  <c r="V156" i="60" s="1"/>
  <c r="V152" i="60"/>
  <c r="AT109" i="60"/>
  <c r="AG152" i="60"/>
  <c r="AS65" i="60"/>
  <c r="AS163" i="60" s="1"/>
  <c r="AS166" i="60" s="1"/>
  <c r="W87" i="60"/>
  <c r="BF42" i="60"/>
  <c r="AQ136" i="60"/>
  <c r="AS133" i="60"/>
  <c r="AH148" i="60"/>
  <c r="AH24" i="60"/>
  <c r="AH25" i="60"/>
  <c r="AH27" i="60"/>
  <c r="AH157" i="60" s="1"/>
  <c r="W20" i="60"/>
  <c r="W161" i="60" s="1"/>
  <c r="W164" i="60" s="1"/>
  <c r="K42" i="60"/>
  <c r="K162" i="60" s="1"/>
  <c r="K165" i="60" s="1"/>
  <c r="AS162" i="60"/>
  <c r="AS165" i="60" s="1"/>
  <c r="AT43" i="60"/>
  <c r="AT44" i="60" s="1"/>
  <c r="AT45" i="60" s="1"/>
  <c r="W129" i="60"/>
  <c r="W92" i="60"/>
  <c r="W91" i="60"/>
  <c r="AT113" i="60"/>
  <c r="AT114" i="60"/>
  <c r="AT130" i="60"/>
  <c r="AH150" i="60"/>
  <c r="AH69" i="60"/>
  <c r="AH70" i="60"/>
  <c r="AH72" i="60"/>
  <c r="AH159" i="60" s="1"/>
  <c r="AH179" i="60" s="1"/>
  <c r="AH188" i="60" s="1"/>
  <c r="BE130" i="60"/>
  <c r="BE131" i="60" s="1"/>
  <c r="BE134" i="60" s="1"/>
  <c r="BE135" i="60" s="1"/>
  <c r="BC136" i="60" s="1"/>
  <c r="BE114" i="60"/>
  <c r="BE113" i="60"/>
  <c r="BE20" i="60"/>
  <c r="BF149" i="60"/>
  <c r="BF49" i="60"/>
  <c r="BF158" i="60" s="1"/>
  <c r="BF178" i="60" s="1"/>
  <c r="BF187" i="60" s="1"/>
  <c r="BF46" i="60"/>
  <c r="BF47" i="60"/>
  <c r="I133" i="60"/>
  <c r="J163" i="60"/>
  <c r="J166" i="60" s="1"/>
  <c r="K66" i="60"/>
  <c r="K67" i="60" s="1"/>
  <c r="K68" i="60" s="1"/>
  <c r="K88" i="60"/>
  <c r="K89" i="60" s="1"/>
  <c r="K90" i="60" s="1"/>
  <c r="AH109" i="60"/>
  <c r="AH20" i="60"/>
  <c r="AH161" i="60" s="1"/>
  <c r="AH164" i="60" s="1"/>
  <c r="V163" i="60"/>
  <c r="V166" i="60" s="1"/>
  <c r="W66" i="60"/>
  <c r="W67" i="60" s="1"/>
  <c r="W68" i="60" s="1"/>
  <c r="AS150" i="60"/>
  <c r="AS151" i="60" s="1"/>
  <c r="AS72" i="60"/>
  <c r="AS159" i="60" s="1"/>
  <c r="AS179" i="60" s="1"/>
  <c r="AS188" i="60" s="1"/>
  <c r="AS70" i="60"/>
  <c r="AS69" i="60"/>
  <c r="K130" i="60"/>
  <c r="K113" i="60"/>
  <c r="K114" i="60"/>
  <c r="G138" i="60"/>
  <c r="G137" i="60"/>
  <c r="AT88" i="60"/>
  <c r="AT89" i="60" s="1"/>
  <c r="AT90" i="60" s="1"/>
  <c r="AT20" i="60"/>
  <c r="AT161" i="60" s="1"/>
  <c r="AT164" i="60" s="1"/>
  <c r="J151" i="60"/>
  <c r="AH113" i="60"/>
  <c r="AH130" i="60"/>
  <c r="AH131" i="60" s="1"/>
  <c r="AH114" i="60"/>
  <c r="W109" i="60"/>
  <c r="V162" i="60"/>
  <c r="V165" i="60" s="1"/>
  <c r="W43" i="60"/>
  <c r="W44" i="60" s="1"/>
  <c r="W45" i="60" s="1"/>
  <c r="J161" i="60"/>
  <c r="J164" i="60" s="1"/>
  <c r="K21" i="60"/>
  <c r="K22" i="60" s="1"/>
  <c r="K23" i="60" s="1"/>
  <c r="AD137" i="60"/>
  <c r="AD138" i="60"/>
  <c r="AT148" i="60"/>
  <c r="AT24" i="60"/>
  <c r="AT25" i="60"/>
  <c r="AT27" i="60"/>
  <c r="AT157" i="60" s="1"/>
  <c r="W148" i="60"/>
  <c r="W25" i="60"/>
  <c r="W27" i="60"/>
  <c r="W157" i="60" s="1"/>
  <c r="W24" i="60"/>
  <c r="K149" i="60"/>
  <c r="K49" i="60"/>
  <c r="K158" i="60" s="1"/>
  <c r="K47" i="60"/>
  <c r="K46" i="60"/>
  <c r="BB138" i="60"/>
  <c r="BB137" i="60"/>
  <c r="W130" i="60"/>
  <c r="W114" i="60"/>
  <c r="W113" i="60"/>
  <c r="BF110" i="60"/>
  <c r="BF111" i="60" s="1"/>
  <c r="BF112" i="60" s="1"/>
  <c r="BE148" i="60"/>
  <c r="BE151" i="60" s="1"/>
  <c r="BE25" i="60"/>
  <c r="BE27" i="60"/>
  <c r="BE157" i="60" s="1"/>
  <c r="BE24" i="60"/>
  <c r="AF133" i="60"/>
  <c r="J131" i="60"/>
  <c r="J177" i="60"/>
  <c r="J186" i="60" s="1"/>
  <c r="J160" i="60"/>
  <c r="F40" i="57"/>
  <c r="J40" i="57" s="1"/>
  <c r="BC65" i="57"/>
  <c r="BA66" i="57" s="1"/>
  <c r="N106" i="55"/>
  <c r="M106" i="55"/>
  <c r="L106" i="55"/>
  <c r="K106" i="55"/>
  <c r="J106" i="55"/>
  <c r="I106" i="55"/>
  <c r="H106" i="55"/>
  <c r="G106" i="55"/>
  <c r="F106" i="55"/>
  <c r="E106" i="55"/>
  <c r="E109" i="55" s="1"/>
  <c r="E110" i="55" s="1"/>
  <c r="E108" i="55" s="1"/>
  <c r="D98" i="55"/>
  <c r="D97" i="55"/>
  <c r="D96" i="55"/>
  <c r="D95" i="55"/>
  <c r="D164" i="55"/>
  <c r="N84" i="55"/>
  <c r="M84" i="55"/>
  <c r="L84" i="55"/>
  <c r="K84" i="55"/>
  <c r="J84" i="55"/>
  <c r="I84" i="55"/>
  <c r="H84" i="55"/>
  <c r="G84" i="55"/>
  <c r="F84" i="55"/>
  <c r="E84" i="55"/>
  <c r="D76" i="55"/>
  <c r="D75" i="55"/>
  <c r="D74" i="55"/>
  <c r="D73" i="55"/>
  <c r="D121" i="55"/>
  <c r="D120" i="55"/>
  <c r="D119" i="55"/>
  <c r="D118" i="55"/>
  <c r="T136" i="60" l="1"/>
  <c r="BH72" i="60"/>
  <c r="BH159" i="60" s="1"/>
  <c r="BH179" i="60" s="1"/>
  <c r="BH188" i="60" s="1"/>
  <c r="BH69" i="60"/>
  <c r="BH150" i="60"/>
  <c r="BH70" i="60"/>
  <c r="AT66" i="60"/>
  <c r="AT67" i="60" s="1"/>
  <c r="AT68" i="60" s="1"/>
  <c r="BF162" i="60"/>
  <c r="BF165" i="60" s="1"/>
  <c r="BG42" i="60"/>
  <c r="BG43" i="60"/>
  <c r="BG44" i="60" s="1"/>
  <c r="BG45" i="60" s="1"/>
  <c r="BH88" i="60"/>
  <c r="BH89" i="60" s="1"/>
  <c r="BH90" i="60" s="1"/>
  <c r="BH87" i="60"/>
  <c r="AS160" i="60"/>
  <c r="BH65" i="60"/>
  <c r="BH163" i="60" s="1"/>
  <c r="BH166" i="60" s="1"/>
  <c r="W65" i="60"/>
  <c r="W163" i="60" s="1"/>
  <c r="W166" i="60" s="1"/>
  <c r="K87" i="60"/>
  <c r="K20" i="60"/>
  <c r="K161" i="60" s="1"/>
  <c r="K164" i="60" s="1"/>
  <c r="BE133" i="60"/>
  <c r="AS152" i="60"/>
  <c r="AS155" i="60"/>
  <c r="AS156" i="60" s="1"/>
  <c r="K148" i="60"/>
  <c r="K27" i="60"/>
  <c r="K157" i="60" s="1"/>
  <c r="K25" i="60"/>
  <c r="K24" i="60"/>
  <c r="AT177" i="60"/>
  <c r="AT186" i="60" s="1"/>
  <c r="AT87" i="60"/>
  <c r="W150" i="60"/>
  <c r="W70" i="60"/>
  <c r="W72" i="60"/>
  <c r="W159" i="60" s="1"/>
  <c r="W179" i="60" s="1"/>
  <c r="W188" i="60" s="1"/>
  <c r="W69" i="60"/>
  <c r="BE161" i="60"/>
  <c r="BE164" i="60" s="1"/>
  <c r="BF21" i="60"/>
  <c r="BF22" i="60" s="1"/>
  <c r="BF23" i="60" s="1"/>
  <c r="AG134" i="60"/>
  <c r="AG135" i="60" s="1"/>
  <c r="AE136" i="60" s="1"/>
  <c r="BE155" i="60"/>
  <c r="BE156" i="60" s="1"/>
  <c r="BE152" i="60"/>
  <c r="BE177" i="60"/>
  <c r="BE160" i="60"/>
  <c r="BF109" i="60"/>
  <c r="W177" i="60"/>
  <c r="W186" i="60" s="1"/>
  <c r="W42" i="60"/>
  <c r="W162" i="60" s="1"/>
  <c r="W165" i="60" s="1"/>
  <c r="AT65" i="60"/>
  <c r="AT163" i="60" s="1"/>
  <c r="AT166" i="60" s="1"/>
  <c r="BC137" i="60"/>
  <c r="BC138" i="60"/>
  <c r="J155" i="60"/>
  <c r="J156" i="60" s="1"/>
  <c r="J152" i="60"/>
  <c r="J134" i="60"/>
  <c r="J135" i="60" s="1"/>
  <c r="H136" i="60" s="1"/>
  <c r="W131" i="60"/>
  <c r="W134" i="60" s="1"/>
  <c r="W135" i="60" s="1"/>
  <c r="T138" i="60"/>
  <c r="T137" i="60"/>
  <c r="BF114" i="60"/>
  <c r="BF130" i="60"/>
  <c r="BF131" i="60" s="1"/>
  <c r="BF113" i="60"/>
  <c r="W149" i="60"/>
  <c r="W151" i="60" s="1"/>
  <c r="W47" i="60"/>
  <c r="W49" i="60"/>
  <c r="W158" i="60" s="1"/>
  <c r="W178" i="60" s="1"/>
  <c r="W187" i="60" s="1"/>
  <c r="W46" i="60"/>
  <c r="AT150" i="60"/>
  <c r="AT69" i="60"/>
  <c r="AT72" i="60"/>
  <c r="AT159" i="60" s="1"/>
  <c r="AT179" i="60" s="1"/>
  <c r="AT188" i="60" s="1"/>
  <c r="AT70" i="60"/>
  <c r="K150" i="60"/>
  <c r="K72" i="60"/>
  <c r="K159" i="60" s="1"/>
  <c r="K179" i="60" s="1"/>
  <c r="K188" i="60" s="1"/>
  <c r="K70" i="60"/>
  <c r="K69" i="60"/>
  <c r="AT149" i="60"/>
  <c r="AT151" i="60" s="1"/>
  <c r="AT49" i="60"/>
  <c r="AT158" i="60" s="1"/>
  <c r="AT46" i="60"/>
  <c r="AT47" i="60"/>
  <c r="AH151" i="60"/>
  <c r="AT129" i="60"/>
  <c r="AT131" i="60" s="1"/>
  <c r="AT134" i="60" s="1"/>
  <c r="AT135" i="60" s="1"/>
  <c r="AT91" i="60"/>
  <c r="AT92" i="60"/>
  <c r="K129" i="60"/>
  <c r="K131" i="60" s="1"/>
  <c r="K91" i="60"/>
  <c r="K92" i="60"/>
  <c r="K65" i="60"/>
  <c r="K163" i="60" s="1"/>
  <c r="K166" i="60" s="1"/>
  <c r="AT42" i="60"/>
  <c r="AT162" i="60" s="1"/>
  <c r="AT165" i="60" s="1"/>
  <c r="AH177" i="60"/>
  <c r="AH160" i="60"/>
  <c r="AQ137" i="60"/>
  <c r="AQ138" i="60"/>
  <c r="F41" i="57"/>
  <c r="J41" i="57" s="1"/>
  <c r="BC66" i="57"/>
  <c r="BA67" i="57" s="1"/>
  <c r="E87" i="55"/>
  <c r="E88" i="55" s="1"/>
  <c r="E86" i="55" s="1"/>
  <c r="L17" i="55"/>
  <c r="M17" i="55"/>
  <c r="D145" i="55"/>
  <c r="D143" i="55"/>
  <c r="N17" i="55"/>
  <c r="K17" i="55"/>
  <c r="H17" i="55"/>
  <c r="G17" i="55"/>
  <c r="O25" i="55"/>
  <c r="BF134" i="60" l="1"/>
  <c r="BF135" i="60" s="1"/>
  <c r="BH129" i="60"/>
  <c r="BH91" i="60"/>
  <c r="BH92" i="60"/>
  <c r="BG162" i="60"/>
  <c r="BG165" i="60" s="1"/>
  <c r="BH43" i="60"/>
  <c r="BH44" i="60" s="1"/>
  <c r="BH45" i="60" s="1"/>
  <c r="AT178" i="60"/>
  <c r="AT187" i="60" s="1"/>
  <c r="BG110" i="60"/>
  <c r="BG111" i="60" s="1"/>
  <c r="BG112" i="60" s="1"/>
  <c r="BG46" i="60"/>
  <c r="BG47" i="60"/>
  <c r="BG149" i="60"/>
  <c r="BG49" i="60"/>
  <c r="BG158" i="60" s="1"/>
  <c r="BG178" i="60" s="1"/>
  <c r="BG187" i="60" s="1"/>
  <c r="BD136" i="60"/>
  <c r="BF133" i="60"/>
  <c r="AR136" i="60"/>
  <c r="AT133" i="60"/>
  <c r="U136" i="60"/>
  <c r="W133" i="60"/>
  <c r="W155" i="60"/>
  <c r="W156" i="60" s="1"/>
  <c r="W152" i="60"/>
  <c r="H137" i="60"/>
  <c r="H138" i="60"/>
  <c r="AT160" i="60"/>
  <c r="K160" i="60"/>
  <c r="K177" i="60"/>
  <c r="AH186" i="60"/>
  <c r="AH178" i="60"/>
  <c r="AH187" i="60" s="1"/>
  <c r="K151" i="60"/>
  <c r="K152" i="60" s="1"/>
  <c r="J133" i="60"/>
  <c r="W160" i="60"/>
  <c r="BE186" i="60"/>
  <c r="BE178" i="60"/>
  <c r="AE137" i="60"/>
  <c r="AE138" i="60"/>
  <c r="BF20" i="60"/>
  <c r="AH152" i="60"/>
  <c r="AH155" i="60"/>
  <c r="AH156" i="60" s="1"/>
  <c r="AG133" i="60"/>
  <c r="BF148" i="60"/>
  <c r="BF151" i="60" s="1"/>
  <c r="BF152" i="60" s="1"/>
  <c r="BF27" i="60"/>
  <c r="BF157" i="60" s="1"/>
  <c r="BF25" i="60"/>
  <c r="BF24" i="60"/>
  <c r="AT152" i="60"/>
  <c r="AT155" i="60"/>
  <c r="AT156" i="60" s="1"/>
  <c r="F42" i="57"/>
  <c r="J42" i="57" s="1"/>
  <c r="BC67" i="57"/>
  <c r="BA68" i="57" s="1"/>
  <c r="O114" i="55"/>
  <c r="O138" i="55"/>
  <c r="O92" i="55"/>
  <c r="O47" i="55"/>
  <c r="L39" i="55"/>
  <c r="M39" i="55"/>
  <c r="E62" i="55"/>
  <c r="E39" i="55"/>
  <c r="I39" i="55"/>
  <c r="J39" i="55"/>
  <c r="E17" i="55"/>
  <c r="I17" i="55"/>
  <c r="F17" i="55"/>
  <c r="J17" i="55"/>
  <c r="G39" i="55"/>
  <c r="K39" i="55"/>
  <c r="H39" i="55"/>
  <c r="N39" i="55"/>
  <c r="O70" i="55"/>
  <c r="BF161" i="60" l="1"/>
  <c r="BF164" i="60" s="1"/>
  <c r="BG21" i="60"/>
  <c r="BG22" i="60" s="1"/>
  <c r="BG23" i="60" s="1"/>
  <c r="BG113" i="60"/>
  <c r="BG114" i="60"/>
  <c r="BG130" i="60"/>
  <c r="BG131" i="60" s="1"/>
  <c r="BG134" i="60" s="1"/>
  <c r="BG135" i="60" s="1"/>
  <c r="BG133" i="60" s="1"/>
  <c r="BH42" i="60"/>
  <c r="BH162" i="60" s="1"/>
  <c r="BH165" i="60" s="1"/>
  <c r="BG109" i="60"/>
  <c r="BH47" i="60"/>
  <c r="BH149" i="60"/>
  <c r="BH46" i="60"/>
  <c r="BH49" i="60"/>
  <c r="BH158" i="60" s="1"/>
  <c r="BH178" i="60" s="1"/>
  <c r="BH187" i="60" s="1"/>
  <c r="K186" i="60"/>
  <c r="K178" i="60"/>
  <c r="K187" i="60" s="1"/>
  <c r="BF177" i="60"/>
  <c r="BF186" i="60" s="1"/>
  <c r="BF160" i="60"/>
  <c r="BE187" i="60"/>
  <c r="BE179" i="60"/>
  <c r="BE188" i="60" s="1"/>
  <c r="K155" i="60"/>
  <c r="K156" i="60" s="1"/>
  <c r="AR137" i="60"/>
  <c r="AR138" i="60"/>
  <c r="AH134" i="60"/>
  <c r="AH135" i="60" s="1"/>
  <c r="AF136" i="60" s="1"/>
  <c r="BF155" i="60"/>
  <c r="BF156" i="60" s="1"/>
  <c r="K134" i="60"/>
  <c r="K135" i="60" s="1"/>
  <c r="I136" i="60" s="1"/>
  <c r="U137" i="60"/>
  <c r="U138" i="60"/>
  <c r="BD137" i="60"/>
  <c r="BD138" i="60"/>
  <c r="F43" i="57"/>
  <c r="J43" i="57" s="1"/>
  <c r="BC68" i="57"/>
  <c r="BA69" i="57" s="1"/>
  <c r="BG20" i="60" l="1"/>
  <c r="BG161" i="60"/>
  <c r="BG164" i="60" s="1"/>
  <c r="BH21" i="60"/>
  <c r="BH22" i="60" s="1"/>
  <c r="BH23" i="60" s="1"/>
  <c r="BH110" i="60"/>
  <c r="BH111" i="60" s="1"/>
  <c r="BH112" i="60" s="1"/>
  <c r="BG24" i="60"/>
  <c r="BG25" i="60"/>
  <c r="BG27" i="60"/>
  <c r="BG157" i="60" s="1"/>
  <c r="BG148" i="60"/>
  <c r="BG151" i="60" s="1"/>
  <c r="AH133" i="60"/>
  <c r="AF138" i="60"/>
  <c r="AF137" i="60"/>
  <c r="I137" i="60"/>
  <c r="I138" i="60"/>
  <c r="K133" i="60"/>
  <c r="F44" i="57"/>
  <c r="J44" i="57" s="1"/>
  <c r="BC69" i="57"/>
  <c r="BA70" i="57" s="1"/>
  <c r="E111" i="55"/>
  <c r="E129" i="55" s="1"/>
  <c r="BH20" i="60" l="1"/>
  <c r="BH161" i="60" s="1"/>
  <c r="BH164" i="60" s="1"/>
  <c r="BG160" i="60"/>
  <c r="BG177" i="60"/>
  <c r="BG186" i="60" s="1"/>
  <c r="BH148" i="60"/>
  <c r="BH151" i="60" s="1"/>
  <c r="BH24" i="60"/>
  <c r="BH25" i="60"/>
  <c r="BH27" i="60"/>
  <c r="BH157" i="60" s="1"/>
  <c r="BH130" i="60"/>
  <c r="BH131" i="60" s="1"/>
  <c r="BH134" i="60" s="1"/>
  <c r="BH135" i="60" s="1"/>
  <c r="BH133" i="60" s="1"/>
  <c r="BH113" i="60"/>
  <c r="BH114" i="60"/>
  <c r="BG152" i="60"/>
  <c r="BG155" i="60"/>
  <c r="BG156" i="60" s="1"/>
  <c r="BH109" i="60"/>
  <c r="F45" i="57"/>
  <c r="J45" i="57" s="1"/>
  <c r="BC70" i="57"/>
  <c r="BA71" i="57" s="1"/>
  <c r="E89" i="55"/>
  <c r="F109" i="55"/>
  <c r="F110" i="55" s="1"/>
  <c r="E113" i="55"/>
  <c r="E112" i="55"/>
  <c r="N47" i="55"/>
  <c r="N25" i="55"/>
  <c r="BH152" i="60" l="1"/>
  <c r="BH155" i="60"/>
  <c r="BH156" i="60" s="1"/>
  <c r="BH177" i="60"/>
  <c r="BH186" i="60" s="1"/>
  <c r="BH160" i="60"/>
  <c r="F46" i="57"/>
  <c r="J46" i="57" s="1"/>
  <c r="BC71" i="57"/>
  <c r="BA72" i="57" s="1"/>
  <c r="F87" i="55"/>
  <c r="F88" i="55" s="1"/>
  <c r="F111" i="55"/>
  <c r="F129" i="55" s="1"/>
  <c r="F108" i="55"/>
  <c r="E128" i="55"/>
  <c r="E130" i="55" s="1"/>
  <c r="E91" i="55"/>
  <c r="E90" i="55"/>
  <c r="E114" i="55"/>
  <c r="F47" i="57" l="1"/>
  <c r="J47" i="57" s="1"/>
  <c r="BC72" i="57"/>
  <c r="BA73" i="57" s="1"/>
  <c r="F89" i="55"/>
  <c r="F128" i="55" s="1"/>
  <c r="F130" i="55" s="1"/>
  <c r="F86" i="55"/>
  <c r="E92" i="55"/>
  <c r="G109" i="55"/>
  <c r="G110" i="55" s="1"/>
  <c r="G111" i="55" s="1"/>
  <c r="F113" i="55"/>
  <c r="F112" i="55"/>
  <c r="E25" i="55"/>
  <c r="F48" i="57" l="1"/>
  <c r="J48" i="57" s="1"/>
  <c r="BC73" i="57"/>
  <c r="BA74" i="57" s="1"/>
  <c r="F90" i="55"/>
  <c r="F91" i="55"/>
  <c r="F92" i="55" s="1"/>
  <c r="G87" i="55"/>
  <c r="G88" i="55" s="1"/>
  <c r="G86" i="55" s="1"/>
  <c r="G108" i="55"/>
  <c r="F114" i="55"/>
  <c r="G129" i="55"/>
  <c r="F49" i="57" l="1"/>
  <c r="J49" i="57" s="1"/>
  <c r="BC74" i="57"/>
  <c r="BA75" i="57" s="1"/>
  <c r="G89" i="55"/>
  <c r="G128" i="55" s="1"/>
  <c r="G130" i="55" s="1"/>
  <c r="H109" i="55"/>
  <c r="H110" i="55" s="1"/>
  <c r="H111" i="55" s="1"/>
  <c r="G113" i="55"/>
  <c r="G112" i="55"/>
  <c r="H87" i="55"/>
  <c r="H88" i="55" s="1"/>
  <c r="H86" i="55" s="1"/>
  <c r="F25" i="55"/>
  <c r="F50" i="57" l="1"/>
  <c r="J50" i="57" s="1"/>
  <c r="BC75" i="57"/>
  <c r="BA76" i="57" s="1"/>
  <c r="G90" i="55"/>
  <c r="G91" i="55"/>
  <c r="H108" i="55"/>
  <c r="E47" i="55"/>
  <c r="E70" i="55"/>
  <c r="G114" i="55"/>
  <c r="H129" i="55"/>
  <c r="H89" i="55"/>
  <c r="H128" i="55" s="1"/>
  <c r="G25" i="55"/>
  <c r="F51" i="57" l="1"/>
  <c r="J51" i="57" s="1"/>
  <c r="BC76" i="57"/>
  <c r="BA77" i="57" s="1"/>
  <c r="G92" i="55"/>
  <c r="H130" i="55"/>
  <c r="F70" i="55"/>
  <c r="I109" i="55"/>
  <c r="I110" i="55" s="1"/>
  <c r="I111" i="55" s="1"/>
  <c r="H112" i="55"/>
  <c r="H113" i="55"/>
  <c r="I87" i="55"/>
  <c r="I88" i="55" s="1"/>
  <c r="I86" i="55" s="1"/>
  <c r="H91" i="55"/>
  <c r="H90" i="55"/>
  <c r="F52" i="57" l="1"/>
  <c r="J52" i="57" s="1"/>
  <c r="BC77" i="57"/>
  <c r="BA78" i="57" s="1"/>
  <c r="I108" i="55"/>
  <c r="G70" i="55"/>
  <c r="H114" i="55"/>
  <c r="I129" i="55"/>
  <c r="H92" i="55"/>
  <c r="I89" i="55"/>
  <c r="I128" i="55" s="1"/>
  <c r="H25" i="55"/>
  <c r="F53" i="57" l="1"/>
  <c r="J53" i="57" s="1"/>
  <c r="BC78" i="57"/>
  <c r="BA79" i="57" s="1"/>
  <c r="E138" i="55"/>
  <c r="I130" i="55"/>
  <c r="K25" i="55"/>
  <c r="J109" i="55"/>
  <c r="J110" i="55" s="1"/>
  <c r="J111" i="55" s="1"/>
  <c r="I113" i="55"/>
  <c r="I112" i="55"/>
  <c r="J87" i="55"/>
  <c r="J88" i="55" s="1"/>
  <c r="J86" i="55" s="1"/>
  <c r="I91" i="55"/>
  <c r="I90" i="55"/>
  <c r="BC79" i="57" l="1"/>
  <c r="BA80" i="57" s="1"/>
  <c r="F54" i="57"/>
  <c r="J54" i="57" s="1"/>
  <c r="J108" i="55"/>
  <c r="H47" i="55"/>
  <c r="H70" i="55"/>
  <c r="I114" i="55"/>
  <c r="J129" i="55"/>
  <c r="I92" i="55"/>
  <c r="J89" i="55"/>
  <c r="J128" i="55" s="1"/>
  <c r="I25" i="55"/>
  <c r="F55" i="57" l="1"/>
  <c r="J55" i="57" s="1"/>
  <c r="BC80" i="57"/>
  <c r="BA81" i="57" s="1"/>
  <c r="J130" i="55"/>
  <c r="M25" i="55"/>
  <c r="K109" i="55"/>
  <c r="K110" i="55" s="1"/>
  <c r="K111" i="55" s="1"/>
  <c r="J113" i="55"/>
  <c r="J112" i="55"/>
  <c r="K87" i="55"/>
  <c r="K88" i="55" s="1"/>
  <c r="K86" i="55" s="1"/>
  <c r="J91" i="55"/>
  <c r="J90" i="55"/>
  <c r="F56" i="57" l="1"/>
  <c r="J56" i="57" s="1"/>
  <c r="BC81" i="57"/>
  <c r="BA82" i="57" s="1"/>
  <c r="K108" i="55"/>
  <c r="I70" i="55"/>
  <c r="J114" i="55"/>
  <c r="K129" i="55"/>
  <c r="K89" i="55"/>
  <c r="K128" i="55" s="1"/>
  <c r="J92" i="55"/>
  <c r="L25" i="55"/>
  <c r="F57" i="57" l="1"/>
  <c r="J57" i="57" s="1"/>
  <c r="BC82" i="57"/>
  <c r="BA83" i="57" s="1"/>
  <c r="H138" i="55"/>
  <c r="K130" i="55"/>
  <c r="J70" i="55"/>
  <c r="K70" i="55"/>
  <c r="L109" i="55"/>
  <c r="L110" i="55" s="1"/>
  <c r="L111" i="55" s="1"/>
  <c r="K113" i="55"/>
  <c r="K112" i="55"/>
  <c r="L87" i="55"/>
  <c r="K91" i="55"/>
  <c r="K90" i="55"/>
  <c r="F58" i="57" l="1"/>
  <c r="J58" i="57" s="1"/>
  <c r="BC83" i="57"/>
  <c r="BA84" i="57" s="1"/>
  <c r="L108" i="55"/>
  <c r="J47" i="55"/>
  <c r="L70" i="55"/>
  <c r="L88" i="55"/>
  <c r="K114" i="55"/>
  <c r="K92" i="55"/>
  <c r="F59" i="57" l="1"/>
  <c r="J59" i="57" s="1"/>
  <c r="BC84" i="57"/>
  <c r="BA85" i="57" s="1"/>
  <c r="L89" i="55"/>
  <c r="L128" i="55" s="1"/>
  <c r="L86" i="55"/>
  <c r="M109" i="55"/>
  <c r="M110" i="55" s="1"/>
  <c r="M111" i="55" s="1"/>
  <c r="N70" i="55"/>
  <c r="M70" i="55"/>
  <c r="L129" i="55"/>
  <c r="L113" i="55"/>
  <c r="L112" i="55"/>
  <c r="K47" i="55"/>
  <c r="M47" i="55"/>
  <c r="BC85" i="57" l="1"/>
  <c r="BA86" i="57" s="1"/>
  <c r="F60" i="57"/>
  <c r="J60" i="57" s="1"/>
  <c r="L91" i="55"/>
  <c r="L130" i="55"/>
  <c r="L90" i="55"/>
  <c r="L92" i="55" s="1"/>
  <c r="M87" i="55"/>
  <c r="M88" i="55" s="1"/>
  <c r="M89" i="55" s="1"/>
  <c r="M128" i="55" s="1"/>
  <c r="M108" i="55"/>
  <c r="L114" i="55"/>
  <c r="M129" i="55"/>
  <c r="M113" i="55"/>
  <c r="M112" i="55"/>
  <c r="F61" i="57" l="1"/>
  <c r="J61" i="57" s="1"/>
  <c r="BC86" i="57"/>
  <c r="BA87" i="57" s="1"/>
  <c r="M86" i="55"/>
  <c r="N109" i="55"/>
  <c r="N110" i="55" s="1"/>
  <c r="N111" i="55" s="1"/>
  <c r="N129" i="55" s="1"/>
  <c r="M90" i="55"/>
  <c r="M130" i="55"/>
  <c r="M91" i="55"/>
  <c r="M114" i="55"/>
  <c r="F62" i="57" l="1"/>
  <c r="J62" i="57" s="1"/>
  <c r="BC87" i="57"/>
  <c r="BH50" i="57"/>
  <c r="BJ55" i="57" s="1"/>
  <c r="BA88" i="57"/>
  <c r="N87" i="55"/>
  <c r="N88" i="55" s="1"/>
  <c r="N89" i="55" s="1"/>
  <c r="N112" i="55"/>
  <c r="N113" i="55"/>
  <c r="N108" i="55"/>
  <c r="M92" i="55"/>
  <c r="N114" i="55" l="1"/>
  <c r="N90" i="55"/>
  <c r="N91" i="55"/>
  <c r="N128" i="55"/>
  <c r="N130" i="55" s="1"/>
  <c r="N86" i="55"/>
  <c r="K138" i="55"/>
  <c r="BI59" i="57" l="1"/>
  <c r="E34" i="57"/>
  <c r="N92" i="55"/>
  <c r="M137" i="55"/>
  <c r="N151" i="55"/>
  <c r="N137" i="55"/>
  <c r="N136" i="55"/>
  <c r="G34" i="57" l="1"/>
  <c r="K34" i="57" s="1"/>
  <c r="M136" i="55"/>
  <c r="M151" i="55"/>
  <c r="N138" i="55"/>
  <c r="M138" i="55"/>
  <c r="BI60" i="57" l="1"/>
  <c r="E35" i="57"/>
  <c r="G35" i="57" l="1"/>
  <c r="K35" i="57" s="1"/>
  <c r="C14" i="42"/>
  <c r="D14" i="42"/>
  <c r="C15" i="42"/>
  <c r="C17" i="42" s="1"/>
  <c r="D15" i="42"/>
  <c r="C16" i="42"/>
  <c r="D16" i="42"/>
  <c r="B15" i="42"/>
  <c r="B16" i="42"/>
  <c r="B14" i="42"/>
  <c r="F43" i="38"/>
  <c r="G43" i="38"/>
  <c r="E43" i="38"/>
  <c r="D17" i="42" l="1"/>
  <c r="B17" i="42"/>
  <c r="BI61" i="57"/>
  <c r="E36" i="57"/>
  <c r="F29" i="36"/>
  <c r="F28" i="36"/>
  <c r="H28" i="36"/>
  <c r="H40" i="36" l="1"/>
  <c r="H41" i="21"/>
  <c r="G36" i="57"/>
  <c r="K36" i="57" s="1"/>
  <c r="N5" i="45"/>
  <c r="M5" i="45"/>
  <c r="G44" i="38"/>
  <c r="F44" i="38"/>
  <c r="E44" i="38"/>
  <c r="BI62" i="57" l="1"/>
  <c r="E37" i="57"/>
  <c r="G37" i="57" s="1"/>
  <c r="K37" i="57" s="1"/>
  <c r="E11" i="45"/>
  <c r="J43" i="44"/>
  <c r="J45" i="44" s="1"/>
  <c r="K43" i="44"/>
  <c r="K45" i="44" s="1"/>
  <c r="N43" i="44"/>
  <c r="N45" i="44" s="1"/>
  <c r="O43" i="44"/>
  <c r="O45" i="44" s="1"/>
  <c r="L45" i="44"/>
  <c r="M45" i="44"/>
  <c r="P45" i="44"/>
  <c r="Q45" i="44"/>
  <c r="R45" i="44"/>
  <c r="S45" i="44"/>
  <c r="T45" i="44"/>
  <c r="U45" i="44"/>
  <c r="V45" i="44"/>
  <c r="V60" i="44" s="1"/>
  <c r="W45" i="44"/>
  <c r="J47" i="44"/>
  <c r="J49" i="44" s="1"/>
  <c r="K47" i="44"/>
  <c r="K49" i="44" s="1"/>
  <c r="O47" i="44"/>
  <c r="O49" i="44" s="1"/>
  <c r="P47" i="44"/>
  <c r="P49" i="44" s="1"/>
  <c r="Q49" i="44"/>
  <c r="R49" i="44"/>
  <c r="S49" i="44"/>
  <c r="T49" i="44"/>
  <c r="U49" i="44"/>
  <c r="V49" i="44"/>
  <c r="W49" i="44"/>
  <c r="J51" i="44"/>
  <c r="J54" i="44" s="1"/>
  <c r="J61" i="44" s="1"/>
  <c r="P54" i="44"/>
  <c r="Q54" i="44"/>
  <c r="Q61" i="44" s="1"/>
  <c r="R54" i="44"/>
  <c r="R61" i="44" s="1"/>
  <c r="S54" i="44"/>
  <c r="S61" i="44" s="1"/>
  <c r="T54" i="44"/>
  <c r="U54" i="44"/>
  <c r="V54" i="44"/>
  <c r="W54" i="44"/>
  <c r="Z51" i="44"/>
  <c r="W61" i="44"/>
  <c r="T40" i="44"/>
  <c r="T12" i="44"/>
  <c r="W57" i="44"/>
  <c r="V57" i="44"/>
  <c r="U57" i="44"/>
  <c r="T57" i="44"/>
  <c r="S57" i="44"/>
  <c r="R57" i="44"/>
  <c r="Q57" i="44"/>
  <c r="P57" i="44"/>
  <c r="O57" i="44"/>
  <c r="N57" i="44"/>
  <c r="M57" i="44"/>
  <c r="L57" i="44"/>
  <c r="K57" i="44"/>
  <c r="J57" i="44"/>
  <c r="AA55" i="44"/>
  <c r="Z55" i="44"/>
  <c r="X55" i="44"/>
  <c r="D55" i="44"/>
  <c r="U61" i="44"/>
  <c r="T61" i="44"/>
  <c r="C53" i="44"/>
  <c r="P61" i="44"/>
  <c r="Z47" i="44"/>
  <c r="T60" i="44"/>
  <c r="Z43" i="44"/>
  <c r="AA40" i="44"/>
  <c r="E40" i="44"/>
  <c r="Q26" i="44"/>
  <c r="Q33" i="44" s="1"/>
  <c r="R26" i="44"/>
  <c r="R33" i="44" s="1"/>
  <c r="S26" i="44"/>
  <c r="S33" i="44" s="1"/>
  <c r="T26" i="44"/>
  <c r="T33" i="44" s="1"/>
  <c r="U26" i="44"/>
  <c r="U33" i="44" s="1"/>
  <c r="V26" i="44"/>
  <c r="V33" i="44" s="1"/>
  <c r="W26" i="44"/>
  <c r="W33" i="44" s="1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Q21" i="44"/>
  <c r="R21" i="44"/>
  <c r="S21" i="44"/>
  <c r="T21" i="44"/>
  <c r="U21" i="44"/>
  <c r="V21" i="44"/>
  <c r="W21" i="44"/>
  <c r="E12" i="44"/>
  <c r="D27" i="44"/>
  <c r="P17" i="44"/>
  <c r="Q17" i="44"/>
  <c r="R17" i="44"/>
  <c r="S17" i="44"/>
  <c r="T17" i="44"/>
  <c r="U17" i="44"/>
  <c r="V17" i="44"/>
  <c r="W17" i="44"/>
  <c r="AA27" i="44"/>
  <c r="Z27" i="44"/>
  <c r="X27" i="44"/>
  <c r="R60" i="44" l="1"/>
  <c r="W32" i="44"/>
  <c r="S32" i="44"/>
  <c r="Y55" i="44"/>
  <c r="J41" i="44"/>
  <c r="T32" i="44"/>
  <c r="O60" i="44"/>
  <c r="V61" i="44"/>
  <c r="Z40" i="44"/>
  <c r="K60" i="44"/>
  <c r="P60" i="44"/>
  <c r="S60" i="44"/>
  <c r="W60" i="44"/>
  <c r="U32" i="44"/>
  <c r="Q60" i="44"/>
  <c r="U60" i="44"/>
  <c r="X43" i="44"/>
  <c r="J60" i="44"/>
  <c r="Y27" i="44"/>
  <c r="V32" i="44"/>
  <c r="R32" i="44"/>
  <c r="Q32" i="44"/>
  <c r="BI63" i="57" l="1"/>
  <c r="E38" i="57"/>
  <c r="G38" i="57" s="1"/>
  <c r="K38" i="57" s="1"/>
  <c r="Y43" i="44"/>
  <c r="F25" i="43" l="1"/>
  <c r="F27" i="43"/>
  <c r="F28" i="43"/>
  <c r="F29" i="43"/>
  <c r="F26" i="43"/>
  <c r="F27" i="50"/>
  <c r="F28" i="50"/>
  <c r="F29" i="50"/>
  <c r="F26" i="50"/>
  <c r="BI64" i="57" l="1"/>
  <c r="E39" i="57"/>
  <c r="G39" i="57" s="1"/>
  <c r="K39" i="57" s="1"/>
  <c r="L32" i="50"/>
  <c r="L36" i="50"/>
  <c r="L40" i="50"/>
  <c r="L44" i="50"/>
  <c r="L48" i="50"/>
  <c r="L52" i="50"/>
  <c r="L56" i="50"/>
  <c r="L60" i="50"/>
  <c r="L38" i="50"/>
  <c r="L46" i="50"/>
  <c r="L54" i="50"/>
  <c r="L62" i="50"/>
  <c r="L39" i="50"/>
  <c r="L47" i="50"/>
  <c r="L55" i="50"/>
  <c r="L59" i="50"/>
  <c r="L33" i="50"/>
  <c r="L37" i="50"/>
  <c r="L41" i="50"/>
  <c r="L45" i="50"/>
  <c r="L49" i="50"/>
  <c r="L53" i="50"/>
  <c r="L57" i="50"/>
  <c r="L61" i="50"/>
  <c r="L34" i="50"/>
  <c r="L42" i="50"/>
  <c r="L50" i="50"/>
  <c r="L58" i="50"/>
  <c r="L35" i="50"/>
  <c r="L43" i="50"/>
  <c r="L51" i="50"/>
  <c r="BH59" i="43"/>
  <c r="BH60" i="43"/>
  <c r="BH61" i="43"/>
  <c r="BH62" i="43"/>
  <c r="BH63" i="43"/>
  <c r="BH64" i="43"/>
  <c r="BH65" i="43"/>
  <c r="BH66" i="43"/>
  <c r="BH67" i="43"/>
  <c r="BH68" i="43"/>
  <c r="BH69" i="43"/>
  <c r="BH70" i="43"/>
  <c r="BH71" i="43"/>
  <c r="BH72" i="43"/>
  <c r="BH73" i="43"/>
  <c r="BH74" i="43"/>
  <c r="BH75" i="43"/>
  <c r="BH76" i="43"/>
  <c r="BH77" i="43"/>
  <c r="BH78" i="43"/>
  <c r="BH79" i="43"/>
  <c r="BH80" i="43"/>
  <c r="BH81" i="43"/>
  <c r="BH82" i="43"/>
  <c r="BH83" i="43"/>
  <c r="BH84" i="43"/>
  <c r="BH85" i="43"/>
  <c r="BH86" i="43"/>
  <c r="BH87" i="43"/>
  <c r="H35" i="43"/>
  <c r="D32" i="53"/>
  <c r="D33" i="53"/>
  <c r="D34" i="53"/>
  <c r="D36" i="53"/>
  <c r="D37" i="53"/>
  <c r="D39" i="53"/>
  <c r="D40" i="53"/>
  <c r="D42" i="53"/>
  <c r="D43" i="53"/>
  <c r="D44" i="53"/>
  <c r="D45" i="53"/>
  <c r="D46" i="53"/>
  <c r="D48" i="53"/>
  <c r="D49" i="53"/>
  <c r="D51" i="53"/>
  <c r="D52" i="53"/>
  <c r="D54" i="53"/>
  <c r="D55" i="53"/>
  <c r="D57" i="53"/>
  <c r="D58" i="53"/>
  <c r="D60" i="53"/>
  <c r="D61" i="53"/>
  <c r="D62" i="53"/>
  <c r="E33" i="53"/>
  <c r="E34" i="53"/>
  <c r="E36" i="53"/>
  <c r="E37" i="53"/>
  <c r="E39" i="53"/>
  <c r="E40" i="53"/>
  <c r="E42" i="53"/>
  <c r="E43" i="53"/>
  <c r="E44" i="53"/>
  <c r="E45" i="53"/>
  <c r="E46" i="53"/>
  <c r="E48" i="53"/>
  <c r="E49" i="53"/>
  <c r="E51" i="53"/>
  <c r="E52" i="53"/>
  <c r="E54" i="53"/>
  <c r="E55" i="53"/>
  <c r="E57" i="53"/>
  <c r="E58" i="53"/>
  <c r="E60" i="53"/>
  <c r="E61" i="53"/>
  <c r="E62" i="53"/>
  <c r="BJ88" i="53"/>
  <c r="BT87" i="53"/>
  <c r="BT86" i="53"/>
  <c r="BT85" i="53"/>
  <c r="BT84" i="53"/>
  <c r="BT83" i="53"/>
  <c r="BT82" i="53"/>
  <c r="BT81" i="53"/>
  <c r="BT80" i="53"/>
  <c r="BT79" i="53"/>
  <c r="BT78" i="53"/>
  <c r="BT77" i="53"/>
  <c r="BT76" i="53"/>
  <c r="BT75" i="53"/>
  <c r="BT74" i="53"/>
  <c r="BT73" i="53"/>
  <c r="BT72" i="53"/>
  <c r="BT71" i="53"/>
  <c r="BT70" i="53"/>
  <c r="BT69" i="53"/>
  <c r="BT68" i="53"/>
  <c r="BT67" i="53"/>
  <c r="BT66" i="53"/>
  <c r="BT65" i="53"/>
  <c r="AU65" i="53"/>
  <c r="AS65" i="53"/>
  <c r="AR65" i="53"/>
  <c r="BT64" i="53"/>
  <c r="AU64" i="53"/>
  <c r="AS64" i="53"/>
  <c r="AR64" i="53"/>
  <c r="BT63" i="53"/>
  <c r="AU63" i="53"/>
  <c r="AR63" i="53"/>
  <c r="BT62" i="53"/>
  <c r="AR62" i="53"/>
  <c r="AK62" i="53"/>
  <c r="AT59" i="53" s="1"/>
  <c r="AI62" i="53"/>
  <c r="AH62" i="53"/>
  <c r="O62" i="53"/>
  <c r="N62" i="53"/>
  <c r="M62" i="53"/>
  <c r="L62" i="53"/>
  <c r="H62" i="53"/>
  <c r="BT61" i="53"/>
  <c r="AV61" i="53"/>
  <c r="AW62" i="53" s="1"/>
  <c r="AS61" i="53"/>
  <c r="AR61" i="53"/>
  <c r="O61" i="53"/>
  <c r="N61" i="53"/>
  <c r="M61" i="53"/>
  <c r="L61" i="53"/>
  <c r="H61" i="53"/>
  <c r="BT60" i="53"/>
  <c r="O60" i="53"/>
  <c r="N60" i="53"/>
  <c r="M60" i="53"/>
  <c r="L60" i="53"/>
  <c r="H60" i="53"/>
  <c r="BT59" i="53"/>
  <c r="AS59" i="53"/>
  <c r="AR59" i="53"/>
  <c r="O59" i="53"/>
  <c r="N59" i="53"/>
  <c r="M59" i="53"/>
  <c r="L59" i="53"/>
  <c r="H59" i="53"/>
  <c r="BT58" i="53"/>
  <c r="AX58" i="53"/>
  <c r="AM58" i="53"/>
  <c r="AM61" i="53" s="1"/>
  <c r="O58" i="53"/>
  <c r="N58" i="53"/>
  <c r="M58" i="53"/>
  <c r="L58" i="53"/>
  <c r="H58" i="53"/>
  <c r="O57" i="53"/>
  <c r="N57" i="53"/>
  <c r="M57" i="53"/>
  <c r="L57" i="53"/>
  <c r="H57" i="53"/>
  <c r="O56" i="53"/>
  <c r="N56" i="53"/>
  <c r="M56" i="53"/>
  <c r="L56" i="53"/>
  <c r="H56" i="53"/>
  <c r="O55" i="53"/>
  <c r="N55" i="53"/>
  <c r="M55" i="53"/>
  <c r="L55" i="53"/>
  <c r="H55" i="53"/>
  <c r="BV54" i="53"/>
  <c r="BR72" i="53" s="1"/>
  <c r="E47" i="53" s="1"/>
  <c r="O54" i="53"/>
  <c r="N54" i="53"/>
  <c r="M54" i="53"/>
  <c r="L54" i="53"/>
  <c r="H54" i="53"/>
  <c r="BV53" i="53"/>
  <c r="O53" i="53"/>
  <c r="N53" i="53"/>
  <c r="M53" i="53"/>
  <c r="L53" i="53"/>
  <c r="H53" i="53"/>
  <c r="BV52" i="53"/>
  <c r="O52" i="53"/>
  <c r="N52" i="53"/>
  <c r="M52" i="53"/>
  <c r="L52" i="53"/>
  <c r="H52" i="53"/>
  <c r="BD51" i="53"/>
  <c r="BD87" i="53" s="1"/>
  <c r="BE87" i="53" s="1"/>
  <c r="O51" i="53"/>
  <c r="N51" i="53"/>
  <c r="M51" i="53"/>
  <c r="L51" i="53"/>
  <c r="H51" i="53"/>
  <c r="O50" i="53"/>
  <c r="N50" i="53"/>
  <c r="M50" i="53"/>
  <c r="L50" i="53"/>
  <c r="H50" i="53"/>
  <c r="O49" i="53"/>
  <c r="N49" i="53"/>
  <c r="M49" i="53"/>
  <c r="L49" i="53"/>
  <c r="H49" i="53"/>
  <c r="O48" i="53"/>
  <c r="N48" i="53"/>
  <c r="M48" i="53"/>
  <c r="L48" i="53"/>
  <c r="H48" i="53"/>
  <c r="O47" i="53"/>
  <c r="N47" i="53"/>
  <c r="M47" i="53"/>
  <c r="L47" i="53"/>
  <c r="H47" i="53"/>
  <c r="O46" i="53"/>
  <c r="N46" i="53"/>
  <c r="M46" i="53"/>
  <c r="L46" i="53"/>
  <c r="H46" i="53"/>
  <c r="O45" i="53"/>
  <c r="N45" i="53"/>
  <c r="M45" i="53"/>
  <c r="L45" i="53"/>
  <c r="H45" i="53"/>
  <c r="O44" i="53"/>
  <c r="N44" i="53"/>
  <c r="M44" i="53"/>
  <c r="L44" i="53"/>
  <c r="H44" i="53"/>
  <c r="O43" i="53"/>
  <c r="N43" i="53"/>
  <c r="M43" i="53"/>
  <c r="L43" i="53"/>
  <c r="H43" i="53"/>
  <c r="O42" i="53"/>
  <c r="N42" i="53"/>
  <c r="M42" i="53"/>
  <c r="L42" i="53"/>
  <c r="H42" i="53"/>
  <c r="O41" i="53"/>
  <c r="N41" i="53"/>
  <c r="M41" i="53"/>
  <c r="L41" i="53"/>
  <c r="H41" i="53"/>
  <c r="O40" i="53"/>
  <c r="N40" i="53"/>
  <c r="M40" i="53"/>
  <c r="L40" i="53"/>
  <c r="H40" i="53"/>
  <c r="O39" i="53"/>
  <c r="N39" i="53"/>
  <c r="M39" i="53"/>
  <c r="L39" i="53"/>
  <c r="H39" i="53"/>
  <c r="O38" i="53"/>
  <c r="N38" i="53"/>
  <c r="M38" i="53"/>
  <c r="L38" i="53"/>
  <c r="H38" i="53"/>
  <c r="O37" i="53"/>
  <c r="N37" i="53"/>
  <c r="M37" i="53"/>
  <c r="L37" i="53"/>
  <c r="H37" i="53"/>
  <c r="O36" i="53"/>
  <c r="N36" i="53"/>
  <c r="M36" i="53"/>
  <c r="L36" i="53"/>
  <c r="H36" i="53"/>
  <c r="O35" i="53"/>
  <c r="N35" i="53"/>
  <c r="M35" i="53"/>
  <c r="L35" i="53"/>
  <c r="H35" i="53"/>
  <c r="O34" i="53"/>
  <c r="N34" i="53"/>
  <c r="M34" i="53"/>
  <c r="L34" i="53"/>
  <c r="H34" i="53"/>
  <c r="O33" i="53"/>
  <c r="N33" i="53"/>
  <c r="M33" i="53"/>
  <c r="L33" i="53"/>
  <c r="H33" i="53"/>
  <c r="O32" i="53"/>
  <c r="N32" i="53"/>
  <c r="M32" i="53"/>
  <c r="L32" i="53"/>
  <c r="AA12" i="44"/>
  <c r="K6" i="45"/>
  <c r="K7" i="45"/>
  <c r="K8" i="45"/>
  <c r="K9" i="45"/>
  <c r="K10" i="45"/>
  <c r="K15" i="44"/>
  <c r="K17" i="44" s="1"/>
  <c r="L15" i="44"/>
  <c r="L17" i="44" s="1"/>
  <c r="N15" i="44"/>
  <c r="N17" i="44" s="1"/>
  <c r="O15" i="44"/>
  <c r="O17" i="44" s="1"/>
  <c r="J15" i="44"/>
  <c r="J23" i="44"/>
  <c r="J26" i="44" s="1"/>
  <c r="J33" i="44" s="1"/>
  <c r="K19" i="44"/>
  <c r="K21" i="44" s="1"/>
  <c r="J19" i="44"/>
  <c r="J21" i="44" s="1"/>
  <c r="G23" i="45"/>
  <c r="G11" i="45"/>
  <c r="AX88" i="51"/>
  <c r="BH87" i="51"/>
  <c r="BH86" i="51"/>
  <c r="BH85" i="51"/>
  <c r="BH84" i="51"/>
  <c r="BH83" i="51"/>
  <c r="BH82" i="51"/>
  <c r="BH81" i="51"/>
  <c r="BH80" i="51"/>
  <c r="BH79" i="51"/>
  <c r="BH78" i="51"/>
  <c r="BH77" i="51"/>
  <c r="BH76" i="51"/>
  <c r="BH75" i="51"/>
  <c r="BH74" i="51"/>
  <c r="BH73" i="51"/>
  <c r="BH72" i="51"/>
  <c r="BH71" i="51"/>
  <c r="BH70" i="51"/>
  <c r="BH69" i="51"/>
  <c r="BH68" i="51"/>
  <c r="BH67" i="51"/>
  <c r="BH66" i="51"/>
  <c r="BH65" i="51"/>
  <c r="AI65" i="51"/>
  <c r="AG65" i="51"/>
  <c r="AF65" i="51"/>
  <c r="BH64" i="51"/>
  <c r="AI64" i="51"/>
  <c r="AG64" i="51"/>
  <c r="AF64" i="51"/>
  <c r="BH63" i="51"/>
  <c r="AI63" i="51"/>
  <c r="AF63" i="51"/>
  <c r="BH62" i="51"/>
  <c r="AF62" i="51"/>
  <c r="Y62" i="51"/>
  <c r="AH59" i="51" s="1"/>
  <c r="W62" i="51"/>
  <c r="V62" i="51"/>
  <c r="O62" i="51"/>
  <c r="N62" i="51"/>
  <c r="M62" i="51"/>
  <c r="L62" i="51"/>
  <c r="H62" i="51"/>
  <c r="E62" i="51"/>
  <c r="BH61" i="51"/>
  <c r="AJ61" i="51"/>
  <c r="AK62" i="51" s="1"/>
  <c r="AG61" i="51"/>
  <c r="AF61" i="51"/>
  <c r="O61" i="51"/>
  <c r="N61" i="51"/>
  <c r="M61" i="51"/>
  <c r="L61" i="51"/>
  <c r="H61" i="51"/>
  <c r="E61" i="51"/>
  <c r="BH60" i="51"/>
  <c r="O60" i="51"/>
  <c r="N60" i="51"/>
  <c r="M60" i="51"/>
  <c r="L60" i="51"/>
  <c r="H60" i="51"/>
  <c r="BH59" i="51"/>
  <c r="AG59" i="51"/>
  <c r="AF59" i="51"/>
  <c r="O59" i="51"/>
  <c r="N59" i="51"/>
  <c r="M59" i="51"/>
  <c r="L59" i="51"/>
  <c r="H59" i="51"/>
  <c r="BH58" i="51"/>
  <c r="AL58" i="51"/>
  <c r="AA58" i="51"/>
  <c r="AA61" i="51" s="1"/>
  <c r="AA63" i="51" s="1"/>
  <c r="J44" i="44" s="1"/>
  <c r="O58" i="51"/>
  <c r="N58" i="51"/>
  <c r="M58" i="51"/>
  <c r="L58" i="51"/>
  <c r="H58" i="51"/>
  <c r="E58" i="51"/>
  <c r="O57" i="51"/>
  <c r="N57" i="51"/>
  <c r="M57" i="51"/>
  <c r="L57" i="51"/>
  <c r="H57" i="51"/>
  <c r="O56" i="51"/>
  <c r="N56" i="51"/>
  <c r="M56" i="51"/>
  <c r="L56" i="51"/>
  <c r="H56" i="51"/>
  <c r="O55" i="51"/>
  <c r="N55" i="51"/>
  <c r="M55" i="51"/>
  <c r="L55" i="51"/>
  <c r="H55" i="51"/>
  <c r="E55" i="51"/>
  <c r="BJ54" i="51"/>
  <c r="E53" i="51" s="1"/>
  <c r="O54" i="51"/>
  <c r="N54" i="51"/>
  <c r="M54" i="51"/>
  <c r="L54" i="51"/>
  <c r="H54" i="51"/>
  <c r="BJ53" i="51"/>
  <c r="O53" i="51"/>
  <c r="N53" i="51"/>
  <c r="M53" i="51"/>
  <c r="L53" i="51"/>
  <c r="H53" i="51"/>
  <c r="BJ52" i="51"/>
  <c r="C16" i="44" s="1"/>
  <c r="O52" i="51"/>
  <c r="N52" i="51"/>
  <c r="M52" i="51"/>
  <c r="L52" i="51"/>
  <c r="H52" i="51"/>
  <c r="E52" i="51"/>
  <c r="AR51" i="51"/>
  <c r="AS86" i="51" s="1"/>
  <c r="O51" i="51"/>
  <c r="N51" i="51"/>
  <c r="M51" i="51"/>
  <c r="L51" i="51"/>
  <c r="H51" i="51"/>
  <c r="O50" i="51"/>
  <c r="N50" i="51"/>
  <c r="M50" i="51"/>
  <c r="L50" i="51"/>
  <c r="H50" i="51"/>
  <c r="O49" i="51"/>
  <c r="N49" i="51"/>
  <c r="M49" i="51"/>
  <c r="L49" i="51"/>
  <c r="H49" i="51"/>
  <c r="E49" i="51"/>
  <c r="O48" i="51"/>
  <c r="N48" i="51"/>
  <c r="M48" i="51"/>
  <c r="L48" i="51"/>
  <c r="H48" i="51"/>
  <c r="E48" i="51"/>
  <c r="O47" i="51"/>
  <c r="N47" i="51"/>
  <c r="M47" i="51"/>
  <c r="L47" i="51"/>
  <c r="H47" i="51"/>
  <c r="O46" i="51"/>
  <c r="N46" i="51"/>
  <c r="M46" i="51"/>
  <c r="L46" i="51"/>
  <c r="H46" i="51"/>
  <c r="E46" i="51"/>
  <c r="O45" i="51"/>
  <c r="N45" i="51"/>
  <c r="M45" i="51"/>
  <c r="L45" i="51"/>
  <c r="H45" i="51"/>
  <c r="E45" i="51"/>
  <c r="O44" i="51"/>
  <c r="N44" i="51"/>
  <c r="M44" i="51"/>
  <c r="L44" i="51"/>
  <c r="H44" i="51"/>
  <c r="O43" i="51"/>
  <c r="N43" i="51"/>
  <c r="M43" i="51"/>
  <c r="L43" i="51"/>
  <c r="H43" i="51"/>
  <c r="E43" i="51"/>
  <c r="O42" i="51"/>
  <c r="N42" i="51"/>
  <c r="M42" i="51"/>
  <c r="L42" i="51"/>
  <c r="H42" i="51"/>
  <c r="E42" i="51"/>
  <c r="O41" i="51"/>
  <c r="N41" i="51"/>
  <c r="M41" i="51"/>
  <c r="L41" i="51"/>
  <c r="H41" i="51"/>
  <c r="O40" i="51"/>
  <c r="N40" i="51"/>
  <c r="M40" i="51"/>
  <c r="L40" i="51"/>
  <c r="H40" i="51"/>
  <c r="E40" i="51"/>
  <c r="O39" i="51"/>
  <c r="N39" i="51"/>
  <c r="M39" i="51"/>
  <c r="L39" i="51"/>
  <c r="H39" i="51"/>
  <c r="O38" i="51"/>
  <c r="N38" i="51"/>
  <c r="M38" i="51"/>
  <c r="L38" i="51"/>
  <c r="H38" i="51"/>
  <c r="O37" i="51"/>
  <c r="N37" i="51"/>
  <c r="M37" i="51"/>
  <c r="L37" i="51"/>
  <c r="H37" i="51"/>
  <c r="E37" i="51"/>
  <c r="O36" i="51"/>
  <c r="N36" i="51"/>
  <c r="M36" i="51"/>
  <c r="L36" i="51"/>
  <c r="H36" i="51"/>
  <c r="O35" i="51"/>
  <c r="N35" i="51"/>
  <c r="M35" i="51"/>
  <c r="L35" i="51"/>
  <c r="H35" i="51"/>
  <c r="O34" i="51"/>
  <c r="N34" i="51"/>
  <c r="M34" i="51"/>
  <c r="L34" i="51"/>
  <c r="H34" i="51"/>
  <c r="E34" i="51"/>
  <c r="O33" i="51"/>
  <c r="N33" i="51"/>
  <c r="M33" i="51"/>
  <c r="L33" i="51"/>
  <c r="H33" i="51"/>
  <c r="E33" i="51"/>
  <c r="O32" i="51"/>
  <c r="N32" i="51"/>
  <c r="M32" i="51"/>
  <c r="L32" i="51"/>
  <c r="G32" i="51"/>
  <c r="D13" i="55" l="1"/>
  <c r="AL60" i="51"/>
  <c r="AL66" i="51" s="1"/>
  <c r="BC57" i="51" s="1"/>
  <c r="E56" i="51"/>
  <c r="E47" i="51"/>
  <c r="E59" i="51"/>
  <c r="C57" i="44"/>
  <c r="C17" i="44"/>
  <c r="D12" i="55" s="1"/>
  <c r="E20" i="55" s="1"/>
  <c r="E21" i="55" s="1"/>
  <c r="C45" i="44"/>
  <c r="C29" i="44"/>
  <c r="J16" i="44"/>
  <c r="E38" i="51"/>
  <c r="E50" i="51"/>
  <c r="C44" i="44"/>
  <c r="C28" i="44"/>
  <c r="C56" i="44"/>
  <c r="E41" i="51"/>
  <c r="J17" i="44"/>
  <c r="J32" i="44" s="1"/>
  <c r="J13" i="44"/>
  <c r="K32" i="44"/>
  <c r="D47" i="53"/>
  <c r="AM63" i="53"/>
  <c r="AX60" i="53"/>
  <c r="BD60" i="53"/>
  <c r="BE60" i="53" s="1"/>
  <c r="BN60" i="53" s="1"/>
  <c r="BD62" i="53"/>
  <c r="BE62" i="53" s="1"/>
  <c r="BN62" i="53" s="1"/>
  <c r="BR63" i="53"/>
  <c r="BD81" i="53"/>
  <c r="BE81" i="53" s="1"/>
  <c r="BN81" i="53" s="1"/>
  <c r="BR66" i="53"/>
  <c r="D41" i="53" s="1"/>
  <c r="BF87" i="53"/>
  <c r="BN87" i="53"/>
  <c r="I62" i="53"/>
  <c r="BF60" i="53"/>
  <c r="BF62" i="53"/>
  <c r="I37" i="53"/>
  <c r="BD71" i="53"/>
  <c r="BE71" i="53" s="1"/>
  <c r="BD84" i="53"/>
  <c r="BE84" i="53" s="1"/>
  <c r="BD57" i="53"/>
  <c r="BD63" i="53"/>
  <c r="BE63" i="53" s="1"/>
  <c r="BD75" i="53"/>
  <c r="BE75" i="53" s="1"/>
  <c r="BD86" i="53"/>
  <c r="BE86" i="53" s="1"/>
  <c r="BD83" i="53"/>
  <c r="BE83" i="53" s="1"/>
  <c r="BD80" i="53"/>
  <c r="BE80" i="53" s="1"/>
  <c r="BD77" i="53"/>
  <c r="BE77" i="53" s="1"/>
  <c r="BD74" i="53"/>
  <c r="BE74" i="53" s="1"/>
  <c r="BD70" i="53"/>
  <c r="BE70" i="53" s="1"/>
  <c r="BD67" i="53"/>
  <c r="BE67" i="53" s="1"/>
  <c r="BD85" i="53"/>
  <c r="BE85" i="53" s="1"/>
  <c r="BD82" i="53"/>
  <c r="BE82" i="53" s="1"/>
  <c r="BD79" i="53"/>
  <c r="BE79" i="53" s="1"/>
  <c r="BD76" i="53"/>
  <c r="BE76" i="53" s="1"/>
  <c r="BD72" i="53"/>
  <c r="BE72" i="53" s="1"/>
  <c r="BD73" i="53"/>
  <c r="BE73" i="53" s="1"/>
  <c r="BD69" i="53"/>
  <c r="BE69" i="53" s="1"/>
  <c r="BD65" i="53"/>
  <c r="BE65" i="53" s="1"/>
  <c r="BD64" i="53"/>
  <c r="BE64" i="53" s="1"/>
  <c r="BD61" i="53"/>
  <c r="BE61" i="53" s="1"/>
  <c r="BD59" i="53"/>
  <c r="BE59" i="53" s="1"/>
  <c r="BD58" i="53"/>
  <c r="BE58" i="53" s="1"/>
  <c r="AX66" i="53"/>
  <c r="BD66" i="53"/>
  <c r="BE66" i="53" s="1"/>
  <c r="BD68" i="53"/>
  <c r="BE68" i="53" s="1"/>
  <c r="BD78" i="53"/>
  <c r="BE78" i="53" s="1"/>
  <c r="BR75" i="53"/>
  <c r="BR78" i="53"/>
  <c r="BR81" i="53"/>
  <c r="BR84" i="53"/>
  <c r="Z15" i="44"/>
  <c r="Z19" i="44"/>
  <c r="BH88" i="51"/>
  <c r="E36" i="51"/>
  <c r="E39" i="51"/>
  <c r="E44" i="51"/>
  <c r="E51" i="51"/>
  <c r="E54" i="51"/>
  <c r="E60" i="51"/>
  <c r="AK67" i="51"/>
  <c r="AT86" i="51"/>
  <c r="I61" i="51"/>
  <c r="BB86" i="51"/>
  <c r="AS70" i="51"/>
  <c r="AS83" i="51"/>
  <c r="AS74" i="51"/>
  <c r="AS72" i="51"/>
  <c r="AS65" i="51"/>
  <c r="AS85" i="51"/>
  <c r="AS82" i="51"/>
  <c r="AS79" i="51"/>
  <c r="AS76" i="51"/>
  <c r="AS69" i="51"/>
  <c r="AS66" i="51"/>
  <c r="AS64" i="51"/>
  <c r="AS63" i="51"/>
  <c r="AS61" i="51"/>
  <c r="AS87" i="51"/>
  <c r="AS84" i="51"/>
  <c r="AS81" i="51"/>
  <c r="AS78" i="51"/>
  <c r="AS75" i="51"/>
  <c r="AS73" i="51"/>
  <c r="AS71" i="51"/>
  <c r="AS68" i="51"/>
  <c r="AS62" i="51"/>
  <c r="AS60" i="51"/>
  <c r="AS58" i="51"/>
  <c r="AS59" i="51"/>
  <c r="AS77" i="51"/>
  <c r="E57" i="51"/>
  <c r="AS67" i="51"/>
  <c r="AS80" i="51"/>
  <c r="D125" i="55" l="1"/>
  <c r="J32" i="51"/>
  <c r="K32" i="51" s="1"/>
  <c r="D124" i="55"/>
  <c r="E133" i="55" s="1"/>
  <c r="E134" i="55" s="1"/>
  <c r="E132" i="55" s="1"/>
  <c r="F133" i="55" s="1"/>
  <c r="F134" i="55" s="1"/>
  <c r="F132" i="55" s="1"/>
  <c r="E22" i="55"/>
  <c r="E19" i="55"/>
  <c r="BI65" i="57"/>
  <c r="E40" i="57"/>
  <c r="G40" i="57" s="1"/>
  <c r="K40" i="57" s="1"/>
  <c r="E35" i="51"/>
  <c r="E63" i="51" s="1"/>
  <c r="M15" i="44"/>
  <c r="E50" i="53"/>
  <c r="D50" i="53"/>
  <c r="E59" i="53"/>
  <c r="D59" i="53"/>
  <c r="E56" i="53"/>
  <c r="D56" i="53"/>
  <c r="I35" i="53"/>
  <c r="E38" i="53"/>
  <c r="D38" i="53"/>
  <c r="BU57" i="53"/>
  <c r="G32" i="53"/>
  <c r="E35" i="53"/>
  <c r="D35" i="53"/>
  <c r="E53" i="53"/>
  <c r="D53" i="53"/>
  <c r="E41" i="53"/>
  <c r="BF81" i="53"/>
  <c r="I56" i="53"/>
  <c r="BN67" i="53"/>
  <c r="BF67" i="53"/>
  <c r="I42" i="53"/>
  <c r="I41" i="53"/>
  <c r="BN66" i="53"/>
  <c r="BF66" i="53"/>
  <c r="BN59" i="53"/>
  <c r="BF59" i="53"/>
  <c r="I34" i="53"/>
  <c r="BF69" i="53"/>
  <c r="BN69" i="53"/>
  <c r="I44" i="53"/>
  <c r="BN79" i="53"/>
  <c r="I54" i="53"/>
  <c r="BF79" i="53"/>
  <c r="BN70" i="53"/>
  <c r="BF70" i="53"/>
  <c r="I45" i="53"/>
  <c r="BN83" i="53"/>
  <c r="BF83" i="53"/>
  <c r="I58" i="53"/>
  <c r="BF75" i="53"/>
  <c r="BN75" i="53"/>
  <c r="I50" i="53"/>
  <c r="BF63" i="53"/>
  <c r="I38" i="53"/>
  <c r="BN63" i="53"/>
  <c r="BN58" i="53"/>
  <c r="BF58" i="53"/>
  <c r="I33" i="53"/>
  <c r="Q33" i="53" s="1"/>
  <c r="BN76" i="53"/>
  <c r="I51" i="53"/>
  <c r="BF76" i="53"/>
  <c r="BF84" i="53"/>
  <c r="BN84" i="53"/>
  <c r="I59" i="53"/>
  <c r="AW67" i="53"/>
  <c r="BO57" i="53"/>
  <c r="J32" i="53"/>
  <c r="BN61" i="53"/>
  <c r="BF61" i="53"/>
  <c r="I36" i="53"/>
  <c r="BF73" i="53"/>
  <c r="BN73" i="53"/>
  <c r="I48" i="53"/>
  <c r="BN82" i="53"/>
  <c r="BF82" i="53"/>
  <c r="I57" i="53"/>
  <c r="BN74" i="53"/>
  <c r="BF74" i="53"/>
  <c r="I49" i="53"/>
  <c r="BN86" i="53"/>
  <c r="BF86" i="53"/>
  <c r="I61" i="53"/>
  <c r="BF71" i="53"/>
  <c r="I46" i="53"/>
  <c r="BN71" i="53"/>
  <c r="BF68" i="53"/>
  <c r="I43" i="53"/>
  <c r="BN68" i="53"/>
  <c r="BN65" i="53"/>
  <c r="I40" i="53"/>
  <c r="BF65" i="53"/>
  <c r="BN80" i="53"/>
  <c r="BF80" i="53"/>
  <c r="I55" i="53"/>
  <c r="BF78" i="53"/>
  <c r="BN78" i="53"/>
  <c r="I53" i="53"/>
  <c r="BN64" i="53"/>
  <c r="I39" i="53"/>
  <c r="BF64" i="53"/>
  <c r="BN72" i="53"/>
  <c r="I47" i="53"/>
  <c r="BF72" i="53"/>
  <c r="BN85" i="53"/>
  <c r="BF85" i="53"/>
  <c r="I60" i="53"/>
  <c r="BN77" i="53"/>
  <c r="BF77" i="53"/>
  <c r="I52" i="53"/>
  <c r="BE57" i="53"/>
  <c r="BD88" i="53" s="1"/>
  <c r="BF88" i="51"/>
  <c r="F43" i="44" s="1"/>
  <c r="AA43" i="44" s="1"/>
  <c r="AT78" i="51"/>
  <c r="BB78" i="51"/>
  <c r="I53" i="51"/>
  <c r="AS57" i="51"/>
  <c r="AR88" i="51"/>
  <c r="BB66" i="51"/>
  <c r="I41" i="51"/>
  <c r="AT66" i="51"/>
  <c r="BB82" i="51"/>
  <c r="I57" i="51"/>
  <c r="AT82" i="51"/>
  <c r="I58" i="51"/>
  <c r="AT83" i="51"/>
  <c r="BB83" i="51"/>
  <c r="AT68" i="51"/>
  <c r="BB68" i="51"/>
  <c r="I43" i="51"/>
  <c r="AT58" i="51"/>
  <c r="BB58" i="51"/>
  <c r="BA58" i="51" s="1"/>
  <c r="I33" i="51"/>
  <c r="Q33" i="51" s="1"/>
  <c r="AT71" i="51"/>
  <c r="BB71" i="51"/>
  <c r="I46" i="51"/>
  <c r="AT81" i="51"/>
  <c r="I56" i="51"/>
  <c r="BB81" i="51"/>
  <c r="BB61" i="51"/>
  <c r="I36" i="51"/>
  <c r="AT61" i="51"/>
  <c r="BB69" i="51"/>
  <c r="I44" i="51"/>
  <c r="AT69" i="51"/>
  <c r="BB85" i="51"/>
  <c r="I60" i="51"/>
  <c r="AT85" i="51"/>
  <c r="AT80" i="51"/>
  <c r="I55" i="51"/>
  <c r="BB80" i="51"/>
  <c r="AT60" i="51"/>
  <c r="BB60" i="51"/>
  <c r="I35" i="51"/>
  <c r="AT73" i="51"/>
  <c r="BB73" i="51"/>
  <c r="I48" i="51"/>
  <c r="AT84" i="51"/>
  <c r="I59" i="51"/>
  <c r="BB84" i="51"/>
  <c r="BB63" i="51"/>
  <c r="I38" i="51"/>
  <c r="AT63" i="51"/>
  <c r="BB76" i="51"/>
  <c r="AT76" i="51"/>
  <c r="I51" i="51"/>
  <c r="BB65" i="51"/>
  <c r="AT65" i="51"/>
  <c r="I40" i="51"/>
  <c r="AT70" i="51"/>
  <c r="I45" i="51"/>
  <c r="BB70" i="51"/>
  <c r="AT67" i="51"/>
  <c r="I42" i="51"/>
  <c r="BB67" i="51"/>
  <c r="AT77" i="51"/>
  <c r="BB77" i="51"/>
  <c r="I52" i="51"/>
  <c r="AT59" i="51"/>
  <c r="BB59" i="51"/>
  <c r="I34" i="51"/>
  <c r="AT62" i="51"/>
  <c r="BB62" i="51"/>
  <c r="I37" i="51"/>
  <c r="AT75" i="51"/>
  <c r="BB75" i="51"/>
  <c r="I50" i="51"/>
  <c r="AT87" i="51"/>
  <c r="BB87" i="51"/>
  <c r="I62" i="51"/>
  <c r="BB64" i="51"/>
  <c r="AT64" i="51"/>
  <c r="I39" i="51"/>
  <c r="BB79" i="51"/>
  <c r="I54" i="51"/>
  <c r="AT79" i="51"/>
  <c r="BB72" i="51"/>
  <c r="AT72" i="51"/>
  <c r="I47" i="51"/>
  <c r="AT74" i="51"/>
  <c r="BB74" i="51"/>
  <c r="I49" i="51"/>
  <c r="B69" i="38"/>
  <c r="G75" i="38" s="1"/>
  <c r="G84" i="38" s="1"/>
  <c r="G94" i="38" s="1"/>
  <c r="G105" i="38" s="1"/>
  <c r="AX88" i="50"/>
  <c r="BH87" i="50"/>
  <c r="BH86" i="50"/>
  <c r="BH85" i="50"/>
  <c r="BH84" i="50"/>
  <c r="BH83" i="50"/>
  <c r="BH82" i="50"/>
  <c r="BH81" i="50"/>
  <c r="BH80" i="50"/>
  <c r="BH79" i="50"/>
  <c r="BH78" i="50"/>
  <c r="BH77" i="50"/>
  <c r="BH76" i="50"/>
  <c r="BH75" i="50"/>
  <c r="BH74" i="50"/>
  <c r="BH73" i="50"/>
  <c r="BH72" i="50"/>
  <c r="BH71" i="50"/>
  <c r="BH70" i="50"/>
  <c r="BH69" i="50"/>
  <c r="BH68" i="50"/>
  <c r="BH67" i="50"/>
  <c r="BH66" i="50"/>
  <c r="AC66" i="50"/>
  <c r="BH65" i="50"/>
  <c r="AI65" i="50"/>
  <c r="AG65" i="50"/>
  <c r="AF65" i="50"/>
  <c r="BH64" i="50"/>
  <c r="AI64" i="50"/>
  <c r="AG64" i="50"/>
  <c r="AF64" i="50"/>
  <c r="BH63" i="50"/>
  <c r="AI63" i="50"/>
  <c r="AF63" i="50"/>
  <c r="BH62" i="50"/>
  <c r="AF62" i="50"/>
  <c r="AH59" i="50"/>
  <c r="W62" i="50"/>
  <c r="V62" i="50"/>
  <c r="O62" i="50"/>
  <c r="N62" i="50"/>
  <c r="M62" i="50"/>
  <c r="H62" i="50"/>
  <c r="BH61" i="50"/>
  <c r="AJ61" i="50"/>
  <c r="AK62" i="50" s="1"/>
  <c r="AG61" i="50"/>
  <c r="AF61" i="50"/>
  <c r="O61" i="50"/>
  <c r="N61" i="50"/>
  <c r="M61" i="50"/>
  <c r="H61" i="50"/>
  <c r="BH60" i="50"/>
  <c r="W60" i="50"/>
  <c r="V60" i="50"/>
  <c r="O60" i="50"/>
  <c r="N60" i="50"/>
  <c r="M60" i="50"/>
  <c r="H60" i="50"/>
  <c r="BH59" i="50"/>
  <c r="AG59" i="50"/>
  <c r="AF59" i="50"/>
  <c r="W59" i="50"/>
  <c r="V59" i="50"/>
  <c r="O59" i="50"/>
  <c r="N59" i="50"/>
  <c r="M59" i="50"/>
  <c r="H59" i="50"/>
  <c r="BH58" i="50"/>
  <c r="AL58" i="50"/>
  <c r="AA58" i="50"/>
  <c r="O58" i="50"/>
  <c r="N58" i="50"/>
  <c r="M58" i="50"/>
  <c r="H58" i="50"/>
  <c r="O57" i="50"/>
  <c r="N57" i="50"/>
  <c r="M57" i="50"/>
  <c r="H57" i="50"/>
  <c r="O56" i="50"/>
  <c r="N56" i="50"/>
  <c r="M56" i="50"/>
  <c r="H56" i="50"/>
  <c r="O55" i="50"/>
  <c r="N55" i="50"/>
  <c r="M55" i="50"/>
  <c r="H55" i="50"/>
  <c r="O54" i="50"/>
  <c r="N54" i="50"/>
  <c r="M54" i="50"/>
  <c r="H54" i="50"/>
  <c r="C25" i="44"/>
  <c r="E65" i="55" s="1"/>
  <c r="E66" i="55" s="1"/>
  <c r="O53" i="50"/>
  <c r="N53" i="50"/>
  <c r="M53" i="50"/>
  <c r="H53" i="50"/>
  <c r="BJ52" i="50"/>
  <c r="C52" i="44" s="1"/>
  <c r="O52" i="50"/>
  <c r="N52" i="50"/>
  <c r="M52" i="50"/>
  <c r="H52" i="50"/>
  <c r="AR51" i="50"/>
  <c r="O51" i="50"/>
  <c r="N51" i="50"/>
  <c r="M51" i="50"/>
  <c r="H51" i="50"/>
  <c r="O50" i="50"/>
  <c r="N50" i="50"/>
  <c r="M50" i="50"/>
  <c r="H50" i="50"/>
  <c r="O49" i="50"/>
  <c r="N49" i="50"/>
  <c r="M49" i="50"/>
  <c r="H49" i="50"/>
  <c r="O48" i="50"/>
  <c r="N48" i="50"/>
  <c r="M48" i="50"/>
  <c r="H48" i="50"/>
  <c r="O47" i="50"/>
  <c r="N47" i="50"/>
  <c r="M47" i="50"/>
  <c r="H47" i="50"/>
  <c r="O46" i="50"/>
  <c r="N46" i="50"/>
  <c r="M46" i="50"/>
  <c r="H46" i="50"/>
  <c r="O45" i="50"/>
  <c r="N45" i="50"/>
  <c r="M45" i="50"/>
  <c r="H45" i="50"/>
  <c r="O44" i="50"/>
  <c r="N44" i="50"/>
  <c r="M44" i="50"/>
  <c r="H44" i="50"/>
  <c r="O43" i="50"/>
  <c r="N43" i="50"/>
  <c r="M43" i="50"/>
  <c r="H43" i="50"/>
  <c r="O42" i="50"/>
  <c r="N42" i="50"/>
  <c r="M42" i="50"/>
  <c r="H42" i="50"/>
  <c r="O41" i="50"/>
  <c r="N41" i="50"/>
  <c r="M41" i="50"/>
  <c r="H41" i="50"/>
  <c r="O40" i="50"/>
  <c r="N40" i="50"/>
  <c r="M40" i="50"/>
  <c r="H40" i="50"/>
  <c r="O39" i="50"/>
  <c r="N39" i="50"/>
  <c r="M39" i="50"/>
  <c r="H39" i="50"/>
  <c r="O38" i="50"/>
  <c r="N38" i="50"/>
  <c r="M38" i="50"/>
  <c r="H38" i="50"/>
  <c r="O37" i="50"/>
  <c r="N37" i="50"/>
  <c r="M37" i="50"/>
  <c r="H37" i="50"/>
  <c r="O36" i="50"/>
  <c r="N36" i="50"/>
  <c r="M36" i="50"/>
  <c r="H36" i="50"/>
  <c r="O35" i="50"/>
  <c r="N35" i="50"/>
  <c r="M35" i="50"/>
  <c r="H35" i="50"/>
  <c r="O34" i="50"/>
  <c r="N34" i="50"/>
  <c r="M34" i="50"/>
  <c r="H34" i="50"/>
  <c r="O33" i="50"/>
  <c r="N33" i="50"/>
  <c r="M33" i="50"/>
  <c r="H33" i="50"/>
  <c r="O32" i="50"/>
  <c r="N32" i="50"/>
  <c r="M32" i="50"/>
  <c r="BH58" i="43"/>
  <c r="AX88" i="43"/>
  <c r="E33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37" i="43"/>
  <c r="H38" i="43"/>
  <c r="H39" i="43"/>
  <c r="H40" i="43"/>
  <c r="H41" i="43"/>
  <c r="H42" i="43"/>
  <c r="H43" i="43"/>
  <c r="H44" i="43"/>
  <c r="H36" i="43"/>
  <c r="H34" i="43"/>
  <c r="H33" i="43"/>
  <c r="BJ52" i="43"/>
  <c r="G133" i="55" l="1"/>
  <c r="G134" i="55" s="1"/>
  <c r="E135" i="55" s="1"/>
  <c r="E137" i="55" s="1"/>
  <c r="F33" i="51"/>
  <c r="G33" i="51" s="1"/>
  <c r="F20" i="55"/>
  <c r="F21" i="55" s="1"/>
  <c r="F22" i="55" s="1"/>
  <c r="E148" i="55"/>
  <c r="E23" i="55"/>
  <c r="E24" i="55"/>
  <c r="E64" i="55"/>
  <c r="F65" i="55" s="1"/>
  <c r="F66" i="55" s="1"/>
  <c r="E67" i="55"/>
  <c r="BM58" i="53"/>
  <c r="BS58" i="53" s="1"/>
  <c r="E78" i="38"/>
  <c r="E87" i="38" s="1"/>
  <c r="E97" i="38" s="1"/>
  <c r="E108" i="38" s="1"/>
  <c r="F79" i="38"/>
  <c r="F88" i="38" s="1"/>
  <c r="F98" i="38" s="1"/>
  <c r="F109" i="38" s="1"/>
  <c r="F75" i="38"/>
  <c r="F84" i="38" s="1"/>
  <c r="F94" i="38" s="1"/>
  <c r="F105" i="38" s="1"/>
  <c r="E74" i="38"/>
  <c r="E83" i="38" s="1"/>
  <c r="E93" i="38" s="1"/>
  <c r="G76" i="38"/>
  <c r="G85" i="38" s="1"/>
  <c r="G95" i="38" s="1"/>
  <c r="G106" i="38" s="1"/>
  <c r="G74" i="38"/>
  <c r="G83" i="38" s="1"/>
  <c r="E79" i="38"/>
  <c r="E88" i="38" s="1"/>
  <c r="E98" i="38" s="1"/>
  <c r="E109" i="38" s="1"/>
  <c r="G77" i="38"/>
  <c r="G86" i="38" s="1"/>
  <c r="G96" i="38" s="1"/>
  <c r="G107" i="38" s="1"/>
  <c r="F76" i="38"/>
  <c r="F85" i="38" s="1"/>
  <c r="F95" i="38" s="1"/>
  <c r="F106" i="38" s="1"/>
  <c r="E75" i="38"/>
  <c r="E84" i="38" s="1"/>
  <c r="E94" i="38" s="1"/>
  <c r="E105" i="38" s="1"/>
  <c r="F74" i="38"/>
  <c r="F83" i="38" s="1"/>
  <c r="G78" i="38"/>
  <c r="G87" i="38" s="1"/>
  <c r="G97" i="38" s="1"/>
  <c r="G108" i="38" s="1"/>
  <c r="F77" i="38"/>
  <c r="F86" i="38" s="1"/>
  <c r="F96" i="38" s="1"/>
  <c r="F107" i="38" s="1"/>
  <c r="E76" i="38"/>
  <c r="E85" i="38" s="1"/>
  <c r="E95" i="38" s="1"/>
  <c r="E106" i="38" s="1"/>
  <c r="G79" i="38"/>
  <c r="G88" i="38" s="1"/>
  <c r="G98" i="38" s="1"/>
  <c r="G109" i="38" s="1"/>
  <c r="F78" i="38"/>
  <c r="F87" i="38" s="1"/>
  <c r="F97" i="38" s="1"/>
  <c r="F108" i="38" s="1"/>
  <c r="E77" i="38"/>
  <c r="E86" i="38" s="1"/>
  <c r="E96" i="38" s="1"/>
  <c r="E107" i="38" s="1"/>
  <c r="C48" i="44"/>
  <c r="C20" i="44"/>
  <c r="C49" i="44"/>
  <c r="C21" i="44"/>
  <c r="E42" i="55" s="1"/>
  <c r="E43" i="55" s="1"/>
  <c r="M17" i="44"/>
  <c r="X15" i="44"/>
  <c r="Y15" i="44" s="1"/>
  <c r="C24" i="44"/>
  <c r="F15" i="44"/>
  <c r="AA15" i="44" s="1"/>
  <c r="F33" i="53"/>
  <c r="G33" i="53" s="1"/>
  <c r="K32" i="53"/>
  <c r="Q34" i="53"/>
  <c r="Q35" i="53" s="1"/>
  <c r="Q36" i="53" s="1"/>
  <c r="Q37" i="53" s="1"/>
  <c r="Q38" i="53" s="1"/>
  <c r="Q39" i="53" s="1"/>
  <c r="Q40" i="53" s="1"/>
  <c r="Q41" i="53" s="1"/>
  <c r="Q42" i="53" s="1"/>
  <c r="Q43" i="53" s="1"/>
  <c r="Q44" i="53" s="1"/>
  <c r="Q45" i="53" s="1"/>
  <c r="Q46" i="53" s="1"/>
  <c r="Q47" i="53" s="1"/>
  <c r="Q48" i="53" s="1"/>
  <c r="Q49" i="53" s="1"/>
  <c r="Q50" i="53" s="1"/>
  <c r="Q51" i="53" s="1"/>
  <c r="Q52" i="53" s="1"/>
  <c r="Q53" i="53" s="1"/>
  <c r="Q54" i="53" s="1"/>
  <c r="Q55" i="53" s="1"/>
  <c r="Q56" i="53" s="1"/>
  <c r="Q57" i="53" s="1"/>
  <c r="Q58" i="53" s="1"/>
  <c r="Q59" i="53" s="1"/>
  <c r="Q60" i="53" s="1"/>
  <c r="Q61" i="53" s="1"/>
  <c r="Q62" i="53" s="1"/>
  <c r="BF57" i="53"/>
  <c r="BE88" i="53" s="1"/>
  <c r="E63" i="53"/>
  <c r="AA61" i="50"/>
  <c r="AA63" i="50" s="1"/>
  <c r="G32" i="50" s="1"/>
  <c r="AL60" i="50"/>
  <c r="AL66" i="50" s="1"/>
  <c r="J32" i="50" s="1"/>
  <c r="J33" i="51"/>
  <c r="Q34" i="51"/>
  <c r="Q35" i="51" s="1"/>
  <c r="Q36" i="51" s="1"/>
  <c r="Q37" i="51" s="1"/>
  <c r="Q38" i="51" s="1"/>
  <c r="Q39" i="51" s="1"/>
  <c r="Q40" i="51" s="1"/>
  <c r="Q41" i="51" s="1"/>
  <c r="Q42" i="51" s="1"/>
  <c r="Q43" i="51" s="1"/>
  <c r="Q44" i="51" s="1"/>
  <c r="Q45" i="51" s="1"/>
  <c r="Q46" i="51" s="1"/>
  <c r="Q47" i="51" s="1"/>
  <c r="Q48" i="51" s="1"/>
  <c r="Q49" i="51" s="1"/>
  <c r="Q50" i="51" s="1"/>
  <c r="Q51" i="51" s="1"/>
  <c r="Q52" i="51" s="1"/>
  <c r="Q53" i="51" s="1"/>
  <c r="Q54" i="51" s="1"/>
  <c r="Q55" i="51" s="1"/>
  <c r="Q56" i="51" s="1"/>
  <c r="Q57" i="51" s="1"/>
  <c r="Q58" i="51" s="1"/>
  <c r="Q59" i="51" s="1"/>
  <c r="Q60" i="51" s="1"/>
  <c r="Q61" i="51" s="1"/>
  <c r="Q62" i="51" s="1"/>
  <c r="BG58" i="51"/>
  <c r="BI58" i="51" s="1"/>
  <c r="BC58" i="51"/>
  <c r="BA59" i="51" s="1"/>
  <c r="AS88" i="51"/>
  <c r="AT57" i="51"/>
  <c r="BH88" i="50"/>
  <c r="E136" i="55" l="1"/>
  <c r="E151" i="55"/>
  <c r="G132" i="55"/>
  <c r="H133" i="55" s="1"/>
  <c r="H134" i="55" s="1"/>
  <c r="F135" i="55" s="1"/>
  <c r="F136" i="55" s="1"/>
  <c r="BO58" i="53"/>
  <c r="BM59" i="53" s="1"/>
  <c r="BS59" i="53" s="1"/>
  <c r="F19" i="55"/>
  <c r="G20" i="55" s="1"/>
  <c r="G21" i="55" s="1"/>
  <c r="G22" i="55" s="1"/>
  <c r="AK67" i="50"/>
  <c r="F148" i="55"/>
  <c r="F24" i="55"/>
  <c r="F23" i="55"/>
  <c r="BI66" i="57"/>
  <c r="E41" i="57"/>
  <c r="G41" i="57" s="1"/>
  <c r="K41" i="57" s="1"/>
  <c r="F64" i="55"/>
  <c r="G65" i="55" s="1"/>
  <c r="G66" i="55" s="1"/>
  <c r="G67" i="55" s="1"/>
  <c r="F67" i="55"/>
  <c r="E41" i="55"/>
  <c r="F42" i="55" s="1"/>
  <c r="F43" i="55" s="1"/>
  <c r="F44" i="55" s="1"/>
  <c r="E44" i="55"/>
  <c r="E68" i="55"/>
  <c r="K32" i="50"/>
  <c r="BC57" i="50"/>
  <c r="E150" i="55"/>
  <c r="G93" i="38"/>
  <c r="G89" i="38"/>
  <c r="F93" i="38"/>
  <c r="F89" i="38"/>
  <c r="E89" i="38"/>
  <c r="E104" i="38"/>
  <c r="E99" i="38"/>
  <c r="K44" i="44"/>
  <c r="K16" i="44"/>
  <c r="BU58" i="53"/>
  <c r="J33" i="53"/>
  <c r="K33" i="53" s="1"/>
  <c r="BG59" i="51"/>
  <c r="BI59" i="51" s="1"/>
  <c r="BC59" i="51"/>
  <c r="BA60" i="51" s="1"/>
  <c r="F34" i="51"/>
  <c r="G34" i="51" s="1"/>
  <c r="K33" i="51"/>
  <c r="AR51" i="43"/>
  <c r="AC66" i="43"/>
  <c r="AF63" i="43"/>
  <c r="AF62" i="43"/>
  <c r="AI63" i="43"/>
  <c r="AF61" i="43"/>
  <c r="AJ61" i="43"/>
  <c r="AK62" i="43" s="1"/>
  <c r="AG65" i="43"/>
  <c r="AG64" i="43"/>
  <c r="AF64" i="43"/>
  <c r="AF65" i="43"/>
  <c r="AG61" i="43"/>
  <c r="AI65" i="43"/>
  <c r="AI64" i="43"/>
  <c r="V62" i="43"/>
  <c r="Y62" i="43"/>
  <c r="AH59" i="43" s="1"/>
  <c r="W62" i="43"/>
  <c r="AG59" i="43"/>
  <c r="AF59" i="43"/>
  <c r="W60" i="43"/>
  <c r="W59" i="43"/>
  <c r="V60" i="43"/>
  <c r="V59" i="43"/>
  <c r="AL58" i="43"/>
  <c r="AA58" i="43"/>
  <c r="H11" i="45"/>
  <c r="I11" i="45"/>
  <c r="J11" i="45"/>
  <c r="F11" i="45"/>
  <c r="H132" i="55" l="1"/>
  <c r="I133" i="55" s="1"/>
  <c r="I134" i="55" s="1"/>
  <c r="G135" i="55" s="1"/>
  <c r="F151" i="55"/>
  <c r="F137" i="55"/>
  <c r="F138" i="55" s="1"/>
  <c r="BO59" i="53"/>
  <c r="BM60" i="53" s="1"/>
  <c r="G19" i="55"/>
  <c r="H20" i="55" s="1"/>
  <c r="H21" i="55" s="1"/>
  <c r="H22" i="55" s="1"/>
  <c r="G148" i="55"/>
  <c r="G24" i="55"/>
  <c r="G23" i="55"/>
  <c r="G64" i="55"/>
  <c r="H65" i="55" s="1"/>
  <c r="H66" i="55" s="1"/>
  <c r="H67" i="55" s="1"/>
  <c r="E69" i="55"/>
  <c r="F150" i="55"/>
  <c r="F41" i="55"/>
  <c r="G42" i="55" s="1"/>
  <c r="G43" i="55" s="1"/>
  <c r="G44" i="55" s="1"/>
  <c r="E149" i="55"/>
  <c r="E152" i="55" s="1"/>
  <c r="E153" i="55" s="1"/>
  <c r="E45" i="55"/>
  <c r="E46" i="55"/>
  <c r="J52" i="44"/>
  <c r="J24" i="44"/>
  <c r="E110" i="38"/>
  <c r="F104" i="38"/>
  <c r="F110" i="38" s="1"/>
  <c r="F99" i="38"/>
  <c r="G104" i="38"/>
  <c r="G110" i="38" s="1"/>
  <c r="G99" i="38"/>
  <c r="L44" i="44"/>
  <c r="L16" i="44"/>
  <c r="BU59" i="53"/>
  <c r="BS60" i="53"/>
  <c r="BO60" i="53"/>
  <c r="BM61" i="53" s="1"/>
  <c r="F34" i="53"/>
  <c r="G34" i="53" s="1"/>
  <c r="BG60" i="51"/>
  <c r="BI60" i="51" s="1"/>
  <c r="BC60" i="51"/>
  <c r="BA61" i="51" s="1"/>
  <c r="J34" i="51"/>
  <c r="K34" i="51" s="1"/>
  <c r="BH88" i="43"/>
  <c r="AS59" i="43"/>
  <c r="I34" i="43" s="1"/>
  <c r="AS87" i="43"/>
  <c r="AS70" i="43"/>
  <c r="I45" i="43" s="1"/>
  <c r="AS86" i="43"/>
  <c r="AS82" i="43"/>
  <c r="AS66" i="43"/>
  <c r="AS78" i="43"/>
  <c r="AS62" i="43"/>
  <c r="AS74" i="43"/>
  <c r="AS85" i="43"/>
  <c r="AS81" i="43"/>
  <c r="AS77" i="43"/>
  <c r="AS73" i="43"/>
  <c r="AS69" i="43"/>
  <c r="AS65" i="43"/>
  <c r="AS61" i="43"/>
  <c r="AS84" i="43"/>
  <c r="AS80" i="43"/>
  <c r="AS76" i="43"/>
  <c r="AS72" i="43"/>
  <c r="AS68" i="43"/>
  <c r="AS64" i="43"/>
  <c r="AS60" i="43"/>
  <c r="AS58" i="43"/>
  <c r="I33" i="43" s="1"/>
  <c r="AS83" i="43"/>
  <c r="AS79" i="43"/>
  <c r="AS75" i="43"/>
  <c r="AS71" i="43"/>
  <c r="AS67" i="43"/>
  <c r="AS63" i="43"/>
  <c r="AL60" i="43"/>
  <c r="AL66" i="43" s="1"/>
  <c r="AA6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O62" i="43"/>
  <c r="O44" i="43"/>
  <c r="Q33" i="43"/>
  <c r="I132" i="55" l="1"/>
  <c r="J133" i="55" s="1"/>
  <c r="J134" i="55" s="1"/>
  <c r="H135" i="55" s="1"/>
  <c r="Q34" i="43"/>
  <c r="G136" i="55"/>
  <c r="G137" i="55"/>
  <c r="G138" i="55" s="1"/>
  <c r="G151" i="55"/>
  <c r="H19" i="55"/>
  <c r="H148" i="55"/>
  <c r="H24" i="55"/>
  <c r="H23" i="55"/>
  <c r="BI67" i="57"/>
  <c r="E42" i="57"/>
  <c r="G42" i="57" s="1"/>
  <c r="K42" i="57" s="1"/>
  <c r="F68" i="55"/>
  <c r="F69" i="55"/>
  <c r="H64" i="55"/>
  <c r="I65" i="55" s="1"/>
  <c r="I66" i="55" s="1"/>
  <c r="I67" i="55" s="1"/>
  <c r="E168" i="55"/>
  <c r="E169" i="55" s="1"/>
  <c r="E170" i="55" s="1"/>
  <c r="E173" i="55" s="1"/>
  <c r="E174" i="55" s="1"/>
  <c r="E172" i="55" s="1"/>
  <c r="E156" i="55"/>
  <c r="E157" i="55" s="1"/>
  <c r="G41" i="55"/>
  <c r="F149" i="55"/>
  <c r="F152" i="55" s="1"/>
  <c r="F46" i="55"/>
  <c r="F45" i="55"/>
  <c r="F47" i="55" s="1"/>
  <c r="K51" i="44"/>
  <c r="K23" i="44"/>
  <c r="E33" i="50"/>
  <c r="M16" i="44"/>
  <c r="M44" i="44"/>
  <c r="J34" i="53"/>
  <c r="K34" i="53" s="1"/>
  <c r="BU60" i="53"/>
  <c r="BS61" i="53"/>
  <c r="BO61" i="53"/>
  <c r="BM62" i="53" s="1"/>
  <c r="BB64" i="43"/>
  <c r="I39" i="43"/>
  <c r="BB69" i="43"/>
  <c r="I44" i="43"/>
  <c r="BB78" i="43"/>
  <c r="I53" i="43"/>
  <c r="BB67" i="43"/>
  <c r="I42" i="43"/>
  <c r="BB68" i="43"/>
  <c r="I43" i="43"/>
  <c r="BB73" i="43"/>
  <c r="I48" i="43"/>
  <c r="AS57" i="43"/>
  <c r="AR88" i="43"/>
  <c r="BB87" i="43"/>
  <c r="I62" i="43"/>
  <c r="BB71" i="43"/>
  <c r="I46" i="43"/>
  <c r="BB72" i="43"/>
  <c r="I47" i="43"/>
  <c r="BB61" i="43"/>
  <c r="I36" i="43"/>
  <c r="BB77" i="43"/>
  <c r="I52" i="43"/>
  <c r="BB74" i="43"/>
  <c r="I49" i="43"/>
  <c r="BB82" i="43"/>
  <c r="I57" i="43"/>
  <c r="BB63" i="43"/>
  <c r="I38" i="43"/>
  <c r="BB79" i="43"/>
  <c r="I54" i="43"/>
  <c r="BB80" i="43"/>
  <c r="I55" i="43"/>
  <c r="BB85" i="43"/>
  <c r="I60" i="43"/>
  <c r="BC57" i="43"/>
  <c r="J32" i="43"/>
  <c r="F33" i="43" s="1"/>
  <c r="J33" i="43" s="1"/>
  <c r="F34" i="43" s="1"/>
  <c r="BB83" i="43"/>
  <c r="I58" i="43"/>
  <c r="BB84" i="43"/>
  <c r="I59" i="43"/>
  <c r="BB66" i="43"/>
  <c r="I41" i="43"/>
  <c r="BB75" i="43"/>
  <c r="I50" i="43"/>
  <c r="BB60" i="43"/>
  <c r="I35" i="43"/>
  <c r="Q35" i="43" s="1"/>
  <c r="BB76" i="43"/>
  <c r="I51" i="43"/>
  <c r="BB65" i="43"/>
  <c r="I40" i="43"/>
  <c r="BB81" i="43"/>
  <c r="I56" i="43"/>
  <c r="BB62" i="43"/>
  <c r="I37" i="43"/>
  <c r="BB86" i="43"/>
  <c r="I61" i="43"/>
  <c r="BC61" i="51"/>
  <c r="BA62" i="51" s="1"/>
  <c r="BG61" i="51"/>
  <c r="BI61" i="51" s="1"/>
  <c r="F35" i="51"/>
  <c r="G35" i="51" s="1"/>
  <c r="AT70" i="43"/>
  <c r="BB70" i="43"/>
  <c r="AT59" i="43"/>
  <c r="BB59" i="43"/>
  <c r="AT87" i="43"/>
  <c r="AA63" i="43"/>
  <c r="AK67" i="43"/>
  <c r="AT60" i="43"/>
  <c r="AT65" i="43"/>
  <c r="AT79" i="43"/>
  <c r="AT80" i="43"/>
  <c r="AT85" i="43"/>
  <c r="AT78" i="43"/>
  <c r="AT67" i="43"/>
  <c r="AT83" i="43"/>
  <c r="AT84" i="43"/>
  <c r="AT73" i="43"/>
  <c r="AT66" i="43"/>
  <c r="AT75" i="43"/>
  <c r="AT76" i="43"/>
  <c r="AT81" i="43"/>
  <c r="AT62" i="43"/>
  <c r="AT86" i="43"/>
  <c r="AT63" i="43"/>
  <c r="AT64" i="43"/>
  <c r="AT69" i="43"/>
  <c r="AT68" i="43"/>
  <c r="AT71" i="43"/>
  <c r="AT58" i="43"/>
  <c r="BB58" i="43"/>
  <c r="AT72" i="43"/>
  <c r="AT61" i="43"/>
  <c r="AT77" i="43"/>
  <c r="AT74" i="43"/>
  <c r="AT82" i="43"/>
  <c r="I20" i="55" l="1"/>
  <c r="I21" i="55" s="1"/>
  <c r="I22" i="55" s="1"/>
  <c r="J132" i="55"/>
  <c r="H136" i="55"/>
  <c r="H151" i="55"/>
  <c r="H137" i="55"/>
  <c r="Q36" i="43"/>
  <c r="Q37" i="43" s="1"/>
  <c r="Q38" i="43" s="1"/>
  <c r="Q39" i="43" s="1"/>
  <c r="Q40" i="43" s="1"/>
  <c r="Q41" i="43" s="1"/>
  <c r="Q42" i="43" s="1"/>
  <c r="Q43" i="43" s="1"/>
  <c r="Q44" i="43" s="1"/>
  <c r="Q45" i="43" s="1"/>
  <c r="Q46" i="43" s="1"/>
  <c r="Q47" i="43" s="1"/>
  <c r="Q48" i="43" s="1"/>
  <c r="Q49" i="43" s="1"/>
  <c r="Q50" i="43" s="1"/>
  <c r="Q51" i="43" s="1"/>
  <c r="Q52" i="43" s="1"/>
  <c r="Q53" i="43" s="1"/>
  <c r="Q54" i="43" s="1"/>
  <c r="Q55" i="43" s="1"/>
  <c r="Q56" i="43" s="1"/>
  <c r="Q57" i="43" s="1"/>
  <c r="Q58" i="43" s="1"/>
  <c r="Q59" i="43" s="1"/>
  <c r="Q60" i="43" s="1"/>
  <c r="Q61" i="43" s="1"/>
  <c r="Q62" i="43" s="1"/>
  <c r="F153" i="55"/>
  <c r="F168" i="55" s="1"/>
  <c r="F169" i="55" s="1"/>
  <c r="F170" i="55" s="1"/>
  <c r="F173" i="55" s="1"/>
  <c r="F174" i="55" s="1"/>
  <c r="F172" i="55" s="1"/>
  <c r="F156" i="55"/>
  <c r="F157" i="55" s="1"/>
  <c r="H42" i="55"/>
  <c r="H43" i="55" s="1"/>
  <c r="H44" i="55" s="1"/>
  <c r="F35" i="53"/>
  <c r="J35" i="53" s="1"/>
  <c r="F36" i="53" s="1"/>
  <c r="J36" i="53" s="1"/>
  <c r="K26" i="44"/>
  <c r="K33" i="44" s="1"/>
  <c r="K13" i="44"/>
  <c r="K54" i="44"/>
  <c r="K61" i="44" s="1"/>
  <c r="K41" i="44"/>
  <c r="BU61" i="53"/>
  <c r="BS62" i="53"/>
  <c r="BO62" i="53"/>
  <c r="BM63" i="53" s="1"/>
  <c r="G32" i="43"/>
  <c r="BI57" i="43"/>
  <c r="J48" i="44" s="1"/>
  <c r="J34" i="43"/>
  <c r="F35" i="43" s="1"/>
  <c r="AT57" i="43"/>
  <c r="AS88" i="43"/>
  <c r="BG62" i="51"/>
  <c r="BI62" i="51" s="1"/>
  <c r="BC62" i="51"/>
  <c r="BA63" i="51" s="1"/>
  <c r="J35" i="51"/>
  <c r="BA58" i="43"/>
  <c r="BG58" i="43" s="1"/>
  <c r="X98" i="44"/>
  <c r="X95" i="44"/>
  <c r="X92" i="44"/>
  <c r="X88" i="44"/>
  <c r="X85" i="44"/>
  <c r="X82" i="44"/>
  <c r="W100" i="44"/>
  <c r="V100" i="44"/>
  <c r="U100" i="44"/>
  <c r="T100" i="44"/>
  <c r="S100" i="44"/>
  <c r="R100" i="44"/>
  <c r="Q100" i="44"/>
  <c r="P100" i="44"/>
  <c r="O100" i="44"/>
  <c r="N100" i="44"/>
  <c r="M100" i="44"/>
  <c r="L100" i="44"/>
  <c r="K100" i="44"/>
  <c r="J100" i="44"/>
  <c r="J99" i="44"/>
  <c r="K99" i="44" s="1"/>
  <c r="L99" i="44" s="1"/>
  <c r="M99" i="44" s="1"/>
  <c r="N99" i="44" s="1"/>
  <c r="O99" i="44" s="1"/>
  <c r="P99" i="44" s="1"/>
  <c r="Q99" i="44" s="1"/>
  <c r="R99" i="44" s="1"/>
  <c r="S99" i="44" s="1"/>
  <c r="T99" i="44" s="1"/>
  <c r="U99" i="44" s="1"/>
  <c r="V99" i="44" s="1"/>
  <c r="W99" i="44" s="1"/>
  <c r="W97" i="44"/>
  <c r="V97" i="44"/>
  <c r="U97" i="44"/>
  <c r="T97" i="44"/>
  <c r="S97" i="44"/>
  <c r="R97" i="44"/>
  <c r="Q97" i="44"/>
  <c r="P97" i="44"/>
  <c r="O97" i="44"/>
  <c r="N97" i="44"/>
  <c r="M97" i="44"/>
  <c r="L97" i="44"/>
  <c r="K97" i="44"/>
  <c r="J97" i="44"/>
  <c r="J96" i="44"/>
  <c r="K96" i="44" s="1"/>
  <c r="L96" i="44" s="1"/>
  <c r="M96" i="44" s="1"/>
  <c r="N96" i="44" s="1"/>
  <c r="O96" i="44" s="1"/>
  <c r="P96" i="44" s="1"/>
  <c r="Q96" i="44" s="1"/>
  <c r="R96" i="44" s="1"/>
  <c r="S96" i="44" s="1"/>
  <c r="T96" i="44" s="1"/>
  <c r="U96" i="44" s="1"/>
  <c r="V96" i="44" s="1"/>
  <c r="W96" i="44" s="1"/>
  <c r="W94" i="44"/>
  <c r="V94" i="44"/>
  <c r="U94" i="44"/>
  <c r="T94" i="44"/>
  <c r="S94" i="44"/>
  <c r="R94" i="44"/>
  <c r="Q94" i="44"/>
  <c r="P94" i="44"/>
  <c r="O94" i="44"/>
  <c r="N94" i="44"/>
  <c r="M94" i="44"/>
  <c r="L94" i="44"/>
  <c r="K94" i="44"/>
  <c r="J94" i="44"/>
  <c r="J93" i="44"/>
  <c r="K93" i="44" s="1"/>
  <c r="L93" i="44" s="1"/>
  <c r="M93" i="44" s="1"/>
  <c r="N93" i="44" s="1"/>
  <c r="O93" i="44" s="1"/>
  <c r="P93" i="44" s="1"/>
  <c r="Q93" i="44" s="1"/>
  <c r="R93" i="44" s="1"/>
  <c r="S93" i="44" s="1"/>
  <c r="T93" i="44" s="1"/>
  <c r="U93" i="44" s="1"/>
  <c r="V93" i="44" s="1"/>
  <c r="W93" i="44" s="1"/>
  <c r="W90" i="44"/>
  <c r="V90" i="44"/>
  <c r="U90" i="44"/>
  <c r="T90" i="44"/>
  <c r="S90" i="44"/>
  <c r="R90" i="44"/>
  <c r="Q90" i="44"/>
  <c r="P90" i="44"/>
  <c r="O90" i="44"/>
  <c r="N90" i="44"/>
  <c r="M90" i="44"/>
  <c r="L90" i="44"/>
  <c r="K90" i="44"/>
  <c r="J90" i="44"/>
  <c r="J89" i="44"/>
  <c r="K89" i="44" s="1"/>
  <c r="L89" i="44" s="1"/>
  <c r="M89" i="44" s="1"/>
  <c r="N89" i="44" s="1"/>
  <c r="O89" i="44" s="1"/>
  <c r="P89" i="44" s="1"/>
  <c r="Q89" i="44" s="1"/>
  <c r="R89" i="44" s="1"/>
  <c r="S89" i="44" s="1"/>
  <c r="T89" i="44" s="1"/>
  <c r="U89" i="44" s="1"/>
  <c r="V89" i="44" s="1"/>
  <c r="W89" i="44" s="1"/>
  <c r="W87" i="44"/>
  <c r="V87" i="44"/>
  <c r="U87" i="44"/>
  <c r="T87" i="44"/>
  <c r="S87" i="44"/>
  <c r="R87" i="44"/>
  <c r="Q87" i="44"/>
  <c r="P87" i="44"/>
  <c r="O87" i="44"/>
  <c r="N87" i="44"/>
  <c r="M87" i="44"/>
  <c r="L87" i="44"/>
  <c r="K87" i="44"/>
  <c r="J87" i="44"/>
  <c r="J86" i="44"/>
  <c r="K86" i="44" s="1"/>
  <c r="L86" i="44" s="1"/>
  <c r="M86" i="44" s="1"/>
  <c r="N86" i="44" s="1"/>
  <c r="O86" i="44" s="1"/>
  <c r="P86" i="44" s="1"/>
  <c r="Q86" i="44" s="1"/>
  <c r="R86" i="44" s="1"/>
  <c r="S86" i="44" s="1"/>
  <c r="T86" i="44" s="1"/>
  <c r="U86" i="44" s="1"/>
  <c r="V86" i="44" s="1"/>
  <c r="W86" i="44" s="1"/>
  <c r="W84" i="44"/>
  <c r="V84" i="44"/>
  <c r="U84" i="44"/>
  <c r="T84" i="44"/>
  <c r="S84" i="44"/>
  <c r="R84" i="44"/>
  <c r="Q84" i="44"/>
  <c r="P84" i="44"/>
  <c r="O84" i="44"/>
  <c r="N84" i="44"/>
  <c r="M84" i="44"/>
  <c r="L84" i="44"/>
  <c r="K84" i="44"/>
  <c r="J84" i="44"/>
  <c r="J83" i="44"/>
  <c r="K83" i="44" s="1"/>
  <c r="L83" i="44" s="1"/>
  <c r="M83" i="44" s="1"/>
  <c r="N83" i="44" s="1"/>
  <c r="P83" i="44" s="1"/>
  <c r="Q83" i="44" s="1"/>
  <c r="R83" i="44" s="1"/>
  <c r="S83" i="44" s="1"/>
  <c r="T83" i="44" s="1"/>
  <c r="U83" i="44" s="1"/>
  <c r="V83" i="44" s="1"/>
  <c r="W83" i="44" s="1"/>
  <c r="M80" i="44"/>
  <c r="O80" i="44"/>
  <c r="P80" i="44"/>
  <c r="Q80" i="44"/>
  <c r="R80" i="44"/>
  <c r="S80" i="44"/>
  <c r="T80" i="44"/>
  <c r="U80" i="44"/>
  <c r="V80" i="44"/>
  <c r="W80" i="44"/>
  <c r="N80" i="44"/>
  <c r="X76" i="44"/>
  <c r="L80" i="44"/>
  <c r="K80" i="44"/>
  <c r="J80" i="44"/>
  <c r="J79" i="44"/>
  <c r="K79" i="44" s="1"/>
  <c r="L79" i="44" s="1"/>
  <c r="M79" i="44" s="1"/>
  <c r="N79" i="44" s="1"/>
  <c r="O79" i="44" s="1"/>
  <c r="P79" i="44" s="1"/>
  <c r="Q79" i="44" s="1"/>
  <c r="R79" i="44" s="1"/>
  <c r="S79" i="44" s="1"/>
  <c r="T79" i="44" s="1"/>
  <c r="U79" i="44" s="1"/>
  <c r="V79" i="44" s="1"/>
  <c r="W79" i="44" s="1"/>
  <c r="X75" i="44"/>
  <c r="G35" i="53" l="1"/>
  <c r="G36" i="53" s="1"/>
  <c r="K133" i="55"/>
  <c r="K134" i="55" s="1"/>
  <c r="I135" i="55" s="1"/>
  <c r="I19" i="55"/>
  <c r="I148" i="55"/>
  <c r="I23" i="55"/>
  <c r="I24" i="55"/>
  <c r="BI68" i="57"/>
  <c r="E43" i="57"/>
  <c r="G43" i="57" s="1"/>
  <c r="K43" i="57" s="1"/>
  <c r="G69" i="55"/>
  <c r="G68" i="55"/>
  <c r="G150" i="55"/>
  <c r="I64" i="55"/>
  <c r="J65" i="55" s="1"/>
  <c r="J66" i="55" s="1"/>
  <c r="J67" i="55" s="1"/>
  <c r="H41" i="55"/>
  <c r="G46" i="55"/>
  <c r="G45" i="55"/>
  <c r="G47" i="55" s="1"/>
  <c r="G149" i="55"/>
  <c r="J35" i="43"/>
  <c r="F36" i="43" s="1"/>
  <c r="J20" i="44"/>
  <c r="BU62" i="53"/>
  <c r="F37" i="53"/>
  <c r="J37" i="53" s="1"/>
  <c r="BO63" i="53"/>
  <c r="BM64" i="53" s="1"/>
  <c r="BS63" i="53"/>
  <c r="BI58" i="43"/>
  <c r="K32" i="43"/>
  <c r="G33" i="43"/>
  <c r="F36" i="51"/>
  <c r="G36" i="51" s="1"/>
  <c r="BC63" i="51"/>
  <c r="BA64" i="51" s="1"/>
  <c r="BG63" i="51"/>
  <c r="BI63" i="51" s="1"/>
  <c r="K35" i="51"/>
  <c r="X101" i="44"/>
  <c r="BC58" i="43"/>
  <c r="BA59" i="43" s="1"/>
  <c r="X81" i="44"/>
  <c r="X80" i="44"/>
  <c r="I23" i="45"/>
  <c r="J23" i="45"/>
  <c r="H23" i="45"/>
  <c r="K18" i="45"/>
  <c r="K19" i="45"/>
  <c r="K20" i="45"/>
  <c r="K21" i="45"/>
  <c r="K22" i="45"/>
  <c r="K17" i="45"/>
  <c r="G152" i="55" l="1"/>
  <c r="G153" i="55" s="1"/>
  <c r="K35" i="53"/>
  <c r="K132" i="55"/>
  <c r="L133" i="55" s="1"/>
  <c r="L134" i="55" s="1"/>
  <c r="J135" i="55" s="1"/>
  <c r="J20" i="55"/>
  <c r="J21" i="55" s="1"/>
  <c r="J22" i="55" s="1"/>
  <c r="I151" i="55"/>
  <c r="I136" i="55"/>
  <c r="I138" i="55" s="1"/>
  <c r="I137" i="55"/>
  <c r="BC59" i="43"/>
  <c r="BA60" i="43" s="1"/>
  <c r="BG60" i="43" s="1"/>
  <c r="BG59" i="43"/>
  <c r="I42" i="55"/>
  <c r="I43" i="55" s="1"/>
  <c r="I44" i="55" s="1"/>
  <c r="K48" i="44"/>
  <c r="J36" i="51"/>
  <c r="K36" i="51" s="1"/>
  <c r="J36" i="43"/>
  <c r="F37" i="43" s="1"/>
  <c r="K23" i="45"/>
  <c r="K20" i="44"/>
  <c r="BU63" i="53"/>
  <c r="BR88" i="53"/>
  <c r="F38" i="53"/>
  <c r="J38" i="53" s="1"/>
  <c r="BO64" i="53"/>
  <c r="BM65" i="53" s="1"/>
  <c r="BS64" i="53"/>
  <c r="BU64" i="53" s="1"/>
  <c r="G37" i="53"/>
  <c r="K36" i="53"/>
  <c r="BC64" i="51"/>
  <c r="BA65" i="51" s="1"/>
  <c r="BG64" i="51"/>
  <c r="BI64" i="51" s="1"/>
  <c r="F37" i="51"/>
  <c r="J37" i="51" s="1"/>
  <c r="G156" i="55" l="1"/>
  <c r="G157" i="55" s="1"/>
  <c r="J19" i="55"/>
  <c r="K20" i="55" s="1"/>
  <c r="K21" i="55" s="1"/>
  <c r="K22" i="55" s="1"/>
  <c r="L132" i="55"/>
  <c r="M133" i="55" s="1"/>
  <c r="M134" i="55" s="1"/>
  <c r="K135" i="55" s="1"/>
  <c r="BC60" i="43"/>
  <c r="BA61" i="43" s="1"/>
  <c r="BG61" i="43" s="1"/>
  <c r="J137" i="55"/>
  <c r="J151" i="55"/>
  <c r="J136" i="55"/>
  <c r="J138" i="55" s="1"/>
  <c r="J148" i="55"/>
  <c r="J24" i="55"/>
  <c r="J23" i="55"/>
  <c r="J25" i="55" s="1"/>
  <c r="BI69" i="57"/>
  <c r="E44" i="57"/>
  <c r="G44" i="57" s="1"/>
  <c r="K44" i="57" s="1"/>
  <c r="H69" i="55"/>
  <c r="H68" i="55"/>
  <c r="H150" i="55"/>
  <c r="J64" i="55"/>
  <c r="K65" i="55" s="1"/>
  <c r="K66" i="55" s="1"/>
  <c r="K67" i="55" s="1"/>
  <c r="H149" i="55"/>
  <c r="H46" i="55"/>
  <c r="H45" i="55"/>
  <c r="G168" i="55"/>
  <c r="G169" i="55" s="1"/>
  <c r="G170" i="55" s="1"/>
  <c r="G173" i="55" s="1"/>
  <c r="G174" i="55" s="1"/>
  <c r="I41" i="55"/>
  <c r="BT88" i="53"/>
  <c r="F39" i="53"/>
  <c r="J39" i="53" s="1"/>
  <c r="BS65" i="53"/>
  <c r="BU65" i="53" s="1"/>
  <c r="BO65" i="53"/>
  <c r="BM66" i="53" s="1"/>
  <c r="G38" i="53"/>
  <c r="K37" i="53"/>
  <c r="G37" i="51"/>
  <c r="K37" i="51" s="1"/>
  <c r="F38" i="51"/>
  <c r="J38" i="51" s="1"/>
  <c r="BG65" i="51"/>
  <c r="BI65" i="51" s="1"/>
  <c r="BC65" i="51"/>
  <c r="BA66" i="51" s="1"/>
  <c r="BC61" i="43"/>
  <c r="BA62" i="43" s="1"/>
  <c r="BG62" i="43" s="1"/>
  <c r="J37" i="43"/>
  <c r="F38" i="43" s="1"/>
  <c r="J77" i="44"/>
  <c r="K77" i="44" s="1"/>
  <c r="L77" i="44" s="1"/>
  <c r="M77" i="44" s="1"/>
  <c r="N77" i="44" s="1"/>
  <c r="O77" i="44" s="1"/>
  <c r="P77" i="44" s="1"/>
  <c r="Q77" i="44" s="1"/>
  <c r="R77" i="44" s="1"/>
  <c r="S77" i="44" s="1"/>
  <c r="T77" i="44" s="1"/>
  <c r="U77" i="44" s="1"/>
  <c r="V77" i="44" s="1"/>
  <c r="W77" i="44" s="1"/>
  <c r="K5" i="45"/>
  <c r="K11" i="45" s="1"/>
  <c r="K19" i="55" l="1"/>
  <c r="L20" i="55" s="1"/>
  <c r="L21" i="55" s="1"/>
  <c r="L22" i="55" s="1"/>
  <c r="M132" i="55"/>
  <c r="N133" i="55" s="1"/>
  <c r="N134" i="55" s="1"/>
  <c r="L135" i="55" s="1"/>
  <c r="K151" i="55"/>
  <c r="K136" i="55"/>
  <c r="K137" i="55"/>
  <c r="K23" i="55"/>
  <c r="K24" i="55"/>
  <c r="K148" i="55"/>
  <c r="E175" i="55"/>
  <c r="G172" i="55"/>
  <c r="H152" i="55"/>
  <c r="H156" i="55" s="1"/>
  <c r="H157" i="55" s="1"/>
  <c r="J42" i="55"/>
  <c r="J43" i="55" s="1"/>
  <c r="J44" i="55" s="1"/>
  <c r="F40" i="53"/>
  <c r="J40" i="53" s="1"/>
  <c r="G39" i="53"/>
  <c r="K38" i="53"/>
  <c r="BS66" i="53"/>
  <c r="BU66" i="53" s="1"/>
  <c r="BO66" i="53"/>
  <c r="BM67" i="53" s="1"/>
  <c r="F39" i="51"/>
  <c r="J39" i="51" s="1"/>
  <c r="BC66" i="51"/>
  <c r="BA67" i="51" s="1"/>
  <c r="BG66" i="51"/>
  <c r="BI66" i="51" s="1"/>
  <c r="G38" i="51"/>
  <c r="BC62" i="43"/>
  <c r="BA63" i="43" s="1"/>
  <c r="BG63" i="43" s="1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32" i="43"/>
  <c r="U71" i="42"/>
  <c r="U72" i="42" s="1"/>
  <c r="T71" i="42"/>
  <c r="T72" i="42" s="1"/>
  <c r="S71" i="42"/>
  <c r="S72" i="42" s="1"/>
  <c r="R71" i="42"/>
  <c r="R72" i="42" s="1"/>
  <c r="Q71" i="42"/>
  <c r="Q72" i="42" s="1"/>
  <c r="P71" i="42"/>
  <c r="P72" i="42" s="1"/>
  <c r="O71" i="42"/>
  <c r="O72" i="42" s="1"/>
  <c r="N71" i="42"/>
  <c r="N72" i="42" s="1"/>
  <c r="M71" i="42"/>
  <c r="M72" i="42" s="1"/>
  <c r="L71" i="42"/>
  <c r="L72" i="42" s="1"/>
  <c r="K71" i="42"/>
  <c r="K72" i="42" s="1"/>
  <c r="J71" i="42"/>
  <c r="J72" i="42" s="1"/>
  <c r="I71" i="42"/>
  <c r="I72" i="42" s="1"/>
  <c r="H71" i="42"/>
  <c r="H72" i="42" s="1"/>
  <c r="G71" i="42"/>
  <c r="G72" i="42" s="1"/>
  <c r="H69" i="42"/>
  <c r="I69" i="42" s="1"/>
  <c r="J69" i="42" s="1"/>
  <c r="K69" i="42" s="1"/>
  <c r="L69" i="42" s="1"/>
  <c r="M69" i="42" s="1"/>
  <c r="N69" i="42" s="1"/>
  <c r="O69" i="42" s="1"/>
  <c r="P69" i="42" s="1"/>
  <c r="Q69" i="42" s="1"/>
  <c r="R69" i="42" s="1"/>
  <c r="S69" i="42" s="1"/>
  <c r="T69" i="42" s="1"/>
  <c r="U69" i="42" s="1"/>
  <c r="U65" i="42"/>
  <c r="U66" i="42" s="1"/>
  <c r="T65" i="42"/>
  <c r="T66" i="42" s="1"/>
  <c r="S65" i="42"/>
  <c r="S66" i="42" s="1"/>
  <c r="R65" i="42"/>
  <c r="R66" i="42" s="1"/>
  <c r="Q65" i="42"/>
  <c r="Q66" i="42" s="1"/>
  <c r="P65" i="42"/>
  <c r="P66" i="42" s="1"/>
  <c r="O65" i="42"/>
  <c r="O66" i="42" s="1"/>
  <c r="N65" i="42"/>
  <c r="N66" i="42" s="1"/>
  <c r="M65" i="42"/>
  <c r="M66" i="42" s="1"/>
  <c r="L65" i="42"/>
  <c r="L66" i="42" s="1"/>
  <c r="K65" i="42"/>
  <c r="K66" i="42" s="1"/>
  <c r="J65" i="42"/>
  <c r="J66" i="42" s="1"/>
  <c r="I65" i="42"/>
  <c r="I66" i="42" s="1"/>
  <c r="H65" i="42"/>
  <c r="H66" i="42" s="1"/>
  <c r="G65" i="42"/>
  <c r="G66" i="42" s="1"/>
  <c r="H63" i="42"/>
  <c r="I63" i="42" s="1"/>
  <c r="J63" i="42" s="1"/>
  <c r="K63" i="42" s="1"/>
  <c r="L63" i="42" s="1"/>
  <c r="M63" i="42" s="1"/>
  <c r="N63" i="42" s="1"/>
  <c r="O63" i="42" s="1"/>
  <c r="P63" i="42" s="1"/>
  <c r="Q63" i="42" s="1"/>
  <c r="R63" i="42" s="1"/>
  <c r="S63" i="42" s="1"/>
  <c r="T63" i="42" s="1"/>
  <c r="U63" i="42" s="1"/>
  <c r="N90" i="42"/>
  <c r="N91" i="42" s="1"/>
  <c r="M90" i="42"/>
  <c r="M91" i="42" s="1"/>
  <c r="L90" i="42"/>
  <c r="L91" i="42" s="1"/>
  <c r="O89" i="42"/>
  <c r="O88" i="42"/>
  <c r="O87" i="42"/>
  <c r="O86" i="42"/>
  <c r="O85" i="42"/>
  <c r="O84" i="42"/>
  <c r="O83" i="42"/>
  <c r="O82" i="42"/>
  <c r="O81" i="42"/>
  <c r="O80" i="42"/>
  <c r="O79" i="42"/>
  <c r="O78" i="42"/>
  <c r="L19" i="55" l="1"/>
  <c r="M20" i="55" s="1"/>
  <c r="M21" i="55" s="1"/>
  <c r="L148" i="55"/>
  <c r="L24" i="55"/>
  <c r="L23" i="55"/>
  <c r="N132" i="55"/>
  <c r="L137" i="55"/>
  <c r="L138" i="55" s="1"/>
  <c r="L151" i="55"/>
  <c r="L136" i="55"/>
  <c r="BI70" i="57"/>
  <c r="E45" i="57"/>
  <c r="G45" i="57" s="1"/>
  <c r="K45" i="57" s="1"/>
  <c r="H153" i="55"/>
  <c r="H168" i="55" s="1"/>
  <c r="H169" i="55" s="1"/>
  <c r="H170" i="55" s="1"/>
  <c r="H173" i="55" s="1"/>
  <c r="H174" i="55" s="1"/>
  <c r="I150" i="55"/>
  <c r="I69" i="55"/>
  <c r="I68" i="55"/>
  <c r="K64" i="55"/>
  <c r="L65" i="55" s="1"/>
  <c r="I149" i="55"/>
  <c r="I152" i="55" s="1"/>
  <c r="I46" i="55"/>
  <c r="I45" i="55"/>
  <c r="I47" i="55" s="1"/>
  <c r="J41" i="55"/>
  <c r="F41" i="53"/>
  <c r="J41" i="53" s="1"/>
  <c r="BS67" i="53"/>
  <c r="BU67" i="53" s="1"/>
  <c r="BO67" i="53"/>
  <c r="BM68" i="53" s="1"/>
  <c r="G40" i="53"/>
  <c r="K39" i="53"/>
  <c r="F40" i="51"/>
  <c r="J40" i="51" s="1"/>
  <c r="BG67" i="51"/>
  <c r="BI67" i="51" s="1"/>
  <c r="BC67" i="51"/>
  <c r="BA68" i="51" s="1"/>
  <c r="G39" i="51"/>
  <c r="K38" i="51"/>
  <c r="BC63" i="43"/>
  <c r="BA64" i="43" s="1"/>
  <c r="BG64" i="43" s="1"/>
  <c r="K33" i="43"/>
  <c r="J38" i="43"/>
  <c r="F39" i="43" s="1"/>
  <c r="P84" i="42"/>
  <c r="P81" i="42"/>
  <c r="M19" i="55" l="1"/>
  <c r="N20" i="55" s="1"/>
  <c r="N21" i="55" s="1"/>
  <c r="M22" i="55"/>
  <c r="F175" i="55"/>
  <c r="H172" i="55"/>
  <c r="L66" i="55"/>
  <c r="L67" i="55" s="1"/>
  <c r="K42" i="55"/>
  <c r="K43" i="55" s="1"/>
  <c r="K44" i="55" s="1"/>
  <c r="I156" i="55"/>
  <c r="I157" i="55" s="1"/>
  <c r="I153" i="55"/>
  <c r="F42" i="53"/>
  <c r="J42" i="53" s="1"/>
  <c r="G41" i="53"/>
  <c r="K40" i="53"/>
  <c r="BS68" i="53"/>
  <c r="BU68" i="53" s="1"/>
  <c r="BO68" i="53"/>
  <c r="BM69" i="53" s="1"/>
  <c r="F41" i="51"/>
  <c r="J41" i="51" s="1"/>
  <c r="BG68" i="51"/>
  <c r="BC68" i="51"/>
  <c r="BA69" i="51" s="1"/>
  <c r="K39" i="51"/>
  <c r="G40" i="51"/>
  <c r="BI68" i="51"/>
  <c r="BC64" i="43"/>
  <c r="BA65" i="43" s="1"/>
  <c r="BG65" i="43" s="1"/>
  <c r="I56" i="42"/>
  <c r="I57" i="42" s="1"/>
  <c r="J56" i="42"/>
  <c r="J57" i="42" s="1"/>
  <c r="K56" i="42"/>
  <c r="K57" i="42" s="1"/>
  <c r="L56" i="42"/>
  <c r="L57" i="42" s="1"/>
  <c r="M56" i="42"/>
  <c r="M57" i="42" s="1"/>
  <c r="N56" i="42"/>
  <c r="N57" i="42" s="1"/>
  <c r="O56" i="42"/>
  <c r="O57" i="42" s="1"/>
  <c r="P56" i="42"/>
  <c r="P57" i="42" s="1"/>
  <c r="Q56" i="42"/>
  <c r="Q57" i="42" s="1"/>
  <c r="R56" i="42"/>
  <c r="R57" i="42" s="1"/>
  <c r="S56" i="42"/>
  <c r="S57" i="42" s="1"/>
  <c r="T56" i="42"/>
  <c r="T57" i="42" s="1"/>
  <c r="U56" i="42"/>
  <c r="U57" i="42" s="1"/>
  <c r="G56" i="42"/>
  <c r="G57" i="42" s="1"/>
  <c r="H56" i="42"/>
  <c r="H57" i="42" s="1"/>
  <c r="V55" i="42"/>
  <c r="H54" i="42"/>
  <c r="I54" i="42" s="1"/>
  <c r="J54" i="42" s="1"/>
  <c r="K54" i="42" s="1"/>
  <c r="L54" i="42" s="1"/>
  <c r="M54" i="42" s="1"/>
  <c r="N54" i="42" s="1"/>
  <c r="O54" i="42" s="1"/>
  <c r="P54" i="42" s="1"/>
  <c r="Q54" i="42" s="1"/>
  <c r="R54" i="42" s="1"/>
  <c r="S54" i="42" s="1"/>
  <c r="T54" i="42" s="1"/>
  <c r="U54" i="42" s="1"/>
  <c r="I50" i="42"/>
  <c r="J50" i="42"/>
  <c r="K50" i="42"/>
  <c r="L50" i="42"/>
  <c r="M50" i="42"/>
  <c r="N50" i="42"/>
  <c r="O50" i="42"/>
  <c r="P50" i="42"/>
  <c r="Q50" i="42"/>
  <c r="R50" i="42"/>
  <c r="S50" i="42"/>
  <c r="T50" i="42"/>
  <c r="U50" i="42"/>
  <c r="G50" i="42"/>
  <c r="G51" i="42" s="1"/>
  <c r="H50" i="42"/>
  <c r="H51" i="42" s="1"/>
  <c r="H44" i="42"/>
  <c r="H45" i="42" s="1"/>
  <c r="I44" i="42"/>
  <c r="I45" i="42" s="1"/>
  <c r="J44" i="42"/>
  <c r="K44" i="42"/>
  <c r="K45" i="42" s="1"/>
  <c r="L44" i="42"/>
  <c r="L45" i="42" s="1"/>
  <c r="M44" i="42"/>
  <c r="M45" i="42" s="1"/>
  <c r="N44" i="42"/>
  <c r="N45" i="42" s="1"/>
  <c r="O44" i="42"/>
  <c r="O45" i="42" s="1"/>
  <c r="P44" i="42"/>
  <c r="P45" i="42" s="1"/>
  <c r="Q44" i="42"/>
  <c r="Q45" i="42" s="1"/>
  <c r="R44" i="42"/>
  <c r="R45" i="42" s="1"/>
  <c r="S44" i="42"/>
  <c r="S45" i="42" s="1"/>
  <c r="T44" i="42"/>
  <c r="T45" i="42" s="1"/>
  <c r="U44" i="42"/>
  <c r="U45" i="42" s="1"/>
  <c r="J45" i="42"/>
  <c r="G44" i="42"/>
  <c r="G45" i="42" s="1"/>
  <c r="H38" i="42"/>
  <c r="H39" i="42" s="1"/>
  <c r="I38" i="42"/>
  <c r="I39" i="42" s="1"/>
  <c r="J38" i="42"/>
  <c r="K38" i="42"/>
  <c r="K39" i="42" s="1"/>
  <c r="L38" i="42"/>
  <c r="L39" i="42" s="1"/>
  <c r="M38" i="42"/>
  <c r="M39" i="42" s="1"/>
  <c r="N38" i="42"/>
  <c r="N39" i="42" s="1"/>
  <c r="O38" i="42"/>
  <c r="O39" i="42" s="1"/>
  <c r="P38" i="42"/>
  <c r="P39" i="42" s="1"/>
  <c r="Q38" i="42"/>
  <c r="Q39" i="42" s="1"/>
  <c r="R38" i="42"/>
  <c r="R39" i="42" s="1"/>
  <c r="S38" i="42"/>
  <c r="S39" i="42" s="1"/>
  <c r="T38" i="42"/>
  <c r="T39" i="42" s="1"/>
  <c r="U38" i="42"/>
  <c r="U39" i="42" s="1"/>
  <c r="J39" i="42"/>
  <c r="G38" i="42"/>
  <c r="G39" i="42" s="1"/>
  <c r="V49" i="42"/>
  <c r="H48" i="42"/>
  <c r="I48" i="42" s="1"/>
  <c r="J48" i="42" s="1"/>
  <c r="K48" i="42" s="1"/>
  <c r="L48" i="42" s="1"/>
  <c r="M48" i="42" s="1"/>
  <c r="N48" i="42" s="1"/>
  <c r="O48" i="42" s="1"/>
  <c r="P48" i="42" s="1"/>
  <c r="Q48" i="42" s="1"/>
  <c r="R48" i="42" s="1"/>
  <c r="S48" i="42" s="1"/>
  <c r="T48" i="42" s="1"/>
  <c r="U48" i="42" s="1"/>
  <c r="V43" i="42"/>
  <c r="H42" i="42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37" i="42"/>
  <c r="H36" i="42"/>
  <c r="I36" i="42" s="1"/>
  <c r="J36" i="42" s="1"/>
  <c r="K36" i="42" s="1"/>
  <c r="L36" i="42" s="1"/>
  <c r="M36" i="42" s="1"/>
  <c r="V31" i="42"/>
  <c r="H30" i="42"/>
  <c r="I30" i="42" s="1"/>
  <c r="J30" i="42" s="1"/>
  <c r="K30" i="42" s="1"/>
  <c r="L30" i="42" s="1"/>
  <c r="M30" i="42" s="1"/>
  <c r="N30" i="42" s="1"/>
  <c r="O30" i="42" s="1"/>
  <c r="P30" i="42" s="1"/>
  <c r="Q30" i="42" s="1"/>
  <c r="R30" i="42" s="1"/>
  <c r="S30" i="42" s="1"/>
  <c r="T30" i="42" s="1"/>
  <c r="U30" i="42" s="1"/>
  <c r="H32" i="42"/>
  <c r="H33" i="42" s="1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G32" i="42"/>
  <c r="G33" i="42" s="1"/>
  <c r="M148" i="55" l="1"/>
  <c r="M24" i="55"/>
  <c r="M23" i="55"/>
  <c r="N19" i="55"/>
  <c r="N22" i="55"/>
  <c r="BI71" i="57"/>
  <c r="E46" i="57"/>
  <c r="G46" i="57" s="1"/>
  <c r="K46" i="57" s="1"/>
  <c r="K46" i="55"/>
  <c r="K149" i="55"/>
  <c r="K45" i="55"/>
  <c r="L64" i="55"/>
  <c r="M65" i="55" s="1"/>
  <c r="J68" i="55"/>
  <c r="J69" i="55"/>
  <c r="J150" i="55"/>
  <c r="K41" i="55"/>
  <c r="I168" i="55"/>
  <c r="I169" i="55" s="1"/>
  <c r="I170" i="55" s="1"/>
  <c r="I173" i="55" s="1"/>
  <c r="I174" i="55" s="1"/>
  <c r="J149" i="55"/>
  <c r="J46" i="55"/>
  <c r="J45" i="55"/>
  <c r="F43" i="53"/>
  <c r="J43" i="53" s="1"/>
  <c r="K41" i="53"/>
  <c r="G42" i="53"/>
  <c r="BO69" i="53"/>
  <c r="BM70" i="53" s="1"/>
  <c r="BS69" i="53"/>
  <c r="BU69" i="53" s="1"/>
  <c r="F42" i="51"/>
  <c r="J42" i="51" s="1"/>
  <c r="BC69" i="51"/>
  <c r="BA70" i="51" s="1"/>
  <c r="BG69" i="51"/>
  <c r="BI69" i="51" s="1"/>
  <c r="G41" i="51"/>
  <c r="K40" i="51"/>
  <c r="BC65" i="43"/>
  <c r="BA66" i="43" s="1"/>
  <c r="BG66" i="43" s="1"/>
  <c r="J39" i="43"/>
  <c r="F40" i="43" s="1"/>
  <c r="P33" i="42"/>
  <c r="P59" i="42"/>
  <c r="O51" i="42"/>
  <c r="O60" i="42"/>
  <c r="R51" i="42"/>
  <c r="R60" i="42"/>
  <c r="N51" i="42"/>
  <c r="N60" i="42"/>
  <c r="J51" i="42"/>
  <c r="J60" i="42"/>
  <c r="T33" i="42"/>
  <c r="T59" i="42"/>
  <c r="S51" i="42"/>
  <c r="S60" i="42"/>
  <c r="K51" i="42"/>
  <c r="K60" i="42"/>
  <c r="S33" i="42"/>
  <c r="S59" i="42"/>
  <c r="O33" i="42"/>
  <c r="O59" i="42"/>
  <c r="K33" i="42"/>
  <c r="K59" i="42"/>
  <c r="R33" i="42"/>
  <c r="R59" i="42"/>
  <c r="N33" i="42"/>
  <c r="N59" i="42"/>
  <c r="J33" i="42"/>
  <c r="J59" i="42"/>
  <c r="U51" i="42"/>
  <c r="U60" i="42"/>
  <c r="Q51" i="42"/>
  <c r="Q60" i="42"/>
  <c r="M51" i="42"/>
  <c r="M60" i="42"/>
  <c r="I51" i="42"/>
  <c r="I60" i="42"/>
  <c r="L33" i="42"/>
  <c r="L59" i="42"/>
  <c r="U33" i="42"/>
  <c r="U59" i="42"/>
  <c r="Q33" i="42"/>
  <c r="Q59" i="42"/>
  <c r="M33" i="42"/>
  <c r="M59" i="42"/>
  <c r="I33" i="42"/>
  <c r="I59" i="42"/>
  <c r="T51" i="42"/>
  <c r="T60" i="42"/>
  <c r="P51" i="42"/>
  <c r="P60" i="42"/>
  <c r="L51" i="42"/>
  <c r="L60" i="42"/>
  <c r="W49" i="42"/>
  <c r="W55" i="42"/>
  <c r="W43" i="42"/>
  <c r="N36" i="42"/>
  <c r="O36" i="42" s="1"/>
  <c r="P36" i="42" s="1"/>
  <c r="Q36" i="42" s="1"/>
  <c r="R36" i="42" s="1"/>
  <c r="S36" i="42" s="1"/>
  <c r="T36" i="42" s="1"/>
  <c r="U36" i="42" s="1"/>
  <c r="W37" i="42" s="1"/>
  <c r="W31" i="42"/>
  <c r="N23" i="55" l="1"/>
  <c r="N148" i="55"/>
  <c r="N24" i="55"/>
  <c r="L42" i="55"/>
  <c r="L43" i="55" s="1"/>
  <c r="L44" i="55" s="1"/>
  <c r="G175" i="55"/>
  <c r="I172" i="55"/>
  <c r="J152" i="55"/>
  <c r="J153" i="55" s="1"/>
  <c r="J168" i="55" s="1"/>
  <c r="J169" i="55" s="1"/>
  <c r="J170" i="55" s="1"/>
  <c r="M66" i="55"/>
  <c r="M67" i="55" s="1"/>
  <c r="F44" i="53"/>
  <c r="J44" i="53" s="1"/>
  <c r="BS70" i="53"/>
  <c r="BU70" i="53" s="1"/>
  <c r="BO70" i="53"/>
  <c r="BM71" i="53" s="1"/>
  <c r="K42" i="53"/>
  <c r="G43" i="53"/>
  <c r="F43" i="51"/>
  <c r="J43" i="51" s="1"/>
  <c r="BG70" i="51"/>
  <c r="BI70" i="51" s="1"/>
  <c r="BC70" i="51"/>
  <c r="BA71" i="51" s="1"/>
  <c r="G42" i="51"/>
  <c r="K41" i="51"/>
  <c r="BC66" i="43"/>
  <c r="BA67" i="43" s="1"/>
  <c r="BG67" i="43" s="1"/>
  <c r="V35" i="42"/>
  <c r="V41" i="42"/>
  <c r="V47" i="42"/>
  <c r="V53" i="42"/>
  <c r="V29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C15" i="21"/>
  <c r="C14" i="21"/>
  <c r="C13" i="21"/>
  <c r="C12" i="21"/>
  <c r="C11" i="21"/>
  <c r="C10" i="21"/>
  <c r="C9" i="21"/>
  <c r="C8" i="21"/>
  <c r="C7" i="21"/>
  <c r="C6" i="21"/>
  <c r="C5" i="21"/>
  <c r="C4" i="21"/>
  <c r="BI72" i="57" l="1"/>
  <c r="E47" i="57"/>
  <c r="G47" i="57" s="1"/>
  <c r="K47" i="57" s="1"/>
  <c r="L45" i="55"/>
  <c r="L149" i="55"/>
  <c r="L46" i="55"/>
  <c r="L47" i="55" s="1"/>
  <c r="L41" i="55"/>
  <c r="J173" i="55"/>
  <c r="J174" i="55" s="1"/>
  <c r="H175" i="55" s="1"/>
  <c r="M150" i="55"/>
  <c r="M69" i="55"/>
  <c r="M68" i="55"/>
  <c r="J156" i="55"/>
  <c r="J157" i="55" s="1"/>
  <c r="M64" i="55"/>
  <c r="N65" i="55" s="1"/>
  <c r="K68" i="55"/>
  <c r="K69" i="55"/>
  <c r="K150" i="55"/>
  <c r="K152" i="55" s="1"/>
  <c r="F45" i="53"/>
  <c r="J45" i="53" s="1"/>
  <c r="K43" i="53"/>
  <c r="G44" i="53"/>
  <c r="BS71" i="53"/>
  <c r="BU71" i="53" s="1"/>
  <c r="BO71" i="53"/>
  <c r="BM72" i="53" s="1"/>
  <c r="F44" i="51"/>
  <c r="J44" i="51" s="1"/>
  <c r="G43" i="51"/>
  <c r="K42" i="51"/>
  <c r="BG71" i="51"/>
  <c r="BI71" i="51" s="1"/>
  <c r="BC71" i="51"/>
  <c r="BA72" i="51" s="1"/>
  <c r="BC67" i="43"/>
  <c r="BA68" i="43" s="1"/>
  <c r="BG68" i="43" s="1"/>
  <c r="H25" i="42"/>
  <c r="I25" i="42" s="1"/>
  <c r="J25" i="42" s="1"/>
  <c r="K25" i="42" s="1"/>
  <c r="L25" i="42" s="1"/>
  <c r="M25" i="42" s="1"/>
  <c r="N25" i="42" s="1"/>
  <c r="O25" i="42" s="1"/>
  <c r="P25" i="42" s="1"/>
  <c r="Q25" i="42" s="1"/>
  <c r="R25" i="42" s="1"/>
  <c r="S25" i="42" s="1"/>
  <c r="T25" i="42" s="1"/>
  <c r="U25" i="42" s="1"/>
  <c r="M42" i="55" l="1"/>
  <c r="M43" i="55" s="1"/>
  <c r="M44" i="55" s="1"/>
  <c r="J172" i="55"/>
  <c r="K156" i="55"/>
  <c r="K157" i="55" s="1"/>
  <c r="K153" i="55"/>
  <c r="N66" i="55"/>
  <c r="F46" i="53"/>
  <c r="J46" i="53" s="1"/>
  <c r="BO72" i="53"/>
  <c r="BM73" i="53" s="1"/>
  <c r="BS72" i="53"/>
  <c r="BU72" i="53" s="1"/>
  <c r="K44" i="53"/>
  <c r="G45" i="53"/>
  <c r="F45" i="51"/>
  <c r="J45" i="51" s="1"/>
  <c r="G44" i="51"/>
  <c r="K43" i="51"/>
  <c r="BG72" i="51"/>
  <c r="BI72" i="51" s="1"/>
  <c r="BC72" i="51"/>
  <c r="BA73" i="51" s="1"/>
  <c r="BC68" i="43"/>
  <c r="BA69" i="43" s="1"/>
  <c r="BG69" i="43" s="1"/>
  <c r="J40" i="43"/>
  <c r="F41" i="43" s="1"/>
  <c r="AG60" i="38"/>
  <c r="AF29" i="38"/>
  <c r="AI40" i="38"/>
  <c r="AH40" i="38"/>
  <c r="AG40" i="38"/>
  <c r="AH17" i="38"/>
  <c r="AB22" i="38"/>
  <c r="AF18" i="38" s="1"/>
  <c r="AH18" i="38" s="1"/>
  <c r="AA22" i="38"/>
  <c r="AE17" i="38" s="1"/>
  <c r="AG17" i="38" s="1"/>
  <c r="AD66" i="38"/>
  <c r="AC66" i="38"/>
  <c r="AB66" i="38"/>
  <c r="AD58" i="38"/>
  <c r="AC58" i="38"/>
  <c r="AB58" i="38"/>
  <c r="AC50" i="38"/>
  <c r="AB50" i="38"/>
  <c r="AD42" i="38"/>
  <c r="AC42" i="38"/>
  <c r="AB42" i="38"/>
  <c r="AB34" i="38"/>
  <c r="AC34" i="38"/>
  <c r="Z22" i="38"/>
  <c r="AC18" i="38" s="1"/>
  <c r="K17" i="38"/>
  <c r="N32" i="38"/>
  <c r="O32" i="38"/>
  <c r="N33" i="38"/>
  <c r="O33" i="38"/>
  <c r="N34" i="38"/>
  <c r="O34" i="38"/>
  <c r="N35" i="38"/>
  <c r="O35" i="38"/>
  <c r="N36" i="38"/>
  <c r="O36" i="38"/>
  <c r="M32" i="38"/>
  <c r="M33" i="38"/>
  <c r="M34" i="38"/>
  <c r="M35" i="38"/>
  <c r="M36" i="38"/>
  <c r="BI73" i="57" l="1"/>
  <c r="E48" i="57"/>
  <c r="G48" i="57" s="1"/>
  <c r="K48" i="57" s="1"/>
  <c r="M41" i="55"/>
  <c r="M45" i="55"/>
  <c r="M46" i="55"/>
  <c r="M149" i="55"/>
  <c r="M152" i="55" s="1"/>
  <c r="M156" i="55" s="1"/>
  <c r="M157" i="55" s="1"/>
  <c r="N64" i="55"/>
  <c r="N67" i="55"/>
  <c r="K168" i="55"/>
  <c r="K169" i="55" s="1"/>
  <c r="K170" i="55" s="1"/>
  <c r="K173" i="55" s="1"/>
  <c r="K174" i="55" s="1"/>
  <c r="AF16" i="38"/>
  <c r="AH16" i="38" s="1"/>
  <c r="AC20" i="38"/>
  <c r="AD20" i="38" s="1"/>
  <c r="AF21" i="38"/>
  <c r="AH21" i="38" s="1"/>
  <c r="AC19" i="38"/>
  <c r="AD19" i="38" s="1"/>
  <c r="AE19" i="38"/>
  <c r="AG19" i="38" s="1"/>
  <c r="AF20" i="38"/>
  <c r="AH20" i="38" s="1"/>
  <c r="AE20" i="38"/>
  <c r="AG20" i="38" s="1"/>
  <c r="AC16" i="38"/>
  <c r="AE16" i="38"/>
  <c r="AG16" i="38" s="1"/>
  <c r="AE18" i="38"/>
  <c r="AG18" i="38" s="1"/>
  <c r="AF19" i="38"/>
  <c r="AH19" i="38" s="1"/>
  <c r="AC21" i="38"/>
  <c r="AD21" i="38" s="1"/>
  <c r="AC17" i="38"/>
  <c r="AD17" i="38" s="1"/>
  <c r="AE21" i="38"/>
  <c r="AG21" i="38" s="1"/>
  <c r="K45" i="53"/>
  <c r="G46" i="53"/>
  <c r="BS73" i="53"/>
  <c r="BU73" i="53" s="1"/>
  <c r="BO73" i="53"/>
  <c r="BM74" i="53" s="1"/>
  <c r="F47" i="53"/>
  <c r="J47" i="53" s="1"/>
  <c r="F46" i="51"/>
  <c r="J46" i="51" s="1"/>
  <c r="G45" i="51"/>
  <c r="K44" i="51"/>
  <c r="BC73" i="51"/>
  <c r="BA74" i="51" s="1"/>
  <c r="BG73" i="51"/>
  <c r="BI73" i="51" s="1"/>
  <c r="BC69" i="43"/>
  <c r="BA70" i="43" s="1"/>
  <c r="BG70" i="43" s="1"/>
  <c r="J41" i="43"/>
  <c r="F42" i="43" s="1"/>
  <c r="AL7" i="38"/>
  <c r="AI13" i="36"/>
  <c r="AI14" i="36" s="1"/>
  <c r="AF13" i="36"/>
  <c r="AF14" i="36" s="1"/>
  <c r="AC13" i="36"/>
  <c r="AC14" i="36" s="1"/>
  <c r="Z13" i="36"/>
  <c r="Z14" i="36" s="1"/>
  <c r="AK7" i="38"/>
  <c r="U5" i="38"/>
  <c r="T5" i="38"/>
  <c r="O45" i="38"/>
  <c r="N45" i="38"/>
  <c r="M45" i="38"/>
  <c r="N42" i="55" l="1"/>
  <c r="N43" i="55" s="1"/>
  <c r="N44" i="55" s="1"/>
  <c r="I175" i="55"/>
  <c r="K172" i="55"/>
  <c r="N150" i="55"/>
  <c r="N68" i="55"/>
  <c r="N69" i="55"/>
  <c r="L69" i="55"/>
  <c r="L150" i="55"/>
  <c r="L152" i="55" s="1"/>
  <c r="L68" i="55"/>
  <c r="AH22" i="38"/>
  <c r="AH23" i="38" s="1"/>
  <c r="AG22" i="38"/>
  <c r="AG23" i="38" s="1"/>
  <c r="AE22" i="38"/>
  <c r="AE24" i="38" s="1"/>
  <c r="AF22" i="38"/>
  <c r="AF24" i="38" s="1"/>
  <c r="Z23" i="44"/>
  <c r="Z12" i="44" s="1"/>
  <c r="F48" i="53"/>
  <c r="J48" i="53" s="1"/>
  <c r="K46" i="53"/>
  <c r="G47" i="53"/>
  <c r="BS74" i="53"/>
  <c r="BU74" i="53" s="1"/>
  <c r="BO74" i="53"/>
  <c r="BM75" i="53" s="1"/>
  <c r="G46" i="51"/>
  <c r="K45" i="51"/>
  <c r="BG74" i="51"/>
  <c r="BI74" i="51" s="1"/>
  <c r="BC74" i="51"/>
  <c r="BA75" i="51" s="1"/>
  <c r="F47" i="51"/>
  <c r="J47" i="51" s="1"/>
  <c r="BC70" i="43"/>
  <c r="BA71" i="43" s="1"/>
  <c r="BG71" i="43" s="1"/>
  <c r="J42" i="43"/>
  <c r="F43" i="43" s="1"/>
  <c r="AD16" i="38"/>
  <c r="AD50" i="38"/>
  <c r="AC22" i="38"/>
  <c r="AD18" i="38"/>
  <c r="AD34" i="38"/>
  <c r="AJ12" i="36"/>
  <c r="AK12" i="36" s="1"/>
  <c r="AJ6" i="36"/>
  <c r="W66" i="38"/>
  <c r="V66" i="38"/>
  <c r="U66" i="38"/>
  <c r="W42" i="38"/>
  <c r="V42" i="38"/>
  <c r="U11" i="38"/>
  <c r="T11" i="38"/>
  <c r="AH24" i="38" l="1"/>
  <c r="BI74" i="57"/>
  <c r="E49" i="57"/>
  <c r="G49" i="57" s="1"/>
  <c r="K49" i="57" s="1"/>
  <c r="N41" i="55"/>
  <c r="N46" i="55"/>
  <c r="N149" i="55"/>
  <c r="N152" i="55" s="1"/>
  <c r="N156" i="55" s="1"/>
  <c r="N157" i="55" s="1"/>
  <c r="N45" i="55"/>
  <c r="L153" i="55"/>
  <c r="L156" i="55"/>
  <c r="L157" i="55" s="1"/>
  <c r="AG24" i="38"/>
  <c r="F49" i="53"/>
  <c r="J49" i="53" s="1"/>
  <c r="BS75" i="53"/>
  <c r="BU75" i="53" s="1"/>
  <c r="BO75" i="53"/>
  <c r="BM76" i="53" s="1"/>
  <c r="K47" i="53"/>
  <c r="G48" i="53"/>
  <c r="F48" i="51"/>
  <c r="J48" i="51" s="1"/>
  <c r="G47" i="51"/>
  <c r="K46" i="51"/>
  <c r="BG75" i="51"/>
  <c r="BI75" i="51" s="1"/>
  <c r="BC75" i="51"/>
  <c r="BA76" i="51" s="1"/>
  <c r="BC71" i="43"/>
  <c r="BA72" i="43" s="1"/>
  <c r="BG72" i="43" s="1"/>
  <c r="AD22" i="38"/>
  <c r="U17" i="38"/>
  <c r="U21" i="38"/>
  <c r="U20" i="38"/>
  <c r="U18" i="38"/>
  <c r="V30" i="38" s="1"/>
  <c r="U16" i="38"/>
  <c r="V44" i="38" s="1"/>
  <c r="U19" i="38"/>
  <c r="T17" i="38"/>
  <c r="T21" i="38"/>
  <c r="U33" i="38" s="1"/>
  <c r="T18" i="38"/>
  <c r="U30" i="38" s="1"/>
  <c r="T16" i="38"/>
  <c r="U44" i="38" s="1"/>
  <c r="T19" i="38"/>
  <c r="U39" i="38" s="1"/>
  <c r="T20" i="38"/>
  <c r="U32" i="38" s="1"/>
  <c r="V58" i="38"/>
  <c r="W58" i="38"/>
  <c r="U58" i="38"/>
  <c r="M153" i="55" l="1"/>
  <c r="L168" i="55"/>
  <c r="L169" i="55" s="1"/>
  <c r="L170" i="55" s="1"/>
  <c r="L173" i="55" s="1"/>
  <c r="L174" i="55" s="1"/>
  <c r="K48" i="53"/>
  <c r="G49" i="53"/>
  <c r="F50" i="53"/>
  <c r="J50" i="53" s="1"/>
  <c r="BO76" i="53"/>
  <c r="BM77" i="53" s="1"/>
  <c r="BS76" i="53"/>
  <c r="BU76" i="53" s="1"/>
  <c r="F49" i="51"/>
  <c r="J49" i="51" s="1"/>
  <c r="BC76" i="51"/>
  <c r="BA77" i="51" s="1"/>
  <c r="BG76" i="51"/>
  <c r="BI76" i="51" s="1"/>
  <c r="G48" i="51"/>
  <c r="K47" i="51"/>
  <c r="BC72" i="43"/>
  <c r="BA73" i="43" s="1"/>
  <c r="BG73" i="43" s="1"/>
  <c r="J43" i="43"/>
  <c r="F44" i="43" s="1"/>
  <c r="U42" i="38"/>
  <c r="V50" i="38"/>
  <c r="U50" i="38"/>
  <c r="T22" i="38"/>
  <c r="U22" i="38"/>
  <c r="V34" i="38"/>
  <c r="U34" i="38"/>
  <c r="N5" i="38"/>
  <c r="N31" i="38" s="1"/>
  <c r="O5" i="38"/>
  <c r="O31" i="38" s="1"/>
  <c r="M5" i="38"/>
  <c r="M24" i="38"/>
  <c r="M19" i="38"/>
  <c r="E24" i="38"/>
  <c r="H32" i="21"/>
  <c r="L32" i="21" s="1"/>
  <c r="P32" i="21" s="1"/>
  <c r="H31" i="21"/>
  <c r="L31" i="21" s="1"/>
  <c r="P31" i="21" s="1"/>
  <c r="G30" i="21"/>
  <c r="K30" i="21" s="1"/>
  <c r="O30" i="21" s="1"/>
  <c r="H30" i="21"/>
  <c r="L30" i="21" s="1"/>
  <c r="P30" i="21" s="1"/>
  <c r="F30" i="21"/>
  <c r="J30" i="21" s="1"/>
  <c r="N30" i="21" s="1"/>
  <c r="H29" i="21"/>
  <c r="L29" i="21" s="1"/>
  <c r="P29" i="21" s="1"/>
  <c r="H28" i="21"/>
  <c r="L28" i="21" s="1"/>
  <c r="P28" i="21" s="1"/>
  <c r="H27" i="21"/>
  <c r="L27" i="21" s="1"/>
  <c r="P27" i="21" s="1"/>
  <c r="H26" i="21"/>
  <c r="L26" i="21" s="1"/>
  <c r="P26" i="21" s="1"/>
  <c r="G24" i="21"/>
  <c r="K24" i="21" s="1"/>
  <c r="O24" i="21" s="1"/>
  <c r="H24" i="21"/>
  <c r="L24" i="21" s="1"/>
  <c r="P24" i="21" s="1"/>
  <c r="F24" i="21"/>
  <c r="J24" i="21" s="1"/>
  <c r="N24" i="21" s="1"/>
  <c r="H23" i="21"/>
  <c r="L23" i="21" s="1"/>
  <c r="P23" i="21" s="1"/>
  <c r="G22" i="21"/>
  <c r="K22" i="21" s="1"/>
  <c r="O22" i="21" s="1"/>
  <c r="H22" i="21"/>
  <c r="L22" i="21" s="1"/>
  <c r="P22" i="21" s="1"/>
  <c r="F22" i="21"/>
  <c r="J22" i="21" s="1"/>
  <c r="N22" i="21" s="1"/>
  <c r="F5" i="38"/>
  <c r="G5" i="38"/>
  <c r="P35" i="21" l="1"/>
  <c r="BI75" i="57"/>
  <c r="E50" i="57"/>
  <c r="G50" i="57" s="1"/>
  <c r="K50" i="57" s="1"/>
  <c r="G27" i="21"/>
  <c r="K27" i="21" s="1"/>
  <c r="O27" i="21" s="1"/>
  <c r="J175" i="55"/>
  <c r="L172" i="55"/>
  <c r="M168" i="55"/>
  <c r="M169" i="55" s="1"/>
  <c r="M170" i="55" s="1"/>
  <c r="N153" i="55"/>
  <c r="N168" i="55" s="1"/>
  <c r="N169" i="55" s="1"/>
  <c r="N170" i="55" s="1"/>
  <c r="K49" i="53"/>
  <c r="G50" i="53"/>
  <c r="BS77" i="53"/>
  <c r="BU77" i="53" s="1"/>
  <c r="BO77" i="53"/>
  <c r="BM78" i="53" s="1"/>
  <c r="F51" i="53"/>
  <c r="J51" i="53" s="1"/>
  <c r="G49" i="51"/>
  <c r="K48" i="51"/>
  <c r="F50" i="51"/>
  <c r="J50" i="51" s="1"/>
  <c r="BG77" i="51"/>
  <c r="BI77" i="51" s="1"/>
  <c r="BC77" i="51"/>
  <c r="BA78" i="51" s="1"/>
  <c r="BC73" i="43"/>
  <c r="BA74" i="43" s="1"/>
  <c r="BG74" i="43" s="1"/>
  <c r="H17" i="21"/>
  <c r="H18" i="21" s="1"/>
  <c r="H21" i="21"/>
  <c r="F17" i="21"/>
  <c r="F18" i="21" s="1"/>
  <c r="F21" i="21"/>
  <c r="J21" i="21" s="1"/>
  <c r="N21" i="21" s="1"/>
  <c r="G17" i="21"/>
  <c r="G18" i="21" s="1"/>
  <c r="G21" i="21"/>
  <c r="K21" i="21" s="1"/>
  <c r="O21" i="21" s="1"/>
  <c r="G11" i="38"/>
  <c r="G20" i="38" s="1"/>
  <c r="G22" i="38" s="1"/>
  <c r="N11" i="38"/>
  <c r="N20" i="38" s="1"/>
  <c r="M31" i="38"/>
  <c r="M11" i="38"/>
  <c r="M20" i="38" s="1"/>
  <c r="O11" i="38"/>
  <c r="O20" i="38" s="1"/>
  <c r="F11" i="38"/>
  <c r="F20" i="38" s="1"/>
  <c r="P6" i="21"/>
  <c r="O6" i="21"/>
  <c r="N6" i="21"/>
  <c r="N37" i="38"/>
  <c r="O37" i="38"/>
  <c r="M25" i="38"/>
  <c r="M21" i="38"/>
  <c r="H33" i="21" l="1"/>
  <c r="L21" i="21"/>
  <c r="P21" i="21" s="1"/>
  <c r="P36" i="21"/>
  <c r="L6" i="56"/>
  <c r="F21" i="56" s="1"/>
  <c r="F22" i="56" s="1"/>
  <c r="F23" i="56" s="1"/>
  <c r="M6" i="56"/>
  <c r="G21" i="56" s="1"/>
  <c r="G22" i="56" s="1"/>
  <c r="G23" i="56" s="1"/>
  <c r="N6" i="56"/>
  <c r="H21" i="56" s="1"/>
  <c r="H22" i="56" s="1"/>
  <c r="M6" i="36"/>
  <c r="N15" i="21"/>
  <c r="N6" i="36"/>
  <c r="O15" i="21"/>
  <c r="O6" i="36"/>
  <c r="M173" i="55"/>
  <c r="M174" i="55" s="1"/>
  <c r="K175" i="55" s="1"/>
  <c r="E21" i="38"/>
  <c r="G37" i="38"/>
  <c r="O20" i="36"/>
  <c r="F37" i="38"/>
  <c r="N20" i="36"/>
  <c r="F52" i="53"/>
  <c r="J52" i="53" s="1"/>
  <c r="K50" i="53"/>
  <c r="G51" i="53"/>
  <c r="BS78" i="53"/>
  <c r="BU78" i="53" s="1"/>
  <c r="BO78" i="53"/>
  <c r="BM79" i="53" s="1"/>
  <c r="BG78" i="51"/>
  <c r="BI78" i="51" s="1"/>
  <c r="BC78" i="51"/>
  <c r="BA79" i="51" s="1"/>
  <c r="F51" i="51"/>
  <c r="J51" i="51" s="1"/>
  <c r="G50" i="51"/>
  <c r="K49" i="51"/>
  <c r="M37" i="38"/>
  <c r="BC74" i="43"/>
  <c r="BA75" i="43" s="1"/>
  <c r="BG75" i="43" s="1"/>
  <c r="J44" i="43"/>
  <c r="F45" i="43" s="1"/>
  <c r="E25" i="38"/>
  <c r="M22" i="38"/>
  <c r="M26" i="38"/>
  <c r="M27" i="38" s="1"/>
  <c r="H35" i="21" l="1"/>
  <c r="L33" i="21"/>
  <c r="P33" i="21" s="1"/>
  <c r="E51" i="57"/>
  <c r="G51" i="57" s="1"/>
  <c r="K51" i="57" s="1"/>
  <c r="BI76" i="57"/>
  <c r="H29" i="56"/>
  <c r="H23" i="56"/>
  <c r="N17" i="21"/>
  <c r="N16" i="21"/>
  <c r="O16" i="21"/>
  <c r="O17" i="21"/>
  <c r="M172" i="55"/>
  <c r="F53" i="53"/>
  <c r="J53" i="53" s="1"/>
  <c r="BO79" i="53"/>
  <c r="BM80" i="53" s="1"/>
  <c r="BS79" i="53"/>
  <c r="BU79" i="53" s="1"/>
  <c r="K51" i="53"/>
  <c r="G52" i="53"/>
  <c r="BC79" i="51"/>
  <c r="BA80" i="51" s="1"/>
  <c r="BG79" i="51"/>
  <c r="BI79" i="51" s="1"/>
  <c r="F52" i="51"/>
  <c r="J52" i="51" s="1"/>
  <c r="G51" i="51"/>
  <c r="K50" i="51"/>
  <c r="BC75" i="43"/>
  <c r="BA76" i="43" s="1"/>
  <c r="BG76" i="43" s="1"/>
  <c r="N23" i="36"/>
  <c r="N14" i="36" s="1"/>
  <c r="O23" i="36"/>
  <c r="O14" i="36" s="1"/>
  <c r="N24" i="38"/>
  <c r="H30" i="56" l="1"/>
  <c r="H41" i="56"/>
  <c r="H42" i="56" s="1"/>
  <c r="F31" i="21"/>
  <c r="J31" i="21" s="1"/>
  <c r="N31" i="21" s="1"/>
  <c r="F25" i="21"/>
  <c r="J25" i="21" s="1"/>
  <c r="N25" i="21" s="1"/>
  <c r="F23" i="21"/>
  <c r="F28" i="21"/>
  <c r="J28" i="21" s="1"/>
  <c r="N28" i="21" s="1"/>
  <c r="G34" i="21"/>
  <c r="G32" i="21"/>
  <c r="K32" i="21" s="1"/>
  <c r="O32" i="21" s="1"/>
  <c r="G26" i="21"/>
  <c r="K26" i="21" s="1"/>
  <c r="O26" i="21" s="1"/>
  <c r="G29" i="21"/>
  <c r="K29" i="21" s="1"/>
  <c r="O29" i="21" s="1"/>
  <c r="G28" i="21"/>
  <c r="K28" i="21" s="1"/>
  <c r="O28" i="21" s="1"/>
  <c r="G23" i="21"/>
  <c r="K23" i="21" s="1"/>
  <c r="O23" i="21" s="1"/>
  <c r="F34" i="21" s="1"/>
  <c r="G31" i="21"/>
  <c r="K31" i="21" s="1"/>
  <c r="O31" i="21" s="1"/>
  <c r="G25" i="21"/>
  <c r="K25" i="21" s="1"/>
  <c r="O25" i="21" s="1"/>
  <c r="F32" i="21"/>
  <c r="J32" i="21" s="1"/>
  <c r="N32" i="21" s="1"/>
  <c r="F26" i="21"/>
  <c r="J26" i="21" s="1"/>
  <c r="N26" i="21" s="1"/>
  <c r="F29" i="21"/>
  <c r="J29" i="21" s="1"/>
  <c r="N29" i="21" s="1"/>
  <c r="N173" i="55"/>
  <c r="N174" i="55" s="1"/>
  <c r="L175" i="55" s="1"/>
  <c r="F54" i="53"/>
  <c r="J54" i="53" s="1"/>
  <c r="BS80" i="53"/>
  <c r="BU80" i="53" s="1"/>
  <c r="BO80" i="53"/>
  <c r="BM81" i="53" s="1"/>
  <c r="K52" i="53"/>
  <c r="G53" i="53"/>
  <c r="F53" i="51"/>
  <c r="J53" i="51" s="1"/>
  <c r="K51" i="51"/>
  <c r="G52" i="51"/>
  <c r="BG80" i="51"/>
  <c r="BI80" i="51" s="1"/>
  <c r="BC80" i="51"/>
  <c r="BA81" i="51" s="1"/>
  <c r="BC76" i="43"/>
  <c r="BA77" i="43" s="1"/>
  <c r="BG77" i="43" s="1"/>
  <c r="J45" i="43"/>
  <c r="F46" i="43" s="1"/>
  <c r="N19" i="38"/>
  <c r="N21" i="38" s="1"/>
  <c r="N22" i="38" s="1"/>
  <c r="O24" i="38" s="1"/>
  <c r="O19" i="38" s="1"/>
  <c r="O35" i="21" l="1"/>
  <c r="O36" i="21" s="1"/>
  <c r="N35" i="21"/>
  <c r="M14" i="37"/>
  <c r="M15" i="37" s="1"/>
  <c r="AR57" i="50" s="1"/>
  <c r="AR58" i="50" s="1"/>
  <c r="J23" i="21"/>
  <c r="N23" i="21" s="1"/>
  <c r="BI77" i="57"/>
  <c r="E52" i="57"/>
  <c r="G52" i="57" s="1"/>
  <c r="K52" i="57" s="1"/>
  <c r="F33" i="21"/>
  <c r="G33" i="21"/>
  <c r="N172" i="55"/>
  <c r="F55" i="53"/>
  <c r="J55" i="53" s="1"/>
  <c r="BS81" i="53"/>
  <c r="BU81" i="53" s="1"/>
  <c r="BO81" i="53"/>
  <c r="BM82" i="53" s="1"/>
  <c r="G54" i="53"/>
  <c r="K53" i="53"/>
  <c r="F54" i="51"/>
  <c r="J54" i="51" s="1"/>
  <c r="BG81" i="51"/>
  <c r="BI81" i="51" s="1"/>
  <c r="BC81" i="51"/>
  <c r="BA82" i="51" s="1"/>
  <c r="K52" i="51"/>
  <c r="G53" i="51"/>
  <c r="BC77" i="43"/>
  <c r="BA78" i="43" s="1"/>
  <c r="BG78" i="43" s="1"/>
  <c r="N25" i="38"/>
  <c r="N26" i="38" s="1"/>
  <c r="N27" i="38" s="1"/>
  <c r="O21" i="38"/>
  <c r="O22" i="38" s="1"/>
  <c r="G35" i="21" l="1"/>
  <c r="K33" i="21"/>
  <c r="O33" i="21" s="1"/>
  <c r="AS57" i="50"/>
  <c r="AT57" i="50" s="1"/>
  <c r="N36" i="21"/>
  <c r="F35" i="21"/>
  <c r="J33" i="21"/>
  <c r="N33" i="21" s="1"/>
  <c r="AR59" i="50"/>
  <c r="AS58" i="50"/>
  <c r="F56" i="53"/>
  <c r="J56" i="53" s="1"/>
  <c r="BO82" i="53"/>
  <c r="BM83" i="53" s="1"/>
  <c r="BS82" i="53"/>
  <c r="BU82" i="53" s="1"/>
  <c r="G55" i="53"/>
  <c r="K54" i="53"/>
  <c r="F55" i="51"/>
  <c r="J55" i="51" s="1"/>
  <c r="BC82" i="51"/>
  <c r="BA83" i="51" s="1"/>
  <c r="BG82" i="51"/>
  <c r="BI82" i="51" s="1"/>
  <c r="K53" i="51"/>
  <c r="G54" i="51"/>
  <c r="BC78" i="43"/>
  <c r="BA79" i="43" s="1"/>
  <c r="BG79" i="43" s="1"/>
  <c r="J46" i="43"/>
  <c r="F47" i="43" s="1"/>
  <c r="O25" i="38"/>
  <c r="O26" i="38" s="1"/>
  <c r="O27" i="38" s="1"/>
  <c r="BB58" i="50" l="1"/>
  <c r="BA58" i="50" s="1"/>
  <c r="BG58" i="50" s="1"/>
  <c r="AT58" i="50"/>
  <c r="I33" i="50"/>
  <c r="AR60" i="50"/>
  <c r="AS59" i="50"/>
  <c r="BI78" i="57"/>
  <c r="E53" i="57"/>
  <c r="G53" i="57" s="1"/>
  <c r="K53" i="57" s="1"/>
  <c r="F57" i="53"/>
  <c r="J57" i="53" s="1"/>
  <c r="BS83" i="53"/>
  <c r="BU83" i="53" s="1"/>
  <c r="BO83" i="53"/>
  <c r="BM84" i="53" s="1"/>
  <c r="K55" i="53"/>
  <c r="G56" i="53"/>
  <c r="F56" i="51"/>
  <c r="J56" i="51" s="1"/>
  <c r="BG83" i="51"/>
  <c r="BI83" i="51" s="1"/>
  <c r="BC83" i="51"/>
  <c r="BA84" i="51" s="1"/>
  <c r="K54" i="51"/>
  <c r="G55" i="51"/>
  <c r="BC79" i="43"/>
  <c r="BA80" i="43" s="1"/>
  <c r="BG80" i="43" s="1"/>
  <c r="P4" i="21"/>
  <c r="P5" i="21"/>
  <c r="P7" i="21"/>
  <c r="O4" i="21"/>
  <c r="O5" i="21"/>
  <c r="O7" i="21"/>
  <c r="G30" i="36"/>
  <c r="F9" i="36"/>
  <c r="F20" i="36" s="1"/>
  <c r="G9" i="36"/>
  <c r="G20" i="36" s="1"/>
  <c r="E9" i="36"/>
  <c r="F33" i="50" l="1"/>
  <c r="Q33" i="50"/>
  <c r="AR61" i="50"/>
  <c r="AS60" i="50"/>
  <c r="I34" i="50"/>
  <c r="BB59" i="50"/>
  <c r="AT59" i="50"/>
  <c r="BI58" i="50"/>
  <c r="BC58" i="50"/>
  <c r="F58" i="53"/>
  <c r="J58" i="53" s="1"/>
  <c r="BS84" i="53"/>
  <c r="BO84" i="53"/>
  <c r="BM85" i="53" s="1"/>
  <c r="K56" i="53"/>
  <c r="G57" i="53"/>
  <c r="BU84" i="53"/>
  <c r="F57" i="51"/>
  <c r="J57" i="51" s="1"/>
  <c r="K55" i="51"/>
  <c r="G56" i="51"/>
  <c r="BG84" i="51"/>
  <c r="BI84" i="51" s="1"/>
  <c r="BC84" i="51"/>
  <c r="BA85" i="51" s="1"/>
  <c r="BC80" i="43"/>
  <c r="BA81" i="43" s="1"/>
  <c r="BG81" i="43" s="1"/>
  <c r="J47" i="43"/>
  <c r="F48" i="43" s="1"/>
  <c r="O8" i="21"/>
  <c r="P8" i="21"/>
  <c r="K24" i="44" l="1"/>
  <c r="K52" i="44"/>
  <c r="BB60" i="50"/>
  <c r="AT60" i="50"/>
  <c r="I35" i="50"/>
  <c r="AR62" i="50"/>
  <c r="AS61" i="50"/>
  <c r="Q34" i="50"/>
  <c r="Q35" i="50" s="1"/>
  <c r="BA59" i="50"/>
  <c r="J33" i="50"/>
  <c r="G33" i="50"/>
  <c r="BI79" i="57"/>
  <c r="E54" i="57"/>
  <c r="G54" i="57" s="1"/>
  <c r="K54" i="57" s="1"/>
  <c r="H21" i="36"/>
  <c r="H22" i="36" s="1"/>
  <c r="G21" i="36"/>
  <c r="G22" i="36" s="1"/>
  <c r="G23" i="36" s="1"/>
  <c r="F59" i="53"/>
  <c r="J59" i="53" s="1"/>
  <c r="BO85" i="53"/>
  <c r="BM86" i="53" s="1"/>
  <c r="BS85" i="53"/>
  <c r="BU85" i="53" s="1"/>
  <c r="K57" i="53"/>
  <c r="G58" i="53"/>
  <c r="F58" i="51"/>
  <c r="J58" i="51" s="1"/>
  <c r="BC85" i="51"/>
  <c r="BA86" i="51" s="1"/>
  <c r="BG85" i="51"/>
  <c r="BI85" i="51" s="1"/>
  <c r="K56" i="51"/>
  <c r="G57" i="51"/>
  <c r="BC81" i="43"/>
  <c r="BA82" i="43" s="1"/>
  <c r="BG82" i="43" s="1"/>
  <c r="N7" i="21"/>
  <c r="K33" i="50" l="1"/>
  <c r="AT61" i="50"/>
  <c r="BB61" i="50"/>
  <c r="I36" i="50"/>
  <c r="Q36" i="50" s="1"/>
  <c r="F34" i="50"/>
  <c r="J34" i="50" s="1"/>
  <c r="AR63" i="50"/>
  <c r="AS62" i="50"/>
  <c r="BC59" i="50"/>
  <c r="BA60" i="50" s="1"/>
  <c r="BG59" i="50"/>
  <c r="H23" i="36"/>
  <c r="H29" i="36"/>
  <c r="F60" i="53"/>
  <c r="J60" i="53" s="1"/>
  <c r="K58" i="53"/>
  <c r="G59" i="53"/>
  <c r="BS86" i="53"/>
  <c r="BU86" i="53" s="1"/>
  <c r="BO86" i="53"/>
  <c r="BM87" i="53" s="1"/>
  <c r="F59" i="51"/>
  <c r="J59" i="51" s="1"/>
  <c r="BG86" i="51"/>
  <c r="BI86" i="51" s="1"/>
  <c r="BC86" i="51"/>
  <c r="BA87" i="51" s="1"/>
  <c r="K57" i="51"/>
  <c r="G58" i="51"/>
  <c r="BC82" i="43"/>
  <c r="BA83" i="43" s="1"/>
  <c r="BG83" i="43" s="1"/>
  <c r="J48" i="43"/>
  <c r="F49" i="43" s="1"/>
  <c r="I2" i="5"/>
  <c r="N5" i="21"/>
  <c r="N4" i="21"/>
  <c r="AR64" i="50" l="1"/>
  <c r="AS63" i="50"/>
  <c r="F35" i="50"/>
  <c r="J35" i="50" s="1"/>
  <c r="BC60" i="50"/>
  <c r="BA61" i="50" s="1"/>
  <c r="BG60" i="50"/>
  <c r="AT62" i="50"/>
  <c r="I37" i="50"/>
  <c r="Q37" i="50" s="1"/>
  <c r="BB62" i="50"/>
  <c r="BI80" i="57"/>
  <c r="E55" i="57"/>
  <c r="G55" i="57" s="1"/>
  <c r="K55" i="57" s="1"/>
  <c r="H41" i="36"/>
  <c r="H42" i="36" s="1"/>
  <c r="P15" i="21" s="1"/>
  <c r="H42" i="21"/>
  <c r="V5" i="38"/>
  <c r="H30" i="36"/>
  <c r="F61" i="53"/>
  <c r="J61" i="53" s="1"/>
  <c r="BS87" i="53"/>
  <c r="BU87" i="53" s="1"/>
  <c r="BO87" i="53"/>
  <c r="BM88" i="53"/>
  <c r="BN90" i="53" s="1"/>
  <c r="K59" i="53"/>
  <c r="G60" i="53"/>
  <c r="F60" i="51"/>
  <c r="J60" i="51" s="1"/>
  <c r="K58" i="51"/>
  <c r="G59" i="51"/>
  <c r="BG87" i="51"/>
  <c r="BI87" i="51" s="1"/>
  <c r="BC87" i="51"/>
  <c r="BA88" i="51"/>
  <c r="BB90" i="51" s="1"/>
  <c r="BC83" i="43"/>
  <c r="BA84" i="43" s="1"/>
  <c r="BG84" i="43" s="1"/>
  <c r="N8" i="21"/>
  <c r="F36" i="50" l="1"/>
  <c r="J36" i="50" s="1"/>
  <c r="F37" i="50" s="1"/>
  <c r="J37" i="50" s="1"/>
  <c r="BB63" i="50"/>
  <c r="AT63" i="50"/>
  <c r="I38" i="50"/>
  <c r="Q38" i="50" s="1"/>
  <c r="BG61" i="50"/>
  <c r="BC61" i="50"/>
  <c r="BA62" i="50" s="1"/>
  <c r="AR65" i="50"/>
  <c r="AS64" i="50"/>
  <c r="V11" i="38"/>
  <c r="V16" i="38" s="1"/>
  <c r="F21" i="36"/>
  <c r="F22" i="36" s="1"/>
  <c r="F23" i="36" s="1"/>
  <c r="F62" i="53"/>
  <c r="J62" i="53" s="1"/>
  <c r="G61" i="53"/>
  <c r="K60" i="53"/>
  <c r="F61" i="51"/>
  <c r="J61" i="51" s="1"/>
  <c r="K59" i="51"/>
  <c r="G60" i="51"/>
  <c r="BC84" i="43"/>
  <c r="BA85" i="43" s="1"/>
  <c r="BG85" i="43" s="1"/>
  <c r="J49" i="43"/>
  <c r="F50" i="43" s="1"/>
  <c r="I4" i="5"/>
  <c r="I5" i="5"/>
  <c r="I6" i="5"/>
  <c r="I7" i="5"/>
  <c r="I8" i="5"/>
  <c r="I9" i="5"/>
  <c r="I10" i="5"/>
  <c r="I11" i="5"/>
  <c r="I3" i="5"/>
  <c r="F38" i="50" l="1"/>
  <c r="J38" i="50" s="1"/>
  <c r="BB64" i="50"/>
  <c r="I39" i="50"/>
  <c r="Q39" i="50" s="1"/>
  <c r="AT64" i="50"/>
  <c r="BC62" i="50"/>
  <c r="BA63" i="50" s="1"/>
  <c r="BG62" i="50"/>
  <c r="AR66" i="50"/>
  <c r="AS65" i="50"/>
  <c r="BI81" i="57"/>
  <c r="E56" i="57"/>
  <c r="G56" i="57" s="1"/>
  <c r="K56" i="57" s="1"/>
  <c r="W44" i="38"/>
  <c r="W50" i="38" s="1"/>
  <c r="V19" i="38"/>
  <c r="V20" i="38"/>
  <c r="V18" i="38"/>
  <c r="W30" i="38" s="1"/>
  <c r="W34" i="38" s="1"/>
  <c r="V17" i="38"/>
  <c r="V21" i="38"/>
  <c r="F30" i="36"/>
  <c r="K61" i="53"/>
  <c r="G62" i="53"/>
  <c r="K62" i="53" s="1"/>
  <c r="F62" i="51"/>
  <c r="J62" i="51" s="1"/>
  <c r="K60" i="51"/>
  <c r="G61" i="51"/>
  <c r="BC85" i="43"/>
  <c r="BA86" i="43" s="1"/>
  <c r="BG86" i="43" s="1"/>
  <c r="J50" i="43"/>
  <c r="F51" i="43" s="1"/>
  <c r="F39" i="50" l="1"/>
  <c r="J39" i="50" s="1"/>
  <c r="AR67" i="50"/>
  <c r="AS66" i="50"/>
  <c r="I40" i="50"/>
  <c r="Q40" i="50" s="1"/>
  <c r="AT65" i="50"/>
  <c r="BB65" i="50"/>
  <c r="BG63" i="50"/>
  <c r="BC63" i="50"/>
  <c r="BA64" i="50" s="1"/>
  <c r="V22" i="38"/>
  <c r="E5" i="38"/>
  <c r="E11" i="38" s="1"/>
  <c r="E20" i="38" s="1"/>
  <c r="E22" i="38" s="1"/>
  <c r="K61" i="51"/>
  <c r="G62" i="51"/>
  <c r="K62" i="51" s="1"/>
  <c r="BC86" i="43"/>
  <c r="BA87" i="43" s="1"/>
  <c r="BG87" i="43" s="1"/>
  <c r="BH50" i="43" s="1"/>
  <c r="J51" i="43"/>
  <c r="F52" i="43" s="1"/>
  <c r="F40" i="50" l="1"/>
  <c r="J40" i="50" s="1"/>
  <c r="AR68" i="50"/>
  <c r="AS67" i="50"/>
  <c r="AT66" i="50"/>
  <c r="I41" i="50"/>
  <c r="Q41" i="50" s="1"/>
  <c r="BB66" i="50"/>
  <c r="BC64" i="50"/>
  <c r="BA65" i="50" s="1"/>
  <c r="BG64" i="50"/>
  <c r="BI82" i="57"/>
  <c r="E57" i="57"/>
  <c r="G57" i="57" s="1"/>
  <c r="K57" i="57" s="1"/>
  <c r="E26" i="38"/>
  <c r="BA88" i="43"/>
  <c r="BC87" i="43"/>
  <c r="J52" i="43"/>
  <c r="F53" i="43" s="1"/>
  <c r="F41" i="50" l="1"/>
  <c r="J41" i="50" s="1"/>
  <c r="AT67" i="50"/>
  <c r="I42" i="50"/>
  <c r="Q42" i="50" s="1"/>
  <c r="BB67" i="50"/>
  <c r="BC65" i="50"/>
  <c r="BA66" i="50" s="1"/>
  <c r="BG65" i="50"/>
  <c r="AR69" i="50"/>
  <c r="AS68" i="50"/>
  <c r="BI59" i="43"/>
  <c r="L47" i="44"/>
  <c r="L19" i="44"/>
  <c r="E34" i="43"/>
  <c r="G34" i="43" s="1"/>
  <c r="K34" i="43" s="1"/>
  <c r="E27" i="38"/>
  <c r="F25" i="38"/>
  <c r="J53" i="43"/>
  <c r="F54" i="43" s="1"/>
  <c r="BB68" i="50" l="1"/>
  <c r="AT68" i="50"/>
  <c r="I43" i="50"/>
  <c r="Q43" i="50" s="1"/>
  <c r="BG66" i="50"/>
  <c r="BC66" i="50"/>
  <c r="BA67" i="50" s="1"/>
  <c r="F42" i="50"/>
  <c r="J42" i="50" s="1"/>
  <c r="AR70" i="50"/>
  <c r="AS69" i="50"/>
  <c r="L49" i="44"/>
  <c r="L60" i="44" s="1"/>
  <c r="L21" i="44"/>
  <c r="L32" i="44" s="1"/>
  <c r="L20" i="44"/>
  <c r="L48" i="44"/>
  <c r="BI83" i="57"/>
  <c r="E58" i="57"/>
  <c r="G58" i="57" s="1"/>
  <c r="K58" i="57" s="1"/>
  <c r="F26" i="38"/>
  <c r="F27" i="38" s="1"/>
  <c r="F22" i="38"/>
  <c r="G25" i="38"/>
  <c r="G26" i="38" s="1"/>
  <c r="G27" i="38" s="1"/>
  <c r="J31" i="38"/>
  <c r="E37" i="38"/>
  <c r="M20" i="36"/>
  <c r="J54" i="43"/>
  <c r="F55" i="43" s="1"/>
  <c r="F43" i="50" l="1"/>
  <c r="J43" i="50" s="1"/>
  <c r="F44" i="50" s="1"/>
  <c r="J44" i="50" s="1"/>
  <c r="BC67" i="50"/>
  <c r="BA68" i="50" s="1"/>
  <c r="BG67" i="50"/>
  <c r="AT69" i="50"/>
  <c r="BB69" i="50"/>
  <c r="I44" i="50"/>
  <c r="Q44" i="50" s="1"/>
  <c r="AR71" i="50"/>
  <c r="AS70" i="50"/>
  <c r="M19" i="44"/>
  <c r="E35" i="43"/>
  <c r="G35" i="43" s="1"/>
  <c r="K35" i="43" s="1"/>
  <c r="BI60" i="43"/>
  <c r="M47" i="44"/>
  <c r="M23" i="36"/>
  <c r="M14" i="36" s="1"/>
  <c r="J55" i="43"/>
  <c r="F56" i="43" s="1"/>
  <c r="BB70" i="50" l="1"/>
  <c r="AT70" i="50"/>
  <c r="I45" i="50"/>
  <c r="Q45" i="50" s="1"/>
  <c r="BC68" i="50"/>
  <c r="BA69" i="50" s="1"/>
  <c r="BG68" i="50"/>
  <c r="AR72" i="50"/>
  <c r="AS71" i="50"/>
  <c r="M48" i="44"/>
  <c r="M20" i="44"/>
  <c r="M21" i="44"/>
  <c r="M32" i="44" s="1"/>
  <c r="M49" i="44"/>
  <c r="M60" i="44" s="1"/>
  <c r="BI84" i="57"/>
  <c r="E59" i="57"/>
  <c r="G59" i="57" s="1"/>
  <c r="K59" i="57" s="1"/>
  <c r="J56" i="43"/>
  <c r="F57" i="43" s="1"/>
  <c r="BG69" i="50" l="1"/>
  <c r="BC69" i="50"/>
  <c r="BA70" i="50" s="1"/>
  <c r="AT71" i="50"/>
  <c r="I46" i="50"/>
  <c r="Q46" i="50" s="1"/>
  <c r="BB71" i="50"/>
  <c r="F45" i="50"/>
  <c r="J45" i="50" s="1"/>
  <c r="AR73" i="50"/>
  <c r="AS72" i="50"/>
  <c r="N47" i="44"/>
  <c r="BI61" i="43"/>
  <c r="E36" i="43"/>
  <c r="G36" i="43" s="1"/>
  <c r="K36" i="43" s="1"/>
  <c r="N19" i="44"/>
  <c r="J57" i="43"/>
  <c r="F58" i="43" s="1"/>
  <c r="F46" i="50" l="1"/>
  <c r="J46" i="50" s="1"/>
  <c r="BG70" i="50"/>
  <c r="BC70" i="50"/>
  <c r="BA71" i="50" s="1"/>
  <c r="BB72" i="50"/>
  <c r="I47" i="50"/>
  <c r="Q47" i="50" s="1"/>
  <c r="AT72" i="50"/>
  <c r="AR74" i="50"/>
  <c r="AS73" i="50"/>
  <c r="N21" i="44"/>
  <c r="N32" i="44" s="1"/>
  <c r="N48" i="44"/>
  <c r="N20" i="44"/>
  <c r="N49" i="44"/>
  <c r="N60" i="44" s="1"/>
  <c r="X60" i="44" s="1"/>
  <c r="X47" i="44"/>
  <c r="Y47" i="44" s="1"/>
  <c r="BI85" i="57"/>
  <c r="E60" i="57"/>
  <c r="G60" i="57" s="1"/>
  <c r="K60" i="57" s="1"/>
  <c r="J58" i="43"/>
  <c r="F59" i="43" s="1"/>
  <c r="BB73" i="50" l="1"/>
  <c r="AT73" i="50"/>
  <c r="I48" i="50"/>
  <c r="Q48" i="50" s="1"/>
  <c r="AR75" i="50"/>
  <c r="AS74" i="50"/>
  <c r="F47" i="50"/>
  <c r="J47" i="50" s="1"/>
  <c r="BC71" i="50"/>
  <c r="BA72" i="50" s="1"/>
  <c r="BG71" i="50"/>
  <c r="O19" i="44"/>
  <c r="E37" i="43"/>
  <c r="G37" i="43" s="1"/>
  <c r="K37" i="43" s="1"/>
  <c r="BI62" i="43"/>
  <c r="J59" i="43"/>
  <c r="F60" i="43" s="1"/>
  <c r="F48" i="50" l="1"/>
  <c r="J48" i="50" s="1"/>
  <c r="AT74" i="50"/>
  <c r="BB74" i="50"/>
  <c r="I49" i="50"/>
  <c r="Q49" i="50" s="1"/>
  <c r="BG72" i="50"/>
  <c r="BC72" i="50"/>
  <c r="BA73" i="50" s="1"/>
  <c r="AR76" i="50"/>
  <c r="AS75" i="50"/>
  <c r="O21" i="44"/>
  <c r="O32" i="44" s="1"/>
  <c r="E61" i="57"/>
  <c r="G61" i="57" s="1"/>
  <c r="K61" i="57" s="1"/>
  <c r="BI86" i="57"/>
  <c r="J60" i="43"/>
  <c r="F61" i="43" s="1"/>
  <c r="F49" i="50" l="1"/>
  <c r="J49" i="50" s="1"/>
  <c r="BG73" i="50"/>
  <c r="BC73" i="50"/>
  <c r="BA74" i="50" s="1"/>
  <c r="I50" i="50"/>
  <c r="Q50" i="50" s="1"/>
  <c r="AT75" i="50"/>
  <c r="BB75" i="50"/>
  <c r="AR77" i="50"/>
  <c r="AS76" i="50"/>
  <c r="P19" i="44"/>
  <c r="E38" i="43"/>
  <c r="G38" i="43" s="1"/>
  <c r="K38" i="43" s="1"/>
  <c r="BI63" i="43"/>
  <c r="BI87" i="57"/>
  <c r="E62" i="57"/>
  <c r="BF88" i="57"/>
  <c r="J61" i="43"/>
  <c r="F62" i="43" s="1"/>
  <c r="F50" i="50" l="1"/>
  <c r="J50" i="50" s="1"/>
  <c r="AR78" i="50"/>
  <c r="AS77" i="50"/>
  <c r="BC74" i="50"/>
  <c r="BA75" i="50" s="1"/>
  <c r="BG74" i="50"/>
  <c r="AT76" i="50"/>
  <c r="BB76" i="50"/>
  <c r="I51" i="50"/>
  <c r="Q51" i="50" s="1"/>
  <c r="P21" i="44"/>
  <c r="P32" i="44" s="1"/>
  <c r="X32" i="44" s="1"/>
  <c r="X19" i="44"/>
  <c r="Y19" i="44" s="1"/>
  <c r="G62" i="57"/>
  <c r="K62" i="57" s="1"/>
  <c r="E63" i="57"/>
  <c r="J62" i="43"/>
  <c r="F51" i="50" l="1"/>
  <c r="J51" i="50" s="1"/>
  <c r="F52" i="50" s="1"/>
  <c r="J52" i="50" s="1"/>
  <c r="BB77" i="50"/>
  <c r="I52" i="50"/>
  <c r="Q52" i="50" s="1"/>
  <c r="AT77" i="50"/>
  <c r="AR79" i="50"/>
  <c r="AS78" i="50"/>
  <c r="BG75" i="50"/>
  <c r="BC75" i="50"/>
  <c r="BA76" i="50" s="1"/>
  <c r="BI64" i="43"/>
  <c r="E39" i="43"/>
  <c r="G39" i="43" s="1"/>
  <c r="K39" i="43" s="1"/>
  <c r="AT78" i="50" l="1"/>
  <c r="I53" i="50"/>
  <c r="Q53" i="50" s="1"/>
  <c r="BB78" i="50"/>
  <c r="BC76" i="50"/>
  <c r="BA77" i="50" s="1"/>
  <c r="BG76" i="50"/>
  <c r="AR80" i="50"/>
  <c r="AS79" i="50"/>
  <c r="F53" i="50" l="1"/>
  <c r="J53" i="50" s="1"/>
  <c r="AR81" i="50"/>
  <c r="AS80" i="50"/>
  <c r="BC77" i="50"/>
  <c r="BA78" i="50" s="1"/>
  <c r="BG77" i="50"/>
  <c r="AT79" i="50"/>
  <c r="I54" i="50"/>
  <c r="Q54" i="50" s="1"/>
  <c r="BB79" i="50"/>
  <c r="E40" i="43"/>
  <c r="G40" i="43" s="1"/>
  <c r="K40" i="43" s="1"/>
  <c r="BI65" i="43"/>
  <c r="I55" i="50" l="1"/>
  <c r="Q55" i="50" s="1"/>
  <c r="BB80" i="50"/>
  <c r="AT80" i="50"/>
  <c r="AR82" i="50"/>
  <c r="AS81" i="50"/>
  <c r="F54" i="50"/>
  <c r="J54" i="50" s="1"/>
  <c r="F55" i="50" s="1"/>
  <c r="J55" i="50" s="1"/>
  <c r="BG78" i="50"/>
  <c r="BC78" i="50"/>
  <c r="BA79" i="50" s="1"/>
  <c r="BB81" i="50" l="1"/>
  <c r="AT81" i="50"/>
  <c r="I56" i="50"/>
  <c r="Q56" i="50" s="1"/>
  <c r="BG79" i="50"/>
  <c r="BC79" i="50"/>
  <c r="BA80" i="50" s="1"/>
  <c r="AR83" i="50"/>
  <c r="AS82" i="50"/>
  <c r="BI66" i="43"/>
  <c r="E41" i="43"/>
  <c r="G41" i="43" s="1"/>
  <c r="K41" i="43" s="1"/>
  <c r="F56" i="50" l="1"/>
  <c r="J56" i="50" s="1"/>
  <c r="AR84" i="50"/>
  <c r="AS83" i="50"/>
  <c r="BG80" i="50"/>
  <c r="BC80" i="50"/>
  <c r="BA81" i="50" s="1"/>
  <c r="BB82" i="50"/>
  <c r="I57" i="50"/>
  <c r="Q57" i="50" s="1"/>
  <c r="AT82" i="50"/>
  <c r="AR85" i="50" l="1"/>
  <c r="AS84" i="50"/>
  <c r="F57" i="50"/>
  <c r="J57" i="50" s="1"/>
  <c r="F58" i="50" s="1"/>
  <c r="J58" i="50" s="1"/>
  <c r="BB83" i="50"/>
  <c r="I58" i="50"/>
  <c r="Q58" i="50" s="1"/>
  <c r="AT83" i="50"/>
  <c r="BC81" i="50"/>
  <c r="BA82" i="50" s="1"/>
  <c r="BG81" i="50"/>
  <c r="E42" i="43"/>
  <c r="G42" i="43" s="1"/>
  <c r="K42" i="43" s="1"/>
  <c r="BI67" i="43"/>
  <c r="Y95" i="44"/>
  <c r="Y98" i="44"/>
  <c r="Y82" i="44"/>
  <c r="Y85" i="44"/>
  <c r="Y92" i="44"/>
  <c r="Y88" i="44"/>
  <c r="AT84" i="50" l="1"/>
  <c r="I59" i="50"/>
  <c r="Q59" i="50" s="1"/>
  <c r="BB84" i="50"/>
  <c r="AR86" i="50"/>
  <c r="AS85" i="50"/>
  <c r="BG82" i="50"/>
  <c r="BC82" i="50"/>
  <c r="BA83" i="50" s="1"/>
  <c r="Y75" i="44"/>
  <c r="I60" i="50" l="1"/>
  <c r="Q60" i="50" s="1"/>
  <c r="BB85" i="50"/>
  <c r="AT85" i="50"/>
  <c r="F59" i="50"/>
  <c r="J59" i="50" s="1"/>
  <c r="F60" i="50" s="1"/>
  <c r="J60" i="50" s="1"/>
  <c r="AR87" i="50"/>
  <c r="AS87" i="50" s="1"/>
  <c r="AS86" i="50"/>
  <c r="BG83" i="50"/>
  <c r="BC83" i="50"/>
  <c r="BA84" i="50" s="1"/>
  <c r="E43" i="43"/>
  <c r="G43" i="43" s="1"/>
  <c r="K43" i="43" s="1"/>
  <c r="BI68" i="43"/>
  <c r="BG84" i="50" l="1"/>
  <c r="BC84" i="50"/>
  <c r="BA85" i="50" s="1"/>
  <c r="BB86" i="50"/>
  <c r="I61" i="50"/>
  <c r="Q61" i="50" s="1"/>
  <c r="Q62" i="50" s="1"/>
  <c r="AT86" i="50"/>
  <c r="BB87" i="50"/>
  <c r="I62" i="50"/>
  <c r="AT87" i="50"/>
  <c r="F61" i="50" l="1"/>
  <c r="J61" i="50" s="1"/>
  <c r="F62" i="50" s="1"/>
  <c r="J62" i="50" s="1"/>
  <c r="BC85" i="50"/>
  <c r="BA86" i="50" s="1"/>
  <c r="BG85" i="50"/>
  <c r="E44" i="43"/>
  <c r="G44" i="43" s="1"/>
  <c r="K44" i="43" s="1"/>
  <c r="BI69" i="43"/>
  <c r="BC86" i="50" l="1"/>
  <c r="BA87" i="50" s="1"/>
  <c r="BG86" i="50"/>
  <c r="BG87" i="50" l="1"/>
  <c r="BH50" i="50" s="1"/>
  <c r="BC87" i="50"/>
  <c r="BA88" i="50"/>
  <c r="BI70" i="43"/>
  <c r="E45" i="43"/>
  <c r="G45" i="43" s="1"/>
  <c r="K45" i="43" s="1"/>
  <c r="E34" i="50" l="1"/>
  <c r="G34" i="50" s="1"/>
  <c r="K34" i="50" s="1"/>
  <c r="L23" i="44"/>
  <c r="BI59" i="50"/>
  <c r="L51" i="44"/>
  <c r="E46" i="43"/>
  <c r="G46" i="43" s="1"/>
  <c r="K46" i="43" s="1"/>
  <c r="BI71" i="43"/>
  <c r="L54" i="44" l="1"/>
  <c r="L61" i="44" s="1"/>
  <c r="L41" i="44"/>
  <c r="L24" i="44"/>
  <c r="L52" i="44"/>
  <c r="L26" i="44"/>
  <c r="L33" i="44" s="1"/>
  <c r="L13" i="44"/>
  <c r="BI60" i="50" l="1"/>
  <c r="M23" i="44"/>
  <c r="E35" i="50"/>
  <c r="G35" i="50" s="1"/>
  <c r="K35" i="50" s="1"/>
  <c r="M51" i="44"/>
  <c r="M41" i="44" s="1"/>
  <c r="BI72" i="43"/>
  <c r="E47" i="43"/>
  <c r="G47" i="43" s="1"/>
  <c r="K47" i="43" s="1"/>
  <c r="M26" i="44" l="1"/>
  <c r="M33" i="44" s="1"/>
  <c r="M52" i="44"/>
  <c r="M24" i="44"/>
  <c r="M54" i="44"/>
  <c r="M61" i="44" s="1"/>
  <c r="M13" i="44"/>
  <c r="N23" i="44" l="1"/>
  <c r="N13" i="44" s="1"/>
  <c r="N51" i="44"/>
  <c r="BI61" i="50"/>
  <c r="E36" i="50"/>
  <c r="G36" i="50" s="1"/>
  <c r="K36" i="50" s="1"/>
  <c r="E48" i="43"/>
  <c r="BI73" i="43"/>
  <c r="N24" i="44" l="1"/>
  <c r="N52" i="44"/>
  <c r="N54" i="44"/>
  <c r="N61" i="44" s="1"/>
  <c r="N41" i="44"/>
  <c r="N26" i="44"/>
  <c r="N33" i="44" s="1"/>
  <c r="G48" i="43"/>
  <c r="K48" i="43" s="1"/>
  <c r="BI62" i="50" l="1"/>
  <c r="E37" i="50"/>
  <c r="G37" i="50" s="1"/>
  <c r="K37" i="50" s="1"/>
  <c r="O23" i="44"/>
  <c r="O51" i="44"/>
  <c r="E49" i="43"/>
  <c r="BI74" i="43"/>
  <c r="O26" i="44" l="1"/>
  <c r="O33" i="44" s="1"/>
  <c r="O13" i="44"/>
  <c r="O52" i="44"/>
  <c r="O24" i="44"/>
  <c r="O54" i="44"/>
  <c r="O61" i="44" s="1"/>
  <c r="X61" i="44" s="1"/>
  <c r="X51" i="44"/>
  <c r="O41" i="44"/>
  <c r="P41" i="44" s="1"/>
  <c r="Q41" i="44" s="1"/>
  <c r="R41" i="44" s="1"/>
  <c r="S41" i="44" s="1"/>
  <c r="T41" i="44" s="1"/>
  <c r="U41" i="44" s="1"/>
  <c r="V41" i="44" s="1"/>
  <c r="W41" i="44" s="1"/>
  <c r="G49" i="43"/>
  <c r="K49" i="43" s="1"/>
  <c r="BI63" i="50" l="1"/>
  <c r="P23" i="44"/>
  <c r="P13" i="44" s="1"/>
  <c r="Q13" i="44" s="1"/>
  <c r="R13" i="44" s="1"/>
  <c r="S13" i="44" s="1"/>
  <c r="T13" i="44" s="1"/>
  <c r="U13" i="44" s="1"/>
  <c r="V13" i="44" s="1"/>
  <c r="W13" i="44" s="1"/>
  <c r="E38" i="50"/>
  <c r="G38" i="50" s="1"/>
  <c r="K38" i="50" s="1"/>
  <c r="Y51" i="44"/>
  <c r="X40" i="44"/>
  <c r="Y40" i="44" s="1"/>
  <c r="E50" i="43"/>
  <c r="BI75" i="43"/>
  <c r="P26" i="44" l="1"/>
  <c r="P33" i="44" s="1"/>
  <c r="X33" i="44" s="1"/>
  <c r="X23" i="44"/>
  <c r="G50" i="43"/>
  <c r="K50" i="43" s="1"/>
  <c r="E39" i="50" l="1"/>
  <c r="G39" i="50" s="1"/>
  <c r="K39" i="50" s="1"/>
  <c r="BI64" i="50"/>
  <c r="Y23" i="44"/>
  <c r="X12" i="44"/>
  <c r="Y12" i="44" s="1"/>
  <c r="E51" i="43"/>
  <c r="BI76" i="43"/>
  <c r="G51" i="43" l="1"/>
  <c r="K51" i="43" s="1"/>
  <c r="E40" i="50" l="1"/>
  <c r="G40" i="50" s="1"/>
  <c r="K40" i="50" s="1"/>
  <c r="BI65" i="50"/>
  <c r="E52" i="43"/>
  <c r="BI77" i="43"/>
  <c r="G52" i="43" l="1"/>
  <c r="K52" i="43" s="1"/>
  <c r="E41" i="50" l="1"/>
  <c r="G41" i="50" s="1"/>
  <c r="K41" i="50" s="1"/>
  <c r="BI66" i="50"/>
  <c r="BI78" i="43"/>
  <c r="E53" i="43"/>
  <c r="G53" i="43" s="1"/>
  <c r="K53" i="43" s="1"/>
  <c r="BI67" i="50" l="1"/>
  <c r="E42" i="50"/>
  <c r="G42" i="50" s="1"/>
  <c r="K42" i="50" s="1"/>
  <c r="E54" i="43"/>
  <c r="G54" i="43" s="1"/>
  <c r="K54" i="43" s="1"/>
  <c r="BI79" i="43"/>
  <c r="BI68" i="50" l="1"/>
  <c r="E43" i="50"/>
  <c r="G43" i="50" s="1"/>
  <c r="K43" i="50" s="1"/>
  <c r="BI80" i="43"/>
  <c r="E55" i="43"/>
  <c r="G55" i="43" s="1"/>
  <c r="K55" i="43" s="1"/>
  <c r="E44" i="50" l="1"/>
  <c r="G44" i="50" s="1"/>
  <c r="K44" i="50" s="1"/>
  <c r="BI69" i="50"/>
  <c r="BI81" i="43"/>
  <c r="E56" i="43"/>
  <c r="G56" i="43" s="1"/>
  <c r="K56" i="43" s="1"/>
  <c r="BI70" i="50" l="1"/>
  <c r="E45" i="50"/>
  <c r="G45" i="50" s="1"/>
  <c r="K45" i="50" s="1"/>
  <c r="BI82" i="43"/>
  <c r="E57" i="43"/>
  <c r="G57" i="43" s="1"/>
  <c r="K57" i="43" s="1"/>
  <c r="BI71" i="50" l="1"/>
  <c r="E46" i="50"/>
  <c r="G46" i="50" s="1"/>
  <c r="K46" i="50" s="1"/>
  <c r="BI83" i="43"/>
  <c r="E58" i="43"/>
  <c r="G58" i="43" s="1"/>
  <c r="K58" i="43" s="1"/>
  <c r="E47" i="50" l="1"/>
  <c r="G47" i="50" s="1"/>
  <c r="K47" i="50" s="1"/>
  <c r="BI72" i="50"/>
  <c r="BI84" i="43"/>
  <c r="E59" i="43"/>
  <c r="G59" i="43" s="1"/>
  <c r="K59" i="43" s="1"/>
  <c r="BI73" i="50" l="1"/>
  <c r="E48" i="50"/>
  <c r="G48" i="50" s="1"/>
  <c r="K48" i="50" s="1"/>
  <c r="BI85" i="43"/>
  <c r="E60" i="43"/>
  <c r="G60" i="43" s="1"/>
  <c r="K60" i="43" s="1"/>
  <c r="E61" i="43" l="1"/>
  <c r="G61" i="43" s="1"/>
  <c r="K61" i="43" s="1"/>
  <c r="BI86" i="43"/>
  <c r="BI74" i="50" l="1"/>
  <c r="E49" i="50"/>
  <c r="G49" i="50" s="1"/>
  <c r="K49" i="50" s="1"/>
  <c r="E62" i="43"/>
  <c r="BI87" i="43"/>
  <c r="BF88" i="43"/>
  <c r="F47" i="44" l="1"/>
  <c r="AA47" i="44" s="1"/>
  <c r="F19" i="44"/>
  <c r="AA19" i="44" s="1"/>
  <c r="G62" i="43"/>
  <c r="K62" i="43" s="1"/>
  <c r="E63" i="43"/>
  <c r="BI75" i="50" l="1"/>
  <c r="E50" i="50"/>
  <c r="G50" i="50" s="1"/>
  <c r="K50" i="50" s="1"/>
  <c r="BI76" i="50" l="1"/>
  <c r="E51" i="50"/>
  <c r="G51" i="50" s="1"/>
  <c r="K51" i="50" s="1"/>
  <c r="E52" i="50" l="1"/>
  <c r="G52" i="50" s="1"/>
  <c r="K52" i="50" s="1"/>
  <c r="BI77" i="50"/>
  <c r="BI78" i="50" l="1"/>
  <c r="E53" i="50"/>
  <c r="G53" i="50" s="1"/>
  <c r="K53" i="50" s="1"/>
  <c r="E54" i="50" l="1"/>
  <c r="G54" i="50" s="1"/>
  <c r="K54" i="50" s="1"/>
  <c r="BI79" i="50"/>
  <c r="E55" i="50" l="1"/>
  <c r="G55" i="50" s="1"/>
  <c r="K55" i="50" s="1"/>
  <c r="BI80" i="50"/>
  <c r="E56" i="50" l="1"/>
  <c r="G56" i="50" s="1"/>
  <c r="K56" i="50" s="1"/>
  <c r="BI81" i="50"/>
  <c r="E57" i="50" l="1"/>
  <c r="G57" i="50" s="1"/>
  <c r="K57" i="50" s="1"/>
  <c r="BI82" i="50"/>
  <c r="BI83" i="50" l="1"/>
  <c r="E58" i="50"/>
  <c r="G58" i="50" s="1"/>
  <c r="K58" i="50" s="1"/>
  <c r="BI84" i="50" l="1"/>
  <c r="E59" i="50"/>
  <c r="G59" i="50" s="1"/>
  <c r="K59" i="50" s="1"/>
  <c r="BI85" i="50" l="1"/>
  <c r="E60" i="50"/>
  <c r="G60" i="50" s="1"/>
  <c r="K60" i="50" s="1"/>
  <c r="E61" i="50" l="1"/>
  <c r="G61" i="50" s="1"/>
  <c r="K61" i="50" s="1"/>
  <c r="BI86" i="50"/>
  <c r="BF88" i="50" l="1"/>
  <c r="BI87" i="50"/>
  <c r="E62" i="50"/>
  <c r="E63" i="50" l="1"/>
  <c r="G62" i="50"/>
  <c r="K62" i="50" s="1"/>
  <c r="F23" i="44"/>
  <c r="AA23" i="44" s="1"/>
  <c r="F51" i="44"/>
  <c r="AA5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3" authorId="0" shapeId="0" xr:uid="{D515F643-3746-474E-ABE2-5155EB8BA2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23" authorId="0" shapeId="0" xr:uid="{A19B7F92-4B5E-4BDF-A975-5A27CA7BBC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23" authorId="0" shapeId="0" xr:uid="{45A92183-A007-4761-AC6F-D35C70B332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23" authorId="0" shapeId="0" xr:uid="{2D0CC1AC-5E3E-4E07-83C9-78B039F02F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23" authorId="0" shapeId="0" xr:uid="{8AD6C4C7-1F5B-41EF-94A2-47B6E430B0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45" authorId="0" shapeId="0" xr:uid="{81348395-9752-4A9A-A4CC-873F303B09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45" authorId="0" shapeId="0" xr:uid="{A381C459-8342-434B-A41A-C04D885745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45" authorId="0" shapeId="0" xr:uid="{390BE370-3F73-45A7-BD8D-5DB020DE54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45" authorId="0" shapeId="0" xr:uid="{3FB5491D-7855-4E74-8C4A-E5E593E432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45" authorId="0" shapeId="0" xr:uid="{02B4A16C-6E95-4D36-9D21-13BBC7206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68" authorId="0" shapeId="0" xr:uid="{4E2F28F0-C427-45BE-AA1F-7FBCF1F89D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68" authorId="0" shapeId="0" xr:uid="{486E964F-C3CB-47D3-8FB7-B71524CCB3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68" authorId="0" shapeId="0" xr:uid="{65C44B52-F485-47E4-B291-9D2AF6EFDB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68" authorId="0" shapeId="0" xr:uid="{6834C6B4-7C6F-41D5-8E3A-57319C4A9E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68" authorId="0" shapeId="0" xr:uid="{309C7042-4A4D-4FF4-9517-5F8B21E36B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90" authorId="0" shapeId="0" xr:uid="{CD0F4AAB-0F7A-4FCF-9946-F71047D3A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90" authorId="0" shapeId="0" xr:uid="{2AE6EBEF-E342-42B2-A565-85E6A5BD9F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90" authorId="0" shapeId="0" xr:uid="{EC404B25-A1E8-4205-A22F-FEBD3935EB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90" authorId="0" shapeId="0" xr:uid="{9DA1FDC8-6862-4A3F-AE1A-300A6ACC2F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90" authorId="0" shapeId="0" xr:uid="{3216F15A-105D-46A1-BFB2-F851D9E2F1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12" authorId="0" shapeId="0" xr:uid="{EC67A0DA-7FCF-465E-9E21-94EBADAC17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112" authorId="0" shapeId="0" xr:uid="{595036C0-F20D-4709-AEA7-0B52A5C519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112" authorId="0" shapeId="0" xr:uid="{01042D03-50AC-44C7-BBE0-EE3F25D5C6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112" authorId="0" shapeId="0" xr:uid="{48E30E14-75BE-4B3E-8183-C40A32C2D9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112" authorId="0" shapeId="0" xr:uid="{166C7333-B45C-46AB-87EB-033ABA06F3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36" authorId="0" shapeId="0" xr:uid="{62AA666D-B642-4F43-8B3B-F831689641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136" authorId="0" shapeId="0" xr:uid="{5EB674E1-A3AF-449E-A63A-1AA236C6ED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136" authorId="0" shapeId="0" xr:uid="{76826EA1-98C8-443A-84E7-9A889FD82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136" authorId="0" shapeId="0" xr:uid="{90384913-C1AE-49AA-9EA4-FBDC5BAC86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136" authorId="0" shapeId="0" xr:uid="{79D5D56B-B7B9-4C8A-9992-045B4C20F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2" authorId="0" shapeId="0" xr:uid="{4A1B587C-6078-4FAF-9BCC-993721BB69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44" authorId="0" shapeId="0" xr:uid="{6F5DC252-D7EF-40FD-8BD9-3DBEFB5AC2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67" authorId="0" shapeId="0" xr:uid="{497AD5AB-BD14-4668-A5A5-93F1E812F4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89" authorId="0" shapeId="0" xr:uid="{D3053540-95EF-459C-AAC5-425A194654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11" authorId="0" shapeId="0" xr:uid="{F77606EF-1F23-4639-9E2D-CA9708E450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35" authorId="0" shapeId="0" xr:uid="{8A83996C-0DD1-4901-899D-AD11E3A1F5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75" authorId="0" shapeId="0" xr:uid="{C4757C38-7459-4004-8496-B1007EB16A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<sst xmlns="http://schemas.openxmlformats.org/spreadsheetml/2006/main" count="5939" uniqueCount="844">
  <si>
    <t>Yes</t>
  </si>
  <si>
    <t>Prebuild Inventory</t>
  </si>
  <si>
    <t>No</t>
  </si>
  <si>
    <t>Reduce Spot Demand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</si>
  <si>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</si>
  <si>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</si>
  <si>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</si>
  <si>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</si>
  <si>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</si>
  <si>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</si>
  <si>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</si>
  <si>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</si>
  <si>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</si>
  <si>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F10</t>
  </si>
  <si>
    <t>F20</t>
  </si>
  <si>
    <t>Fixed Inventory</t>
  </si>
  <si>
    <t>Fixed Production Plan</t>
  </si>
  <si>
    <t>M+1</t>
  </si>
  <si>
    <t>M+2</t>
  </si>
  <si>
    <t>M+3</t>
  </si>
  <si>
    <t>Profit</t>
  </si>
  <si>
    <t>Customer Rank</t>
  </si>
  <si>
    <t>Country</t>
  </si>
  <si>
    <t>Oct</t>
  </si>
  <si>
    <t>Nov</t>
  </si>
  <si>
    <t>Dec</t>
  </si>
  <si>
    <t>company rank 1</t>
  </si>
  <si>
    <t>company rank 2</t>
  </si>
  <si>
    <t>company rank 3</t>
  </si>
  <si>
    <t>company rank 4</t>
  </si>
  <si>
    <t>Brunei</t>
  </si>
  <si>
    <t>Singapore</t>
  </si>
  <si>
    <t>Phillipines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</si>
  <si>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</si>
  <si>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</si>
  <si>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</si>
  <si>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</si>
  <si>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</si>
  <si>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</si>
  <si>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</si>
  <si>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</si>
  <si>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</si>
  <si>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</si>
  <si>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</si>
  <si>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</si>
  <si>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</si>
  <si>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</si>
  <si>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</si>
  <si>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</si>
  <si>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</si>
  <si>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</si>
  <si>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</si>
  <si>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P</t>
  </si>
  <si>
    <t>P1</t>
  </si>
  <si>
    <t>Country level</t>
  </si>
  <si>
    <t>Customer level</t>
  </si>
  <si>
    <t>Region</t>
  </si>
  <si>
    <t>Selangor</t>
  </si>
  <si>
    <t>Sabah</t>
  </si>
  <si>
    <t>Penang</t>
  </si>
  <si>
    <t>Johor</t>
  </si>
  <si>
    <t>Kuala Lumpur</t>
  </si>
  <si>
    <t>Perak</t>
  </si>
  <si>
    <t>Sarawak</t>
  </si>
  <si>
    <t>Kelantan</t>
  </si>
  <si>
    <t>Kedah</t>
  </si>
  <si>
    <t>Total</t>
  </si>
  <si>
    <t>Covid19 Vaccine</t>
  </si>
  <si>
    <t>Product</t>
  </si>
  <si>
    <t>Vaccine Supplier</t>
  </si>
  <si>
    <t>Pfizer</t>
  </si>
  <si>
    <t>Sinovac</t>
  </si>
  <si>
    <t>WHO</t>
  </si>
  <si>
    <t>Supply Demand balancing</t>
  </si>
  <si>
    <t>Total Supply</t>
  </si>
  <si>
    <t>Total Demand</t>
  </si>
  <si>
    <t>Net Supply Balance</t>
  </si>
  <si>
    <t>Demand Plan</t>
  </si>
  <si>
    <t>Covid-19</t>
  </si>
  <si>
    <t>Production</t>
  </si>
  <si>
    <t>Supply Demand Balancing</t>
  </si>
  <si>
    <t>1) Original Sourcing Plan</t>
  </si>
  <si>
    <t>Pharmaniaga</t>
  </si>
  <si>
    <t>DC1</t>
  </si>
  <si>
    <t>3) Demand Forecast for Malaysia</t>
  </si>
  <si>
    <t>3) Consolidated Malaysia Covid Vaccine Forecast</t>
  </si>
  <si>
    <t>UK</t>
  </si>
  <si>
    <t>Italy</t>
  </si>
  <si>
    <t>Germany</t>
  </si>
  <si>
    <t>Starting Inventory</t>
  </si>
  <si>
    <t>Target Ending Inventory</t>
  </si>
  <si>
    <t>Available Inventory</t>
  </si>
  <si>
    <t>Available Supply Quantity</t>
  </si>
  <si>
    <t>Previous Month Ending Inventory</t>
  </si>
  <si>
    <t>Ending Inventory</t>
  </si>
  <si>
    <t>New Target demand</t>
  </si>
  <si>
    <t>Total Production</t>
  </si>
  <si>
    <t>Maximum Production Limit</t>
  </si>
  <si>
    <t>Go to 7</t>
  </si>
  <si>
    <t>Portugal</t>
  </si>
  <si>
    <t>Mexico</t>
  </si>
  <si>
    <t>Brazil</t>
  </si>
  <si>
    <t>AstraZeneca</t>
  </si>
  <si>
    <t>Moderna</t>
  </si>
  <si>
    <t>Sanofi</t>
  </si>
  <si>
    <t>8a) Allocation Plan</t>
  </si>
  <si>
    <t>8b) Revised Supply Plan</t>
  </si>
  <si>
    <t>MOH</t>
  </si>
  <si>
    <t>9a) Revised Allocation Plan</t>
  </si>
  <si>
    <t>W52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</si>
  <si>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</si>
  <si>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</si>
  <si>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</si>
  <si>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</si>
  <si>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</si>
  <si>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</si>
  <si>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</si>
  <si>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</si>
  <si>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</si>
  <si>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</si>
  <si>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</si>
  <si>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</si>
  <si>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Plant 1</t>
  </si>
  <si>
    <t>Plant 2</t>
  </si>
  <si>
    <t>Covid-19 vaccine</t>
  </si>
  <si>
    <t>RANK</t>
  </si>
  <si>
    <t xml:space="preserve">Pfizer </t>
  </si>
  <si>
    <t>Fixed price</t>
  </si>
  <si>
    <t>Quantity tier pricing</t>
  </si>
  <si>
    <t>https://www.gavi.org/vaccineswork/covax-explained</t>
  </si>
  <si>
    <t>Contract downpayment</t>
  </si>
  <si>
    <t>Commited purchase agreement</t>
  </si>
  <si>
    <t>USD 1.60</t>
  </si>
  <si>
    <t>Optional purchase</t>
  </si>
  <si>
    <t>USD 3.10</t>
  </si>
  <si>
    <t>USD 0.40</t>
  </si>
  <si>
    <t>Penalty for not taking allocation</t>
  </si>
  <si>
    <t>Payment Terms (Downpayment)</t>
  </si>
  <si>
    <t>*Total Cost is the same</t>
  </si>
  <si>
    <t>*Based on Contract</t>
  </si>
  <si>
    <t>* WHO cannot be cut (as per above)</t>
  </si>
  <si>
    <t>Supplier</t>
  </si>
  <si>
    <t>Pfiser</t>
  </si>
  <si>
    <t>Astrazeneca</t>
  </si>
  <si>
    <t>Term Contract</t>
  </si>
  <si>
    <t>Contract Duration</t>
  </si>
  <si>
    <t>1y</t>
  </si>
  <si>
    <t>Quantity</t>
  </si>
  <si>
    <t>Period</t>
  </si>
  <si>
    <t>per year</t>
  </si>
  <si>
    <t>per month</t>
  </si>
  <si>
    <t>Purchase Quantity</t>
  </si>
  <si>
    <t>Jan</t>
  </si>
  <si>
    <t>*Check requested Quantity against contract</t>
  </si>
  <si>
    <t>Feb</t>
  </si>
  <si>
    <t>Mar</t>
  </si>
  <si>
    <t>Buyer</t>
  </si>
  <si>
    <t>*numbers come from contract</t>
  </si>
  <si>
    <t>by country &amp; supplier</t>
  </si>
  <si>
    <t>Cumulative 
Quantity</t>
  </si>
  <si>
    <t>Balance 
Quantity</t>
  </si>
  <si>
    <t>Apr</t>
  </si>
  <si>
    <t>May</t>
  </si>
  <si>
    <t>Jun</t>
  </si>
  <si>
    <t>Jul</t>
  </si>
  <si>
    <t>Aug</t>
  </si>
  <si>
    <t>Sep</t>
  </si>
  <si>
    <t>*Committed Purchase</t>
  </si>
  <si>
    <t>Hospital 
Rank</t>
  </si>
  <si>
    <t>Hospital 
Code</t>
  </si>
  <si>
    <t>Validity: 1 Dec 20 - 1 Dec 21</t>
  </si>
  <si>
    <t>**Allocation Rules</t>
  </si>
  <si>
    <t>**Refer Allocation Rules Table</t>
  </si>
  <si>
    <t>* If demand more than supply, supply numbers do not change</t>
  </si>
  <si>
    <t>9b) Allocation plan by hospital (MOH to Pharmaniaga)</t>
  </si>
  <si>
    <t>5 to 10%</t>
  </si>
  <si>
    <t>Contract MOH to WHO</t>
  </si>
  <si>
    <t>Contract MOH to Pfizer</t>
  </si>
  <si>
    <t>Spain</t>
  </si>
  <si>
    <t>Contract - UK to WHO</t>
  </si>
  <si>
    <t>Contract 
Duration</t>
  </si>
  <si>
    <t>Per year</t>
  </si>
  <si>
    <t>*For Exception cases</t>
  </si>
  <si>
    <t>Duopharma as DC2</t>
  </si>
  <si>
    <t>Airport</t>
  </si>
  <si>
    <t>3 selangor hoppitals</t>
  </si>
  <si>
    <t>packed</t>
  </si>
  <si>
    <t>Contract - WHO to Pfizer</t>
  </si>
  <si>
    <t>*Scenario optional purchase</t>
  </si>
  <si>
    <t>Air Freight Delay</t>
  </si>
  <si>
    <t>1) Change Flight schedule - delay 3-5 days (reflect in order stages)</t>
  </si>
  <si>
    <t>2) Pharmaniaga - simulate impact of delay from week 1 to wk2</t>
  </si>
  <si>
    <t>- Affect hospitals</t>
  </si>
  <si>
    <t>-Swap delivery schedule from sufficient hopt to affected hopst.</t>
  </si>
  <si>
    <t>3a) due to delay, will affect stock in hospitals, propagate from S1 to hospitals. (only 1 hospital)</t>
  </si>
  <si>
    <t>4ai) Potential Resolution</t>
  </si>
  <si>
    <t>3b) Delay quantity high, impact 2 hospitals with no stock.</t>
  </si>
  <si>
    <t>4bi) Borrow from duopharma (assume enough stock)</t>
  </si>
  <si>
    <t>- for case of Selangor hospitals</t>
  </si>
  <si>
    <t>4bii) cut 10% allocation for everyone equally</t>
  </si>
  <si>
    <t>Transport Inavailability (during order stage-Found out during land transport availability checking by pHarmaniaga to cold chain trucking company)</t>
  </si>
  <si>
    <t>1) Find another transportation company</t>
  </si>
  <si>
    <t>3) the inventory in hops 2 is sufficient.</t>
  </si>
  <si>
    <t>Unplanned shutdown for Sinovac</t>
  </si>
  <si>
    <t>1) reduce production quantity resulting in reduced allocation for malaysia</t>
  </si>
  <si>
    <t>2) Pharmaniaga receive less Qty into the warehouse.</t>
  </si>
  <si>
    <t xml:space="preserve">3) PN simulate how to resolve </t>
  </si>
  <si>
    <t>Unexpected surge in demand for vaccine due to spike in covid 19 infection.</t>
  </si>
  <si>
    <t>2) Increase M+1 forecast</t>
  </si>
  <si>
    <t>3a) Step 1- MOH do allocation swapping and share new allocation plan with pharmaniaga (9b)</t>
  </si>
  <si>
    <t>4) go back to WHO to check if spare allocation. (UK don't want pfizer)</t>
  </si>
  <si>
    <t>1) let's say selangor has a lot of infection, so want more vaccine.</t>
  </si>
  <si>
    <t>all states have spike at the same time, and swapping cannot cannot resolve.</t>
  </si>
  <si>
    <t>* spread to all other countries</t>
  </si>
  <si>
    <t>8b) Revised Supply Plan 2</t>
  </si>
  <si>
    <t>8b) Revised Supply Plan 3</t>
  </si>
  <si>
    <t>Take from other country and pass to malaysia</t>
  </si>
  <si>
    <t>Allocation plan by Country
(By Ratio)</t>
  </si>
  <si>
    <t>Malacca</t>
  </si>
  <si>
    <t>Go to 9b</t>
  </si>
  <si>
    <t>W51</t>
  </si>
  <si>
    <t>W13</t>
  </si>
  <si>
    <t>Distribution Requirements Planning</t>
  </si>
  <si>
    <t>Hospital Ampang</t>
  </si>
  <si>
    <t>Sungai Buloh Hospital</t>
  </si>
  <si>
    <t>Hospital Selayang</t>
  </si>
  <si>
    <t xml:space="preserve">Sultan Aminah Hospital </t>
  </si>
  <si>
    <t>Sultan Ismail Hospital</t>
  </si>
  <si>
    <t>Hospital Balik Pulau</t>
  </si>
  <si>
    <t xml:space="preserve">Sultanah Bahiyah Hospital </t>
  </si>
  <si>
    <t xml:space="preserve">Sultan Abdul Halim Hospital </t>
  </si>
  <si>
    <t xml:space="preserve">Jitra Hospital </t>
  </si>
  <si>
    <t>Hospital Melaka</t>
  </si>
  <si>
    <t>Penang Adventist Hospital</t>
  </si>
  <si>
    <t>Individual Hospitals Forecast List</t>
  </si>
  <si>
    <t>Contracts list</t>
  </si>
  <si>
    <t>Quarterly Balance</t>
  </si>
  <si>
    <t>Quarterly Cumulative</t>
  </si>
  <si>
    <t>2) Hospitals provide individual forecasts to MOH</t>
  </si>
  <si>
    <t>8b) Revised Sourcing Plan 2</t>
  </si>
  <si>
    <t>8a) Supply Plan 1</t>
  </si>
  <si>
    <t>6b) Demand Plan</t>
  </si>
  <si>
    <t>Packed</t>
  </si>
  <si>
    <t>Shah alam WH</t>
  </si>
  <si>
    <t>Juru WH</t>
  </si>
  <si>
    <t>Southern WH</t>
  </si>
  <si>
    <r>
      <t xml:space="preserve">2) </t>
    </r>
    <r>
      <rPr>
        <b/>
        <sz val="11"/>
        <color theme="1"/>
        <rFont val="Calibri"/>
        <family val="2"/>
        <scheme val="minor"/>
      </rPr>
      <t>Truck swapping</t>
    </r>
    <r>
      <rPr>
        <sz val="11"/>
        <color theme="1"/>
        <rFont val="Calibri"/>
        <family val="2"/>
        <scheme val="minor"/>
      </rPr>
      <t xml:space="preserve"> with hospital 2 - which is less important than hops 1</t>
    </r>
  </si>
  <si>
    <t>- look for othe</t>
  </si>
  <si>
    <t>January</t>
  </si>
  <si>
    <t>February</t>
  </si>
  <si>
    <t>March</t>
  </si>
  <si>
    <t>Receipt</t>
  </si>
  <si>
    <t>Truck type 1</t>
  </si>
  <si>
    <t>Supply Lot size</t>
  </si>
  <si>
    <t>Cost</t>
  </si>
  <si>
    <t>Number of Trucks</t>
  </si>
  <si>
    <t>Suppliers (Air Freight)</t>
  </si>
  <si>
    <t>Trucking Cost (RM)</t>
  </si>
  <si>
    <t>Weekly Usage (Simulated)</t>
  </si>
  <si>
    <t>Truck type 2</t>
  </si>
  <si>
    <t>Nothern</t>
  </si>
  <si>
    <t>DC1 - Juru, 
Penang</t>
  </si>
  <si>
    <t>DC2 - Duopharma</t>
  </si>
  <si>
    <t>HS1 - Sungai Buloh Hospital</t>
  </si>
  <si>
    <t>HS2 - Hospital Selayang</t>
  </si>
  <si>
    <t>HS3 - Hospital Ampang</t>
  </si>
  <si>
    <t>Distribution Map</t>
  </si>
  <si>
    <t>Central</t>
  </si>
  <si>
    <t>Penang hospitals</t>
  </si>
  <si>
    <t>Kedah Hospitals</t>
  </si>
  <si>
    <t>Johor, Malacca, etc Hospitals</t>
  </si>
  <si>
    <t>Total Truck Type 1</t>
  </si>
  <si>
    <t>Total Truck Type 2</t>
  </si>
  <si>
    <t>Weekly Total Replenishment</t>
  </si>
  <si>
    <t>Ending
Inventory</t>
  </si>
  <si>
    <t>HP1- Hospital Ampang</t>
  </si>
  <si>
    <t>Min Inv</t>
  </si>
  <si>
    <t>Max Inv</t>
  </si>
  <si>
    <t>Drum</t>
  </si>
  <si>
    <t>Bottled</t>
  </si>
  <si>
    <t>SKU1</t>
  </si>
  <si>
    <t>SKU</t>
  </si>
  <si>
    <t>-70 deg C</t>
  </si>
  <si>
    <t>kedah hospitals to public clinic</t>
  </si>
  <si>
    <t>kk airpot to local kk pharmaniaga warehouse</t>
  </si>
  <si>
    <t>2 deg C</t>
  </si>
  <si>
    <t>30 days Inventory simulation</t>
  </si>
  <si>
    <t>- change lead time</t>
  </si>
  <si>
    <t>- change</t>
  </si>
  <si>
    <t>Day</t>
  </si>
  <si>
    <t>Consumption</t>
  </si>
  <si>
    <t>Lead Time</t>
  </si>
  <si>
    <t>Replenishment</t>
  </si>
  <si>
    <t>Days</t>
  </si>
  <si>
    <t>Maximum 
Inventory</t>
  </si>
  <si>
    <t>Reordering 
point</t>
  </si>
  <si>
    <t>Problematic 
Vaccine 
Quantity</t>
  </si>
  <si>
    <t>Problematic Vaccine 
Exist?</t>
  </si>
  <si>
    <t>Ordering point</t>
  </si>
  <si>
    <t>Reorder Quantity</t>
  </si>
  <si>
    <t>Safety Stock</t>
  </si>
  <si>
    <t>Safety 
Stock</t>
  </si>
  <si>
    <t>Batch</t>
  </si>
  <si>
    <t>*DRp for aeroplane</t>
  </si>
  <si>
    <t>push pharmaniaga to hospital.</t>
  </si>
  <si>
    <t xml:space="preserve">individual countries pull fom pfiser </t>
  </si>
  <si>
    <t>Every supplier own drp</t>
  </si>
  <si>
    <t>PUSH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</si>
  <si>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</si>
  <si>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</si>
  <si>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</si>
  <si>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</si>
  <si>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</si>
  <si>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</si>
  <si>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</si>
  <si>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</si>
  <si>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</si>
  <si>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</si>
  <si>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</si>
  <si>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Week 1</t>
  </si>
  <si>
    <t>Week 2</t>
  </si>
  <si>
    <t>Wk1</t>
  </si>
  <si>
    <t>Wk2</t>
  </si>
  <si>
    <t>Wk3</t>
  </si>
  <si>
    <t>Wk4</t>
  </si>
  <si>
    <t>Plant Germany</t>
  </si>
  <si>
    <t>China &amp; Germany</t>
  </si>
  <si>
    <t>*Decision based on truck availability</t>
  </si>
  <si>
    <t>*hospital run out of inventory</t>
  </si>
  <si>
    <t>Scheduling - Pharmaniaga</t>
  </si>
  <si>
    <t>&lt;-- Referenced from Inventory simulation</t>
  </si>
  <si>
    <t>Supplier Country</t>
  </si>
  <si>
    <t>Destination Country</t>
  </si>
  <si>
    <t>Truck type 2 
(2 deg C)</t>
  </si>
  <si>
    <t>3) 2nd constraint - don't go below safety stock</t>
  </si>
  <si>
    <t>DC1 - Juru Penang</t>
  </si>
  <si>
    <t>After Bottling</t>
  </si>
  <si>
    <t>Penang General Hospital</t>
  </si>
  <si>
    <t>Sinovac 
(with Bottling)</t>
  </si>
  <si>
    <t>1) Check reorder date</t>
  </si>
  <si>
    <t>2) check truck availability (lead time)</t>
  </si>
  <si>
    <t>Vials</t>
  </si>
  <si>
    <t>Total Storage Capacity</t>
  </si>
  <si>
    <t>Number of 5 stacked pizza boxes can be stored in one refrigerator</t>
  </si>
  <si>
    <t>= 736 L / 10.58 L</t>
  </si>
  <si>
    <t>= 69 stacked of 5 pizza boxes</t>
  </si>
  <si>
    <t>= 67,275 x 5 doses = 336,375 doses</t>
  </si>
  <si>
    <t>From Ammar's data, assuming each hospital has 1 ULT refrigerator.</t>
  </si>
  <si>
    <r>
      <t xml:space="preserve">= 69 x 975 vials = </t>
    </r>
    <r>
      <rPr>
        <b/>
        <sz val="11"/>
        <color theme="1"/>
        <rFont val="Calibri"/>
        <family val="2"/>
        <scheme val="minor"/>
      </rPr>
      <t>67,275 vials</t>
    </r>
  </si>
  <si>
    <t>https://www.bbc.com/news/health-55274833</t>
  </si>
  <si>
    <t>https://www.theguardian.com/world/2020/nov/11/thousands-of-hospital-staff-to-be-deployed-in-covid-vaccine-rollout</t>
  </si>
  <si>
    <t>Up to 1500 immunisation centres in England alone</t>
  </si>
  <si>
    <t>Immunisation Centre</t>
  </si>
  <si>
    <t>Replenishment
(vials)</t>
  </si>
  <si>
    <t>Each GP --&gt; approx. 200-500 jabs per day. Number of GPs per Immunisation centre 20.</t>
  </si>
  <si>
    <t>Each person receives 2 doses. (1st and 21st Day) - therefore, whatever number of delivery (vials) received, enough for n*4/2 people.</t>
  </si>
  <si>
    <t>Number of people vaccinated</t>
  </si>
  <si>
    <t xml:space="preserve">Number of dependant clinics </t>
  </si>
  <si>
    <t>Pfizer expects to load those boxes on a combined 24 trucks a day from Kalamazoo and Puurs that will move roughly 7.6 million doses daily to airports.</t>
  </si>
  <si>
    <t>https://www.wsj.com/articles/pfizer-sets-up-its-biggest-ever-vaccination-distribution-campaign-11603272614</t>
  </si>
  <si>
    <t>Comes to around 65 suitcase boxes per truck = 65* 975 = 63310 vials per truck</t>
  </si>
  <si>
    <r>
      <t>Assuming Malaysia has smaller cold chain trucks, 45</t>
    </r>
    <r>
      <rPr>
        <b/>
        <sz val="11"/>
        <color theme="1"/>
        <rFont val="Calibri"/>
        <family val="2"/>
        <scheme val="minor"/>
      </rPr>
      <t xml:space="preserve"> boxes per truck = 45*975 = 43875</t>
    </r>
  </si>
  <si>
    <t xml:space="preserve">In Kuala Lumpur? Assume 200 initially. </t>
  </si>
  <si>
    <t>Kuala Lumpur Population = 8,000,000*2 = 16,000,000</t>
  </si>
  <si>
    <t>Target: Vaccinate 5000 (4875) people per centre per day (with volunteers)…or Number of vials = 1000 per day. Assume 975 vials (1 vaccine box) per day.</t>
  </si>
  <si>
    <t>Allocated Quantity for first month (vials)</t>
  </si>
  <si>
    <t>Outbound 20 clinics
(vials)</t>
  </si>
  <si>
    <t>vials</t>
  </si>
  <si>
    <t>doses</t>
  </si>
  <si>
    <t>1 vaccine box =</t>
  </si>
  <si>
    <t>Total Ending Inventory 
(ULT and thawed)</t>
  </si>
  <si>
    <t>Daily Vaccination
(vials)</t>
  </si>
  <si>
    <t>ULT Consumption
(vials)</t>
  </si>
  <si>
    <t>ULT Ending Inventory 
(-75 deg C) (vials)</t>
  </si>
  <si>
    <t>Thawed Ending Inventory
(2-8 deg C) (vials)</t>
  </si>
  <si>
    <r>
      <t xml:space="preserve">GP practices (clinics) have been told they have to get through 975 doses in 3.5 days - the time limit on keeping the vaccine at regular fridge temperature. </t>
    </r>
    <r>
      <rPr>
        <b/>
        <sz val="11"/>
        <color theme="1"/>
        <rFont val="Calibri"/>
        <family val="2"/>
        <scheme val="minor"/>
      </rPr>
      <t>1 vaccine box every 3.5 days.</t>
    </r>
  </si>
  <si>
    <t>Find out quantity per truck</t>
  </si>
  <si>
    <t>Forecast in terns of doses first</t>
  </si>
  <si>
    <t>challenge: UOM</t>
  </si>
  <si>
    <t>Add hours</t>
  </si>
  <si>
    <t>Hospital (ULT) + refrigeration</t>
  </si>
  <si>
    <t>Clinics</t>
  </si>
  <si>
    <t>Hospital(refrigeration)</t>
  </si>
  <si>
    <t>UM</t>
  </si>
  <si>
    <t>Rawang(mass vaccination)</t>
  </si>
  <si>
    <t>1 box</t>
  </si>
  <si>
    <t>*DRP to airline</t>
  </si>
  <si>
    <t>*DRP to cold chain</t>
  </si>
  <si>
    <t>*DRP to cooling box</t>
  </si>
  <si>
    <t>*DRP to warehouses in US (Domestic)</t>
  </si>
  <si>
    <t>Sungai Buloh Hospital - HS1</t>
  </si>
  <si>
    <t>Hospital 
Selayang - HS2</t>
  </si>
  <si>
    <t>Hospital 
Ampang - HS3</t>
  </si>
  <si>
    <t>Order Quantity</t>
  </si>
  <si>
    <t>* ending inventory needs to check with maximum inventory</t>
  </si>
  <si>
    <t>*Do 1 hospital different inventory projection</t>
  </si>
  <si>
    <t>purpose: show shelf life is different</t>
  </si>
  <si>
    <t>Hospital 1</t>
  </si>
  <si>
    <t>Storage Location 1</t>
  </si>
  <si>
    <t>Storage Location 2</t>
  </si>
  <si>
    <t>(latest Inventory)</t>
  </si>
  <si>
    <t>Add storage</t>
  </si>
  <si>
    <t>* incoming</t>
  </si>
  <si>
    <t>ULT</t>
  </si>
  <si>
    <t>*Outgoing</t>
  </si>
  <si>
    <t>refrigeration</t>
  </si>
  <si>
    <t>Inventory</t>
  </si>
  <si>
    <t>Refrigerator1</t>
  </si>
  <si>
    <t>ULT1</t>
  </si>
  <si>
    <t>Shelf life</t>
  </si>
  <si>
    <t>10 days</t>
  </si>
  <si>
    <t>20 days</t>
  </si>
  <si>
    <t>D</t>
  </si>
  <si>
    <t>Current Inventory  (box)</t>
  </si>
  <si>
    <t>Pfiser Vaccine</t>
  </si>
  <si>
    <t>2 days</t>
  </si>
  <si>
    <t>1 day</t>
  </si>
  <si>
    <t>3 days</t>
  </si>
  <si>
    <t>G</t>
  </si>
  <si>
    <t>H</t>
  </si>
  <si>
    <t>Date</t>
  </si>
  <si>
    <t>*Everyday the shelf life deduct by 1 day.</t>
  </si>
  <si>
    <t>9 days</t>
  </si>
  <si>
    <t xml:space="preserve">18 Days </t>
  </si>
  <si>
    <t>5 days</t>
  </si>
  <si>
    <t>4 days</t>
  </si>
  <si>
    <t>*when goods Issue, we scan.</t>
  </si>
  <si>
    <t>box</t>
  </si>
  <si>
    <t>UOM</t>
  </si>
  <si>
    <t>*Everyday the shelf life reduce by 1 day.</t>
  </si>
  <si>
    <t>Note: What is reflected in system in the opposite, i.e the latest date appears on top.</t>
  </si>
  <si>
    <t>Note: these tables are only for products with shelf life</t>
  </si>
  <si>
    <t>Good received  (boxes)</t>
  </si>
  <si>
    <t>Good issue  (boxes)</t>
  </si>
  <si>
    <t>For products without shelf life, follow below..</t>
  </si>
  <si>
    <t>Boxes</t>
  </si>
  <si>
    <t>Current Inventory by shelf life</t>
  </si>
  <si>
    <t xml:space="preserve">Current Inventory </t>
  </si>
  <si>
    <t xml:space="preserve">Good received by shelf life </t>
  </si>
  <si>
    <t xml:space="preserve">Current Inventory  </t>
  </si>
  <si>
    <t xml:space="preserve">Current Inventory by shelf life </t>
  </si>
  <si>
    <t>Goods received transaction</t>
  </si>
  <si>
    <t>Storage Location</t>
  </si>
  <si>
    <t>* discuss if need to put time</t>
  </si>
  <si>
    <t>Goods issue transaction</t>
  </si>
  <si>
    <t>Goods Expire</t>
  </si>
  <si>
    <t>Goods Expired</t>
  </si>
  <si>
    <t>0 day</t>
  </si>
  <si>
    <t>* All shelf life needs to be calculated based on yesterday's date</t>
  </si>
  <si>
    <t>* shelf life manually set to 0</t>
  </si>
  <si>
    <t>Plant (only freezer)</t>
  </si>
  <si>
    <t>Vaccination schedule</t>
  </si>
  <si>
    <t>Pfizer Vaccine</t>
  </si>
  <si>
    <t>2nd Jan</t>
  </si>
  <si>
    <t>23rd Dec</t>
  </si>
  <si>
    <t>24th Dec</t>
  </si>
  <si>
    <t>25th Dec</t>
  </si>
  <si>
    <t>26th Dec</t>
  </si>
  <si>
    <t>27th Dec</t>
  </si>
  <si>
    <t>28th Dec</t>
  </si>
  <si>
    <t>29th Dec</t>
  </si>
  <si>
    <t>30th Dec</t>
  </si>
  <si>
    <t>31st Dec</t>
  </si>
  <si>
    <t>1st Jan</t>
  </si>
  <si>
    <t>3rd Jan</t>
  </si>
  <si>
    <t>4th Jan</t>
  </si>
  <si>
    <t>5th Jan</t>
  </si>
  <si>
    <t>6th Jan</t>
  </si>
  <si>
    <t>7th Jan</t>
  </si>
  <si>
    <t>8th Jan</t>
  </si>
  <si>
    <t>9th Jan</t>
  </si>
  <si>
    <t>10th Jan</t>
  </si>
  <si>
    <t>11th Jan</t>
  </si>
  <si>
    <t>12th Jan</t>
  </si>
  <si>
    <t>13th Jan</t>
  </si>
  <si>
    <t>14th Jan</t>
  </si>
  <si>
    <t>15th Jan</t>
  </si>
  <si>
    <t>16th Jan</t>
  </si>
  <si>
    <t>17th Jan</t>
  </si>
  <si>
    <t>18th Jan</t>
  </si>
  <si>
    <t>19th Jan</t>
  </si>
  <si>
    <t>20th Jan</t>
  </si>
  <si>
    <t>hours per day</t>
  </si>
  <si>
    <t>minutes per patient</t>
  </si>
  <si>
    <t>nurses</t>
  </si>
  <si>
    <t>Doses per day</t>
  </si>
  <si>
    <t>No box</t>
  </si>
  <si>
    <t>Quantity 
(vials)</t>
  </si>
  <si>
    <t>Quantity 
(Dosage)</t>
  </si>
  <si>
    <t>22nd Dec</t>
  </si>
  <si>
    <t>Outbound</t>
  </si>
  <si>
    <t>* Start with refrigerator because it has vaccine consumption</t>
  </si>
  <si>
    <t>Replenishment based on Pharmaniaga</t>
  </si>
  <si>
    <t>hospital send back projected inv to pharmaniaga, pN check projected inventory with min.max</t>
  </si>
  <si>
    <t>if feasible (don't exceeed), PN delivery schdule is finalised, but if not run through iteration again. PN send another proposed delivery scheule.</t>
  </si>
  <si>
    <t>*if multiple delivery, then 2 delivery dates proposed by pharmaniaga</t>
  </si>
  <si>
    <t>Allocation 
- Dec</t>
  </si>
  <si>
    <t>*depends on hospital allocation plan</t>
  </si>
  <si>
    <t>*Demand forecast is together with outbound to clinics</t>
  </si>
  <si>
    <t>reorder quantity is a function of consumtion</t>
  </si>
  <si>
    <t>*Scan bar code to track what issue out</t>
  </si>
  <si>
    <t>Afteronly the first from pharmaniaga, the rest from original hospital simulation</t>
  </si>
  <si>
    <t>(Storage1 table)</t>
  </si>
  <si>
    <t>(Storage2 table)</t>
  </si>
  <si>
    <t>Freezer1 (ULT)</t>
  </si>
  <si>
    <t>Refrigerator (2-8 deg C)</t>
  </si>
  <si>
    <t>Refrigerator1 (2-8 deg C)</t>
  </si>
  <si>
    <t>ULT1 (-70 deg C)</t>
  </si>
  <si>
    <t>Vaccination</t>
  </si>
  <si>
    <t>22nd dec</t>
  </si>
  <si>
    <t>21st Jan</t>
  </si>
  <si>
    <t xml:space="preserve">Good issued by shelf life </t>
  </si>
  <si>
    <t>23rd dec</t>
  </si>
  <si>
    <t>24th dec</t>
  </si>
  <si>
    <t>25th dec</t>
  </si>
  <si>
    <t>26th dec</t>
  </si>
  <si>
    <t>27th dec</t>
  </si>
  <si>
    <t>28th dec</t>
  </si>
  <si>
    <t>29th dec</t>
  </si>
  <si>
    <t>30th dec</t>
  </si>
  <si>
    <t>31st dec</t>
  </si>
  <si>
    <t>Outbound Schedule 
(clinics)</t>
  </si>
  <si>
    <t>Refrigerator 
Inventory Projection</t>
  </si>
  <si>
    <t xml:space="preserve">Consumption
(Vaccination)
</t>
  </si>
  <si>
    <t>ULT Inventory Projection</t>
  </si>
  <si>
    <t>MOH Malaysia</t>
  </si>
  <si>
    <t>Customer</t>
  </si>
  <si>
    <t>Allocation all in boxes</t>
  </si>
  <si>
    <t>Quantity 
(Boxes)</t>
  </si>
  <si>
    <t>Week 1 (Dec)</t>
  </si>
  <si>
    <t>Week 2 (Jan)</t>
  </si>
  <si>
    <t>Allocated Quantity for Jan (boxes)</t>
  </si>
  <si>
    <t>Reorder point</t>
  </si>
  <si>
    <t>MOH Thailand</t>
  </si>
  <si>
    <t>MOH UK</t>
  </si>
  <si>
    <t>MOH Italy</t>
  </si>
  <si>
    <t>MOH Germany</t>
  </si>
  <si>
    <t>Inventory Projection Simulation - Hospital Sungai Buloh</t>
  </si>
  <si>
    <t>Inventory Projection Simulation - Hospital Selayang</t>
  </si>
  <si>
    <t>Inventory Projection Simulation - Hospital Ampang</t>
  </si>
  <si>
    <t>Hospital Sungai Buloh</t>
  </si>
  <si>
    <t>Vaccine Suppliers DRP</t>
  </si>
  <si>
    <t>Original</t>
  </si>
  <si>
    <t>Allocated Quantity for Dec (boxes)</t>
  </si>
  <si>
    <t xml:space="preserve">Dec </t>
  </si>
  <si>
    <t>Pfiser (Boxes)</t>
  </si>
  <si>
    <t>Original Truck Plan Schedule</t>
  </si>
  <si>
    <t>Reallocated Truck Plan Schedule</t>
  </si>
  <si>
    <t>Storage 2 - Refrigerator1 (2-8 deg C)</t>
  </si>
  <si>
    <t>Storage 1 - ULT1 (-70 deg C)</t>
  </si>
  <si>
    <t>Assuming max 1 truck per day for this region</t>
  </si>
  <si>
    <t>Sinovac (vials)</t>
  </si>
  <si>
    <t>Wait final From Shaiful</t>
  </si>
  <si>
    <t>1 pallet box = 400k vials</t>
  </si>
  <si>
    <t>bottled vials (20 doses each)</t>
  </si>
  <si>
    <t>Type 1</t>
  </si>
  <si>
    <t>Type 2</t>
  </si>
  <si>
    <t>Dosage</t>
  </si>
  <si>
    <t>Using Formula</t>
  </si>
  <si>
    <t>Juru Distribution Centre - DC1</t>
  </si>
  <si>
    <t>Daily Total Trucks</t>
  </si>
  <si>
    <t>Used Allocation for Dec (boxes)</t>
  </si>
  <si>
    <t xml:space="preserve">Truck type 1 </t>
  </si>
  <si>
    <t>Air Freight Receipt</t>
  </si>
  <si>
    <t>(NOT YET)</t>
  </si>
  <si>
    <t>Dosages</t>
  </si>
  <si>
    <t>Forecast
- Jan</t>
  </si>
  <si>
    <t>Forecast 
- Feb</t>
  </si>
  <si>
    <t>+ Weekly dist plan - Pharmaniaga</t>
  </si>
  <si>
    <t>Plant (Total refrigerator)</t>
  </si>
  <si>
    <t>Plant (Total Freezer)</t>
  </si>
  <si>
    <t>Hospital</t>
  </si>
  <si>
    <t>Freezer2 (ULT)</t>
  </si>
  <si>
    <t>Storage Location 3</t>
  </si>
  <si>
    <t>Storage Location 4</t>
  </si>
  <si>
    <t>Refrigerator2 (2-8 deg C)</t>
  </si>
  <si>
    <t>polio vaccine</t>
  </si>
  <si>
    <t>Mass vacinnation</t>
  </si>
  <si>
    <t>3.5 days</t>
  </si>
  <si>
    <t>1 cooling box</t>
  </si>
  <si>
    <t>5 pizza box</t>
  </si>
  <si>
    <t>975 vials</t>
  </si>
  <si>
    <t>4875 dosages</t>
  </si>
  <si>
    <t>Refrigerator (2-8 deg)
Inventory Projection (vials)</t>
  </si>
  <si>
    <t>ULT Inventory Projection (-70) (Boxes)</t>
  </si>
  <si>
    <t>Hospital define replenishment schedule. Replenishment date not from Pharmaniaga</t>
  </si>
  <si>
    <t>Contraints:</t>
  </si>
  <si>
    <t>1) Pharmaniaga Inventory</t>
  </si>
  <si>
    <t>2) No clash in truck requirement</t>
  </si>
  <si>
    <t>3) No hospital should stock out (lower than safety stock or 0)</t>
  </si>
  <si>
    <t>4) Doesn't break maximum hospital inventory</t>
  </si>
  <si>
    <t>2) PHarmaniaga send replanishment date to hospital inventory projection</t>
  </si>
  <si>
    <t>1) replicate hospital data in Pharmaniaga system, but hospital has to share their data. Vaccins schedule, current inventory, outgoing delivery, etc.)</t>
  </si>
  <si>
    <t xml:space="preserve">3) pharma send proposed schedule to hospital. Hospital system automatically check if inventory break constraint, and replies PN. </t>
  </si>
  <si>
    <t>Monthly Allocation</t>
  </si>
  <si>
    <t>Convert to boxes</t>
  </si>
  <si>
    <t>Doses</t>
  </si>
  <si>
    <t>Sourcing plan</t>
  </si>
  <si>
    <t>Dry ice</t>
  </si>
  <si>
    <t>(not yet)</t>
  </si>
  <si>
    <t>Shipment cost (20 Ton) - sup 1</t>
  </si>
  <si>
    <t>Shipment cost (10 Ton) - sup 1</t>
  </si>
  <si>
    <t>Shipment cost (20 Ton) - sup 2</t>
  </si>
  <si>
    <t>Shipment cost (10 Ton) - sup 2</t>
  </si>
  <si>
    <t>Supply Lot Size</t>
  </si>
  <si>
    <t>Safety Stock (SS)</t>
  </si>
  <si>
    <t>W50</t>
  </si>
  <si>
    <t>`</t>
  </si>
  <si>
    <t>Total DEMAND (MT)</t>
  </si>
  <si>
    <t>Existing replenishment orders for the item due in at the beginning of each period.</t>
  </si>
  <si>
    <t>POH(t) = POH(t-1) + SR(t) + POR(t) - GR(t)</t>
  </si>
  <si>
    <t>Net(t) = GR(t) + SS - POH(t-1)</t>
  </si>
  <si>
    <t>No. of 10T Trucks</t>
  </si>
  <si>
    <t>No. of 20T Trucks</t>
  </si>
  <si>
    <t>Total Shipment Cost (RM)</t>
  </si>
  <si>
    <t>(remember to change lead time!)</t>
  </si>
  <si>
    <t>Supplier Availability</t>
  </si>
  <si>
    <t>Projected Ending Inventory</t>
  </si>
  <si>
    <t>Net Requirements</t>
  </si>
  <si>
    <t>DRP Pharmaniaga</t>
  </si>
  <si>
    <t>Forecast Demand</t>
  </si>
  <si>
    <t xml:space="preserve">Total DEMAND </t>
  </si>
  <si>
    <t>&lt;-- From Hospital weekly allocation plan</t>
  </si>
  <si>
    <t>(remember to change reference box if lead time changes!)</t>
  </si>
  <si>
    <t>HS1</t>
  </si>
  <si>
    <t>HS2</t>
  </si>
  <si>
    <t>HS3</t>
  </si>
  <si>
    <t>Juru - PG</t>
  </si>
  <si>
    <t>Hospital 1 - Sungai Buloh Hospital</t>
  </si>
  <si>
    <t>Hospital 2 - Hospital Selayang</t>
  </si>
  <si>
    <t>Hospital 3 - Hospital Ampang</t>
  </si>
  <si>
    <t>Mapping</t>
  </si>
  <si>
    <t>Sultanah Bahiyah Hospital - Kedah</t>
  </si>
  <si>
    <t>Hospital 2 - Selayang Hospital</t>
  </si>
  <si>
    <t>Hospital 3 - Ampang Hospital</t>
  </si>
  <si>
    <t>DC1 -  Juru Warehouse Penang</t>
  </si>
  <si>
    <t>Vaccine Sourcing Schedule</t>
  </si>
  <si>
    <t>kg</t>
  </si>
  <si>
    <t>Maximum Inventory</t>
  </si>
  <si>
    <t>Lead Time (weeks)</t>
  </si>
  <si>
    <t>Dry Ice Sourcing Lead Time</t>
  </si>
  <si>
    <t>Weekly Allocation</t>
  </si>
  <si>
    <t>Net Requirements above safety stock</t>
  </si>
  <si>
    <t>Total DEMAND  (Boxes)</t>
  </si>
  <si>
    <t>Supply Lead Time (weeks)</t>
  </si>
  <si>
    <t>DC1 - Pharmaniaga Juru Warehouse</t>
  </si>
  <si>
    <t>Supplier - Pharmaniaga Shah Alam</t>
  </si>
  <si>
    <t>Net Requirements considering lot size (ETA)</t>
  </si>
  <si>
    <t>Incoming Supply (Quarantine)</t>
  </si>
  <si>
    <t xml:space="preserve">Projected Ending Inventory </t>
  </si>
  <si>
    <t>Supply Lead Time</t>
  </si>
  <si>
    <t>Supply from confirmed order</t>
  </si>
  <si>
    <t>Demand to Supply location (ETD)</t>
  </si>
  <si>
    <t>Incoming Supply (Released)</t>
  </si>
  <si>
    <t>Individual Demand</t>
  </si>
  <si>
    <t>Independent Demand (boxes)</t>
  </si>
  <si>
    <t>Dependent Demand (kg)</t>
  </si>
  <si>
    <t>Total Dependent DEMAND</t>
  </si>
  <si>
    <t>Dry Ice Shah Alam (Sourcing Plan)</t>
  </si>
  <si>
    <t>Receipt (boxes)</t>
  </si>
  <si>
    <t>Forecast Demand Allocation plan (weekly)</t>
  </si>
  <si>
    <t>replenish every 5 days</t>
  </si>
  <si>
    <t>Average daily usage</t>
  </si>
  <si>
    <t>USD</t>
  </si>
  <si>
    <t>Vaccine price</t>
  </si>
  <si>
    <t>quantity per year</t>
  </si>
  <si>
    <t>cost of capital</t>
  </si>
  <si>
    <t>percent per year</t>
  </si>
  <si>
    <t>Holding cost</t>
  </si>
  <si>
    <t>EOQ</t>
  </si>
  <si>
    <t>Reorder Quantity (EOQ)</t>
  </si>
  <si>
    <t>boxes/year</t>
  </si>
  <si>
    <t>USD per box</t>
  </si>
  <si>
    <t>USD/box/year</t>
  </si>
  <si>
    <t>Nurse Salary</t>
  </si>
  <si>
    <t>Time Spent Ordering</t>
  </si>
  <si>
    <t>Cost per order</t>
  </si>
  <si>
    <t>Number of order per year</t>
  </si>
  <si>
    <t>RM</t>
  </si>
  <si>
    <t>boxes/order</t>
  </si>
  <si>
    <t>Purchasing Cost</t>
  </si>
  <si>
    <t>maximum</t>
  </si>
  <si>
    <t>Replenishment
schedule</t>
  </si>
  <si>
    <t>Staff</t>
  </si>
  <si>
    <t>Q1</t>
  </si>
  <si>
    <t>Q2</t>
  </si>
  <si>
    <t>Q3</t>
  </si>
  <si>
    <t>Q4</t>
  </si>
  <si>
    <t>Clinic</t>
  </si>
  <si>
    <t>Dec M</t>
  </si>
  <si>
    <t>Jan M+1</t>
  </si>
  <si>
    <t>Feb M+2</t>
  </si>
  <si>
    <t>Mar M+3</t>
  </si>
  <si>
    <t>M</t>
  </si>
  <si>
    <t>Current
- Dec</t>
  </si>
  <si>
    <t>Allocation 
- Jan</t>
  </si>
  <si>
    <t>Allocation
- Feb</t>
  </si>
  <si>
    <t>Allocation 
- Mar</t>
  </si>
  <si>
    <t>Forecast 
- Mar</t>
  </si>
  <si>
    <t>South</t>
  </si>
  <si>
    <t>Others</t>
  </si>
  <si>
    <t>Rest of Country</t>
  </si>
  <si>
    <t>Dec 2020-Nov2021</t>
  </si>
  <si>
    <t>Feb2021-Jan 2022</t>
  </si>
  <si>
    <t>Reduce from WHO if demand &lt; Supply</t>
  </si>
  <si>
    <t>Vial</t>
  </si>
  <si>
    <t>Box</t>
  </si>
  <si>
    <t>Doses per month</t>
  </si>
  <si>
    <t>Box / Month</t>
  </si>
  <si>
    <t>Number of trips per month</t>
  </si>
  <si>
    <t>Orders per month ( 5 box)</t>
  </si>
  <si>
    <t>Orders per month ( 6 box)</t>
  </si>
  <si>
    <t>Orders per month ( 7 box)</t>
  </si>
  <si>
    <t>Total 12 Hospitals</t>
  </si>
  <si>
    <t>Total All Hospitals</t>
  </si>
  <si>
    <t>C""</t>
  </si>
  <si>
    <t>Diif Total</t>
  </si>
  <si>
    <t>Ratio C/B</t>
  </si>
  <si>
    <t>Final Sourcing Plan</t>
  </si>
  <si>
    <t>Allocation Plan (from Supplier)</t>
  </si>
  <si>
    <t>CONTRACT</t>
  </si>
  <si>
    <t>Inventory Projection Simulation - Hospital Melaka</t>
  </si>
  <si>
    <t>Refrigerator Inventory Projection</t>
  </si>
  <si>
    <t>Consumption (Vaccination)</t>
  </si>
  <si>
    <t xml:space="preserve">Reorder Quantity </t>
  </si>
  <si>
    <t>ULT Freezer</t>
  </si>
  <si>
    <t>Plant : Total ULT Freezer</t>
  </si>
  <si>
    <t>9 day</t>
  </si>
  <si>
    <t>19 days</t>
  </si>
  <si>
    <t>ULT Freezer
Inventory Projection</t>
  </si>
  <si>
    <t>MFG -656980</t>
  </si>
  <si>
    <t>MFG- 656985</t>
  </si>
  <si>
    <t>ULT Fridge</t>
  </si>
  <si>
    <t>monthly allocation</t>
  </si>
  <si>
    <t>Truck Scheduling</t>
  </si>
  <si>
    <t xml:space="preserve"> </t>
  </si>
  <si>
    <t>Max Num_Truck</t>
  </si>
  <si>
    <t>TruckSize*</t>
  </si>
  <si>
    <t>boxes</t>
  </si>
  <si>
    <t>PO_Quantity</t>
  </si>
  <si>
    <t>Daily Truck Count</t>
  </si>
  <si>
    <t>return replenishment to confirmed replenishment</t>
  </si>
  <si>
    <t>Truck HS1</t>
  </si>
  <si>
    <t>Truck HS2</t>
  </si>
  <si>
    <t>Truck HS3</t>
  </si>
  <si>
    <t>Totak Trucks</t>
  </si>
  <si>
    <t>Inventory HS1</t>
  </si>
  <si>
    <t>Inventory HS2</t>
  </si>
  <si>
    <t>Safety stock</t>
  </si>
  <si>
    <t>Inventory HS3</t>
  </si>
  <si>
    <t>Inventory HS1 - safety stock HS1</t>
  </si>
  <si>
    <t>Inventory HS2 - safety stock HS2</t>
  </si>
  <si>
    <t>Inventory HS3 - safety stock HS3</t>
  </si>
  <si>
    <t>1) Check if previous day</t>
  </si>
  <si>
    <t>proj_end_inv_initial</t>
  </si>
  <si>
    <t>proj_end_inv_final</t>
  </si>
  <si>
    <t>Scenario 2</t>
  </si>
  <si>
    <t>The consumption part has to be flexible.</t>
  </si>
  <si>
    <t>Scenario 3</t>
  </si>
  <si>
    <t>Scenario 1</t>
  </si>
  <si>
    <t>current day PN Inventory not OK, current day truck ok, next day truck ok</t>
  </si>
  <si>
    <t>current PN Inventory not OK, current day truck ok, next day truck not OK</t>
  </si>
  <si>
    <t>Scenario 4</t>
  </si>
  <si>
    <t>Scenario 5</t>
  </si>
  <si>
    <t>Situation 3 trucks in a day, PN Inventory OK, Previous day truck ok</t>
  </si>
  <si>
    <t>Resolve by rescheduling to another later day</t>
  </si>
  <si>
    <t>PN inventory small, reshedule few days later.</t>
  </si>
  <si>
    <t>Too much demand all hospitals</t>
  </si>
  <si>
    <t>Resolve by moving to previous day</t>
  </si>
  <si>
    <t>STRATEGY - Remove order from hospitals with largest order first until no negative PN inventory</t>
  </si>
  <si>
    <t>Cut all replenishment to hospitals. How about demand?</t>
  </si>
  <si>
    <t xml:space="preserve">1) </t>
  </si>
  <si>
    <t>Original Truck Schedule</t>
  </si>
  <si>
    <t>1) find which hospital has maximum Qty.</t>
  </si>
  <si>
    <t>2) remove that total quantity so remain 0</t>
  </si>
  <si>
    <t>3) check if PN Inv still -ve quantity</t>
  </si>
  <si>
    <t>4) if yes remove from the next max quantity.</t>
  </si>
  <si>
    <t>5) if no, stop</t>
  </si>
  <si>
    <t>6) recalculate inventory of affected hospitals</t>
  </si>
  <si>
    <t>Original Truck Schedule (Snapshot)</t>
  </si>
  <si>
    <t>7) recalulate total orders to PN</t>
  </si>
  <si>
    <t>8) recalculate PN inventory</t>
  </si>
  <si>
    <t>TRUCK 1</t>
  </si>
  <si>
    <t>9) Check PN inventory status again(&lt;0?)</t>
  </si>
  <si>
    <t>TRUCK 2</t>
  </si>
  <si>
    <t>10) if NG, repeat from 1</t>
  </si>
  <si>
    <t>Unavailable</t>
  </si>
  <si>
    <t>10) if OK, recalculate total trucks required</t>
  </si>
  <si>
    <t xml:space="preserve">12) if Ok, good. </t>
  </si>
  <si>
    <t>Final Truck schedule (Snapshot)</t>
  </si>
  <si>
    <t>Truck schedule (Snapshot2)</t>
  </si>
  <si>
    <t>Penang Hospitals</t>
  </si>
  <si>
    <t>1) Check truck maximum status,</t>
  </si>
  <si>
    <t>2) if ng, check supplier inventory status</t>
  </si>
  <si>
    <t>3) if ok, check previous day truck inv status</t>
  </si>
  <si>
    <t>4) Find difference hosp inventory and safety stock for all hospitals</t>
  </si>
  <si>
    <t>5) find hosp min difference, select for moving</t>
  </si>
  <si>
    <t>6) recalculate inventory for hosp min</t>
  </si>
  <si>
    <t>7) recalcualte total order all hosp</t>
  </si>
  <si>
    <t>8) recalcualte truck count all hosp</t>
  </si>
  <si>
    <t>9) check truck maximum status</t>
  </si>
  <si>
    <t>10) Assign truck to schedule</t>
  </si>
  <si>
    <t>13) assign truck to schedule.</t>
  </si>
  <si>
    <t>12) If NG, cannot move earlier coz PN negative inventory</t>
  </si>
  <si>
    <t>11) determine maximum truck status next day</t>
  </si>
  <si>
    <t>13) Cut order? Move to next day?</t>
  </si>
  <si>
    <t>14) I cut order check inventory status of affected hospitals</t>
  </si>
  <si>
    <t>15) in ng, reduce demand?</t>
  </si>
  <si>
    <t>MOH placed half of order 170000 every 2 weeks</t>
  </si>
  <si>
    <t>weekly is 1/4th of monthly</t>
  </si>
  <si>
    <t>then all 12 hosp will place order according to this weekly allocation plan</t>
  </si>
  <si>
    <t>thurs communicate with hosp the weekly allocation create PO Friday</t>
  </si>
  <si>
    <t>hosp put requested delivery date - date range of 1 week (next Monday to next Friday)</t>
  </si>
  <si>
    <t>PN has flxibilty to shcedule in the 5 days</t>
  </si>
  <si>
    <t>No more using inventory</t>
  </si>
  <si>
    <t>conversion</t>
  </si>
  <si>
    <t>weekly</t>
  </si>
  <si>
    <t>Push</t>
  </si>
  <si>
    <t>per 2 weeks</t>
  </si>
  <si>
    <t>JURU</t>
  </si>
  <si>
    <t>total selangor + juru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</si>
  <si>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</si>
  <si>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</si>
  <si>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</si>
  <si>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</si>
  <si>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</si>
  <si>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</si>
  <si>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</si>
  <si>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</si>
  <si>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</si>
  <si>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</si>
  <si>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</si>
  <si>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</si>
  <si>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incoming</t>
  </si>
  <si>
    <t>DRP without JIT (PUSH)</t>
  </si>
  <si>
    <t>Juru</t>
  </si>
  <si>
    <t>From monthly demand supply balance</t>
  </si>
  <si>
    <t>Allocation</t>
  </si>
  <si>
    <t>after lead time = 2 days</t>
  </si>
  <si>
    <t>Selayang</t>
  </si>
  <si>
    <t>Ampang</t>
  </si>
  <si>
    <t>Juru Warehouse</t>
  </si>
  <si>
    <t>Sungai Buloh</t>
  </si>
  <si>
    <t>after lead time =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</si>
</sst>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M&quot;#,##0;[Red]\-&quot;RM&quot;#,##0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#,##0.0"/>
    <numFmt numFmtId="168" formatCode="0.0"/>
  </numFmts>
  <fonts count="6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72"/>
      <color rgb="FF0061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4"/>
      <color rgb="FF9C5700"/>
      <name val="Calibri"/>
      <family val="2"/>
      <scheme val="minor"/>
    </font>
    <font>
      <b/>
      <i/>
      <sz val="14"/>
      <color rgb="FF9C0006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43" fontId="9" fillId="0" borderId="0" applyFont="0" applyFill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19" fillId="30" borderId="0" applyNumberFormat="0" applyBorder="0" applyAlignment="0" applyProtection="0"/>
    <xf numFmtId="0" fontId="9" fillId="31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31" fillId="38" borderId="1" applyNumberFormat="0" applyAlignment="0" applyProtection="0"/>
    <xf numFmtId="0" fontId="39" fillId="42" borderId="0" applyNumberFormat="0" applyBorder="0" applyAlignment="0" applyProtection="0"/>
  </cellStyleXfs>
  <cellXfs count="98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17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/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8" fillId="0" borderId="0" xfId="0" applyFont="1"/>
    <xf numFmtId="0" fontId="0" fillId="0" borderId="0" xfId="0" quotePrefix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3" fillId="0" borderId="0" xfId="0" applyFont="1"/>
    <xf numFmtId="0" fontId="0" fillId="0" borderId="26" xfId="0" applyBorder="1"/>
    <xf numFmtId="17" fontId="10" fillId="0" borderId="0" xfId="0" applyNumberFormat="1" applyFont="1"/>
    <xf numFmtId="0" fontId="0" fillId="0" borderId="0" xfId="0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32" xfId="0" applyBorder="1"/>
    <xf numFmtId="0" fontId="10" fillId="0" borderId="0" xfId="0" applyFont="1"/>
    <xf numFmtId="0" fontId="3" fillId="0" borderId="26" xfId="0" applyFont="1" applyBorder="1" applyAlignment="1">
      <alignment horizontal="center" wrapText="1"/>
    </xf>
    <xf numFmtId="0" fontId="0" fillId="0" borderId="23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/>
    <xf numFmtId="0" fontId="3" fillId="0" borderId="3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9" fillId="6" borderId="0" xfId="4"/>
    <xf numFmtId="10" fontId="0" fillId="0" borderId="0" xfId="0" quotePrefix="1" applyNumberFormat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32" xfId="0" applyFill="1" applyBorder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32" xfId="3" applyNumberFormat="1" applyFont="1" applyBorder="1" applyAlignment="1">
      <alignment horizontal="center" vertical="center"/>
    </xf>
    <xf numFmtId="164" fontId="3" fillId="0" borderId="32" xfId="3" applyNumberFormat="1" applyFont="1" applyBorder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164" fontId="0" fillId="0" borderId="32" xfId="3" applyNumberFormat="1" applyFont="1" applyBorder="1" applyAlignment="1">
      <alignment horizontal="center"/>
    </xf>
    <xf numFmtId="164" fontId="3" fillId="0" borderId="32" xfId="3" applyNumberFormat="1" applyFont="1" applyBorder="1" applyAlignment="1">
      <alignment horizontal="center"/>
    </xf>
    <xf numFmtId="164" fontId="0" fillId="0" borderId="0" xfId="3" applyNumberFormat="1" applyFont="1" applyBorder="1"/>
    <xf numFmtId="164" fontId="0" fillId="0" borderId="26" xfId="3" applyNumberFormat="1" applyFont="1" applyBorder="1"/>
    <xf numFmtId="164" fontId="0" fillId="0" borderId="0" xfId="3" applyNumberFormat="1" applyFont="1" applyFill="1" applyBorder="1"/>
    <xf numFmtId="164" fontId="0" fillId="0" borderId="0" xfId="3" applyNumberFormat="1" applyFont="1" applyAlignment="1">
      <alignment horizontal="center" wrapText="1"/>
    </xf>
    <xf numFmtId="164" fontId="4" fillId="0" borderId="0" xfId="3" applyNumberFormat="1" applyFont="1" applyAlignment="1">
      <alignment horizontal="center" vertical="center"/>
    </xf>
    <xf numFmtId="164" fontId="12" fillId="0" borderId="0" xfId="3" applyNumberFormat="1" applyFont="1" applyBorder="1" applyAlignment="1">
      <alignment horizontal="center" vertical="center"/>
    </xf>
    <xf numFmtId="164" fontId="0" fillId="0" borderId="0" xfId="3" applyNumberFormat="1" applyFont="1"/>
    <xf numFmtId="164" fontId="0" fillId="0" borderId="32" xfId="3" applyNumberFormat="1" applyFont="1" applyBorder="1"/>
    <xf numFmtId="0" fontId="9" fillId="6" borderId="0" xfId="4" applyAlignment="1">
      <alignment wrapText="1"/>
    </xf>
    <xf numFmtId="0" fontId="14" fillId="2" borderId="0" xfId="1" applyFont="1"/>
    <xf numFmtId="0" fontId="15" fillId="0" borderId="0" xfId="0" applyFont="1"/>
    <xf numFmtId="164" fontId="11" fillId="0" borderId="0" xfId="3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7" borderId="0" xfId="3" applyNumberFormat="1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0" xfId="1"/>
    <xf numFmtId="164" fontId="3" fillId="0" borderId="32" xfId="0" applyNumberFormat="1" applyFont="1" applyBorder="1" applyAlignment="1">
      <alignment horizontal="center"/>
    </xf>
    <xf numFmtId="164" fontId="0" fillId="0" borderId="0" xfId="3" applyNumberFormat="1" applyFont="1" applyBorder="1" applyAlignment="1">
      <alignment horizontal="center" vertical="center"/>
    </xf>
    <xf numFmtId="164" fontId="0" fillId="0" borderId="0" xfId="3" applyNumberFormat="1" applyFont="1" applyAlignment="1">
      <alignment vertical="center"/>
    </xf>
    <xf numFmtId="164" fontId="3" fillId="0" borderId="32" xfId="3" applyNumberFormat="1" applyFont="1" applyBorder="1" applyAlignment="1"/>
    <xf numFmtId="164" fontId="0" fillId="0" borderId="0" xfId="3" applyNumberFormat="1" applyFont="1" applyFill="1" applyAlignment="1">
      <alignment horizontal="center" vertical="center"/>
    </xf>
    <xf numFmtId="164" fontId="0" fillId="0" borderId="0" xfId="3" applyNumberFormat="1" applyFont="1" applyFill="1" applyAlignment="1">
      <alignment horizontal="center"/>
    </xf>
    <xf numFmtId="164" fontId="3" fillId="0" borderId="32" xfId="3" applyNumberFormat="1" applyFont="1" applyFill="1" applyBorder="1" applyAlignment="1">
      <alignment horizontal="center"/>
    </xf>
    <xf numFmtId="1" fontId="0" fillId="0" borderId="0" xfId="0" applyNumberFormat="1"/>
    <xf numFmtId="1" fontId="3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0" fillId="0" borderId="33" xfId="0" applyBorder="1"/>
    <xf numFmtId="0" fontId="0" fillId="0" borderId="24" xfId="0" applyBorder="1" applyAlignment="1">
      <alignment horizontal="center" vertical="center"/>
    </xf>
    <xf numFmtId="0" fontId="3" fillId="10" borderId="0" xfId="7" applyFont="1"/>
    <xf numFmtId="0" fontId="3" fillId="10" borderId="0" xfId="7" applyFont="1" applyAlignment="1">
      <alignment horizontal="center"/>
    </xf>
    <xf numFmtId="0" fontId="3" fillId="10" borderId="26" xfId="7" applyFont="1" applyBorder="1"/>
    <xf numFmtId="0" fontId="0" fillId="0" borderId="22" xfId="0" applyFill="1" applyBorder="1"/>
    <xf numFmtId="0" fontId="0" fillId="0" borderId="14" xfId="0" applyFill="1" applyBorder="1"/>
    <xf numFmtId="0" fontId="3" fillId="10" borderId="25" xfId="7" applyFont="1" applyBorder="1"/>
    <xf numFmtId="0" fontId="0" fillId="0" borderId="0" xfId="0" applyBorder="1" applyAlignment="1">
      <alignment horizontal="center" vertical="center"/>
    </xf>
    <xf numFmtId="0" fontId="0" fillId="0" borderId="38" xfId="0" applyBorder="1"/>
    <xf numFmtId="0" fontId="3" fillId="10" borderId="36" xfId="7" applyFont="1" applyBorder="1" applyAlignment="1">
      <alignment horizontal="center"/>
    </xf>
    <xf numFmtId="0" fontId="3" fillId="10" borderId="18" xfId="7" applyFont="1" applyBorder="1" applyAlignment="1">
      <alignment horizontal="center"/>
    </xf>
    <xf numFmtId="164" fontId="0" fillId="0" borderId="0" xfId="3" applyNumberFormat="1" applyFont="1" applyBorder="1" applyAlignment="1">
      <alignment horizontal="center"/>
    </xf>
    <xf numFmtId="164" fontId="0" fillId="0" borderId="24" xfId="3" applyNumberFormat="1" applyFont="1" applyBorder="1" applyAlignment="1">
      <alignment horizontal="center"/>
    </xf>
    <xf numFmtId="164" fontId="12" fillId="0" borderId="0" xfId="3" applyNumberFormat="1" applyFont="1" applyBorder="1" applyAlignment="1">
      <alignment horizontal="center"/>
    </xf>
    <xf numFmtId="164" fontId="3" fillId="0" borderId="36" xfId="3" applyNumberFormat="1" applyFont="1" applyBorder="1" applyAlignment="1">
      <alignment horizontal="center"/>
    </xf>
    <xf numFmtId="164" fontId="3" fillId="0" borderId="18" xfId="3" applyNumberFormat="1" applyFont="1" applyBorder="1" applyAlignment="1">
      <alignment horizontal="center"/>
    </xf>
    <xf numFmtId="164" fontId="0" fillId="0" borderId="23" xfId="3" applyNumberFormat="1" applyFont="1" applyBorder="1" applyAlignment="1">
      <alignment horizontal="center" vertical="center"/>
    </xf>
    <xf numFmtId="164" fontId="0" fillId="0" borderId="19" xfId="3" applyNumberFormat="1" applyFont="1" applyBorder="1" applyAlignment="1">
      <alignment horizontal="center" vertical="center"/>
    </xf>
    <xf numFmtId="164" fontId="3" fillId="0" borderId="37" xfId="3" applyNumberFormat="1" applyFont="1" applyBorder="1" applyAlignment="1">
      <alignment horizontal="center"/>
    </xf>
    <xf numFmtId="164" fontId="9" fillId="0" borderId="0" xfId="3" applyNumberFormat="1" applyFont="1" applyBorder="1" applyAlignment="1">
      <alignment horizontal="center"/>
    </xf>
    <xf numFmtId="0" fontId="3" fillId="10" borderId="39" xfId="7" applyFont="1" applyBorder="1"/>
    <xf numFmtId="0" fontId="3" fillId="10" borderId="40" xfId="7" applyFont="1" applyBorder="1" applyAlignment="1">
      <alignment horizontal="center"/>
    </xf>
    <xf numFmtId="0" fontId="3" fillId="10" borderId="41" xfId="7" applyFont="1" applyBorder="1" applyAlignment="1">
      <alignment horizontal="center"/>
    </xf>
    <xf numFmtId="164" fontId="9" fillId="0" borderId="24" xfId="3" applyNumberFormat="1" applyFont="1" applyBorder="1" applyAlignment="1">
      <alignment horizontal="center"/>
    </xf>
    <xf numFmtId="0" fontId="0" fillId="0" borderId="25" xfId="0" applyFill="1" applyBorder="1"/>
    <xf numFmtId="164" fontId="0" fillId="0" borderId="26" xfId="3" applyNumberFormat="1" applyFont="1" applyBorder="1" applyAlignment="1">
      <alignment horizontal="center"/>
    </xf>
    <xf numFmtId="164" fontId="0" fillId="0" borderId="20" xfId="3" applyNumberFormat="1" applyFont="1" applyBorder="1" applyAlignment="1">
      <alignment horizontal="center"/>
    </xf>
    <xf numFmtId="164" fontId="0" fillId="0" borderId="23" xfId="3" applyNumberFormat="1" applyFont="1" applyBorder="1" applyAlignment="1">
      <alignment vertical="center"/>
    </xf>
    <xf numFmtId="164" fontId="0" fillId="0" borderId="19" xfId="3" applyNumberFormat="1" applyFont="1" applyBorder="1" applyAlignment="1">
      <alignment vertical="center"/>
    </xf>
    <xf numFmtId="164" fontId="0" fillId="0" borderId="0" xfId="3" applyNumberFormat="1" applyFont="1" applyBorder="1" applyAlignment="1"/>
    <xf numFmtId="164" fontId="0" fillId="0" borderId="24" xfId="3" applyNumberFormat="1" applyFont="1" applyBorder="1" applyAlignment="1"/>
    <xf numFmtId="164" fontId="0" fillId="0" borderId="0" xfId="0" applyNumberFormat="1"/>
    <xf numFmtId="164" fontId="3" fillId="0" borderId="32" xfId="3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5" borderId="0" xfId="0" applyFill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164" fontId="0" fillId="0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10" borderId="0" xfId="7" applyFont="1" applyBorder="1" applyAlignment="1">
      <alignment horizontal="left"/>
    </xf>
    <xf numFmtId="164" fontId="3" fillId="0" borderId="0" xfId="3" applyNumberFormat="1" applyFont="1" applyFill="1" applyBorder="1" applyAlignment="1">
      <alignment horizontal="center"/>
    </xf>
    <xf numFmtId="43" fontId="0" fillId="0" borderId="0" xfId="0" applyNumberFormat="1"/>
    <xf numFmtId="0" fontId="3" fillId="10" borderId="33" xfId="7" applyFont="1" applyBorder="1"/>
    <xf numFmtId="164" fontId="0" fillId="0" borderId="0" xfId="3" applyNumberFormat="1" applyFont="1" applyFill="1" applyBorder="1" applyAlignment="1">
      <alignment horizontal="center"/>
    </xf>
    <xf numFmtId="164" fontId="9" fillId="0" borderId="0" xfId="3" applyNumberFormat="1" applyFont="1" applyFill="1" applyBorder="1" applyAlignment="1">
      <alignment horizontal="center"/>
    </xf>
    <xf numFmtId="164" fontId="9" fillId="0" borderId="24" xfId="3" applyNumberFormat="1" applyFont="1" applyFill="1" applyBorder="1" applyAlignment="1">
      <alignment horizontal="center"/>
    </xf>
    <xf numFmtId="164" fontId="0" fillId="0" borderId="24" xfId="3" applyNumberFormat="1" applyFont="1" applyFill="1" applyBorder="1" applyAlignment="1">
      <alignment horizontal="center"/>
    </xf>
    <xf numFmtId="164" fontId="12" fillId="0" borderId="0" xfId="3" applyNumberFormat="1" applyFont="1" applyFill="1" applyBorder="1" applyAlignment="1">
      <alignment horizontal="center"/>
    </xf>
    <xf numFmtId="164" fontId="0" fillId="0" borderId="26" xfId="3" applyNumberFormat="1" applyFont="1" applyFill="1" applyBorder="1" applyAlignment="1">
      <alignment horizontal="center"/>
    </xf>
    <xf numFmtId="164" fontId="0" fillId="0" borderId="20" xfId="3" applyNumberFormat="1" applyFont="1" applyFill="1" applyBorder="1" applyAlignment="1">
      <alignment horizontal="center"/>
    </xf>
    <xf numFmtId="0" fontId="0" fillId="0" borderId="24" xfId="0" applyFill="1" applyBorder="1"/>
    <xf numFmtId="164" fontId="0" fillId="0" borderId="24" xfId="3" applyNumberFormat="1" applyFont="1" applyFill="1" applyBorder="1" applyAlignment="1">
      <alignment horizontal="center" vertical="center"/>
    </xf>
    <xf numFmtId="164" fontId="0" fillId="0" borderId="0" xfId="3" applyNumberFormat="1" applyFont="1" applyFill="1" applyBorder="1" applyAlignment="1"/>
    <xf numFmtId="164" fontId="0" fillId="0" borderId="24" xfId="3" applyNumberFormat="1" applyFont="1" applyFill="1" applyBorder="1" applyAlignment="1"/>
    <xf numFmtId="164" fontId="0" fillId="0" borderId="26" xfId="3" applyNumberFormat="1" applyFont="1" applyFill="1" applyBorder="1" applyAlignment="1"/>
    <xf numFmtId="164" fontId="0" fillId="0" borderId="20" xfId="3" applyNumberFormat="1" applyFont="1" applyFill="1" applyBorder="1" applyAlignment="1"/>
    <xf numFmtId="0" fontId="0" fillId="0" borderId="24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0" fillId="7" borderId="0" xfId="0" applyNumberFormat="1" applyFill="1"/>
    <xf numFmtId="164" fontId="0" fillId="0" borderId="23" xfId="3" applyNumberFormat="1" applyFont="1" applyFill="1" applyBorder="1" applyAlignment="1">
      <alignment horizontal="center" vertical="center"/>
    </xf>
    <xf numFmtId="164" fontId="0" fillId="0" borderId="19" xfId="3" applyNumberFormat="1" applyFont="1" applyFill="1" applyBorder="1" applyAlignment="1">
      <alignment horizontal="center" vertical="center"/>
    </xf>
    <xf numFmtId="164" fontId="0" fillId="0" borderId="0" xfId="0" applyNumberFormat="1" applyFill="1" applyBorder="1"/>
    <xf numFmtId="164" fontId="0" fillId="0" borderId="24" xfId="0" applyNumberFormat="1" applyFill="1" applyBorder="1"/>
    <xf numFmtId="0" fontId="0" fillId="7" borderId="0" xfId="0" applyFill="1" applyBorder="1"/>
    <xf numFmtId="164" fontId="7" fillId="0" borderId="0" xfId="3" applyNumberFormat="1" applyFont="1" applyBorder="1"/>
    <xf numFmtId="0" fontId="20" fillId="0" borderId="0" xfId="0" applyFont="1"/>
    <xf numFmtId="0" fontId="21" fillId="0" borderId="0" xfId="0" applyFont="1"/>
    <xf numFmtId="164" fontId="4" fillId="0" borderId="24" xfId="0" applyNumberFormat="1" applyFont="1" applyBorder="1"/>
    <xf numFmtId="3" fontId="4" fillId="0" borderId="24" xfId="0" applyNumberFormat="1" applyFont="1" applyBorder="1"/>
    <xf numFmtId="0" fontId="0" fillId="0" borderId="14" xfId="0" applyBorder="1"/>
    <xf numFmtId="0" fontId="4" fillId="0" borderId="14" xfId="0" applyFont="1" applyBorder="1"/>
    <xf numFmtId="0" fontId="4" fillId="0" borderId="0" xfId="0" applyFont="1" applyBorder="1"/>
    <xf numFmtId="164" fontId="0" fillId="7" borderId="0" xfId="3" applyNumberFormat="1" applyFont="1" applyFill="1" applyBorder="1" applyAlignment="1">
      <alignment horizontal="center" vertical="center"/>
    </xf>
    <xf numFmtId="164" fontId="0" fillId="7" borderId="24" xfId="3" applyNumberFormat="1" applyFont="1" applyFill="1" applyBorder="1" applyAlignment="1">
      <alignment horizontal="center" vertical="center"/>
    </xf>
    <xf numFmtId="164" fontId="0" fillId="7" borderId="23" xfId="3" applyNumberFormat="1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4" borderId="29" xfId="0" applyFont="1" applyFill="1" applyBorder="1" applyAlignment="1">
      <alignment horizontal="center"/>
    </xf>
    <xf numFmtId="0" fontId="1" fillId="2" borderId="2" xfId="1" applyFont="1" applyBorder="1"/>
    <xf numFmtId="0" fontId="1" fillId="2" borderId="36" xfId="1" applyNumberFormat="1" applyFont="1" applyBorder="1" applyAlignment="1">
      <alignment horizontal="center"/>
    </xf>
    <xf numFmtId="6" fontId="1" fillId="2" borderId="36" xfId="1" applyNumberFormat="1" applyFont="1" applyBorder="1" applyAlignment="1">
      <alignment horizontal="center"/>
    </xf>
    <xf numFmtId="0" fontId="9" fillId="11" borderId="33" xfId="8" applyBorder="1"/>
    <xf numFmtId="0" fontId="9" fillId="16" borderId="33" xfId="11" applyBorder="1" applyAlignment="1">
      <alignment wrapText="1"/>
    </xf>
    <xf numFmtId="164" fontId="0" fillId="0" borderId="11" xfId="3" applyNumberFormat="1" applyFont="1" applyBorder="1" applyAlignment="1">
      <alignment horizontal="center" vertical="center"/>
    </xf>
    <xf numFmtId="164" fontId="0" fillId="0" borderId="2" xfId="3" applyNumberFormat="1" applyFont="1" applyBorder="1" applyAlignment="1">
      <alignment horizontal="center" vertical="center"/>
    </xf>
    <xf numFmtId="164" fontId="0" fillId="0" borderId="12" xfId="3" applyNumberFormat="1" applyFont="1" applyBorder="1" applyAlignment="1">
      <alignment horizontal="center" vertical="center"/>
    </xf>
    <xf numFmtId="164" fontId="9" fillId="17" borderId="2" xfId="3" applyNumberFormat="1" applyFill="1" applyBorder="1" applyAlignment="1">
      <alignment horizontal="center" vertical="center"/>
    </xf>
    <xf numFmtId="164" fontId="9" fillId="15" borderId="2" xfId="3" applyNumberFormat="1" applyFill="1" applyBorder="1" applyAlignment="1">
      <alignment horizontal="center" vertical="center"/>
    </xf>
    <xf numFmtId="164" fontId="5" fillId="0" borderId="0" xfId="3" applyNumberFormat="1" applyFont="1"/>
    <xf numFmtId="0" fontId="9" fillId="17" borderId="33" xfId="12" applyBorder="1" applyAlignment="1">
      <alignment wrapText="1"/>
    </xf>
    <xf numFmtId="0" fontId="9" fillId="15" borderId="33" xfId="10" applyBorder="1" applyAlignment="1">
      <alignment wrapText="1"/>
    </xf>
    <xf numFmtId="164" fontId="9" fillId="15" borderId="11" xfId="3" applyNumberFormat="1" applyFill="1" applyBorder="1" applyAlignment="1">
      <alignment horizontal="center" vertical="center"/>
    </xf>
    <xf numFmtId="164" fontId="9" fillId="15" borderId="12" xfId="3" applyNumberFormat="1" applyFill="1" applyBorder="1" applyAlignment="1">
      <alignment horizontal="center" vertical="center"/>
    </xf>
    <xf numFmtId="164" fontId="0" fillId="0" borderId="43" xfId="3" applyNumberFormat="1" applyFont="1" applyBorder="1"/>
    <xf numFmtId="164" fontId="0" fillId="0" borderId="17" xfId="3" applyNumberFormat="1" applyFont="1" applyBorder="1"/>
    <xf numFmtId="164" fontId="9" fillId="17" borderId="11" xfId="3" applyNumberFormat="1" applyFill="1" applyBorder="1" applyAlignment="1">
      <alignment horizontal="center" vertical="center"/>
    </xf>
    <xf numFmtId="164" fontId="9" fillId="17" borderId="12" xfId="3" applyNumberFormat="1" applyFill="1" applyBorder="1" applyAlignment="1">
      <alignment horizontal="center" vertical="center"/>
    </xf>
    <xf numFmtId="0" fontId="0" fillId="0" borderId="43" xfId="0" applyBorder="1"/>
    <xf numFmtId="0" fontId="0" fillId="0" borderId="17" xfId="0" applyBorder="1"/>
    <xf numFmtId="0" fontId="24" fillId="0" borderId="0" xfId="0" applyFont="1"/>
    <xf numFmtId="164" fontId="9" fillId="16" borderId="16" xfId="11" applyNumberFormat="1" applyBorder="1" applyAlignment="1">
      <alignment horizontal="center" vertical="center"/>
    </xf>
    <xf numFmtId="164" fontId="9" fillId="16" borderId="34" xfId="11" applyNumberFormat="1" applyBorder="1" applyAlignment="1">
      <alignment horizontal="center" vertical="center"/>
    </xf>
    <xf numFmtId="164" fontId="9" fillId="16" borderId="42" xfId="11" applyNumberFormat="1" applyBorder="1" applyAlignment="1">
      <alignment horizontal="center" vertical="center"/>
    </xf>
    <xf numFmtId="0" fontId="9" fillId="9" borderId="33" xfId="6" applyBorder="1" applyAlignment="1">
      <alignment wrapText="1"/>
    </xf>
    <xf numFmtId="164" fontId="9" fillId="9" borderId="11" xfId="6" applyNumberFormat="1" applyBorder="1" applyAlignment="1">
      <alignment horizontal="center" vertical="center"/>
    </xf>
    <xf numFmtId="164" fontId="9" fillId="9" borderId="2" xfId="6" applyNumberFormat="1" applyBorder="1" applyAlignment="1">
      <alignment horizontal="center" vertical="center"/>
    </xf>
    <xf numFmtId="164" fontId="9" fillId="9" borderId="12" xfId="6" applyNumberFormat="1" applyBorder="1" applyAlignment="1">
      <alignment horizontal="center" vertical="center"/>
    </xf>
    <xf numFmtId="164" fontId="0" fillId="0" borderId="2" xfId="0" applyNumberFormat="1" applyBorder="1"/>
    <xf numFmtId="0" fontId="0" fillId="0" borderId="11" xfId="0" applyBorder="1"/>
    <xf numFmtId="0" fontId="0" fillId="0" borderId="12" xfId="0" applyBorder="1"/>
    <xf numFmtId="0" fontId="23" fillId="13" borderId="21" xfId="0" applyFont="1" applyFill="1" applyBorder="1" applyAlignment="1">
      <alignment horizontal="center"/>
    </xf>
    <xf numFmtId="0" fontId="23" fillId="13" borderId="28" xfId="0" applyFont="1" applyFill="1" applyBorder="1" applyAlignment="1">
      <alignment horizontal="center"/>
    </xf>
    <xf numFmtId="0" fontId="23" fillId="13" borderId="29" xfId="0" applyFont="1" applyFill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0" fontId="23" fillId="13" borderId="44" xfId="0" applyFont="1" applyFill="1" applyBorder="1" applyAlignment="1">
      <alignment horizontal="center"/>
    </xf>
    <xf numFmtId="0" fontId="23" fillId="13" borderId="45" xfId="0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164" fontId="9" fillId="15" borderId="34" xfId="3" applyNumberFormat="1" applyFill="1" applyBorder="1" applyAlignment="1">
      <alignment horizontal="center" vertical="center"/>
    </xf>
    <xf numFmtId="164" fontId="9" fillId="15" borderId="42" xfId="3" applyNumberFormat="1" applyFill="1" applyBorder="1" applyAlignment="1">
      <alignment horizontal="center" vertical="center"/>
    </xf>
    <xf numFmtId="164" fontId="9" fillId="15" borderId="16" xfId="3" applyNumberFormat="1" applyFill="1" applyBorder="1" applyAlignment="1">
      <alignment horizontal="center" vertical="center"/>
    </xf>
    <xf numFmtId="0" fontId="0" fillId="0" borderId="23" xfId="0" applyBorder="1"/>
    <xf numFmtId="0" fontId="0" fillId="0" borderId="47" xfId="0" applyBorder="1"/>
    <xf numFmtId="0" fontId="0" fillId="0" borderId="48" xfId="0" applyBorder="1"/>
    <xf numFmtId="0" fontId="9" fillId="22" borderId="33" xfId="12" applyFill="1" applyBorder="1" applyAlignment="1">
      <alignment wrapText="1"/>
    </xf>
    <xf numFmtId="164" fontId="9" fillId="22" borderId="11" xfId="3" applyNumberFormat="1" applyFill="1" applyBorder="1" applyAlignment="1">
      <alignment horizontal="center" vertical="center"/>
    </xf>
    <xf numFmtId="164" fontId="9" fillId="22" borderId="12" xfId="3" applyNumberFormat="1" applyFill="1" applyBorder="1" applyAlignment="1">
      <alignment horizontal="center" vertical="center"/>
    </xf>
    <xf numFmtId="164" fontId="9" fillId="22" borderId="2" xfId="3" applyNumberFormat="1" applyFill="1" applyBorder="1" applyAlignment="1">
      <alignment horizontal="center" vertical="center"/>
    </xf>
    <xf numFmtId="0" fontId="9" fillId="5" borderId="33" xfId="10" applyFill="1" applyBorder="1" applyAlignment="1">
      <alignment wrapText="1"/>
    </xf>
    <xf numFmtId="164" fontId="9" fillId="5" borderId="11" xfId="3" applyNumberFormat="1" applyFill="1" applyBorder="1" applyAlignment="1">
      <alignment horizontal="center" vertical="center"/>
    </xf>
    <xf numFmtId="164" fontId="9" fillId="5" borderId="12" xfId="3" applyNumberFormat="1" applyFill="1" applyBorder="1" applyAlignment="1">
      <alignment horizontal="center" vertical="center"/>
    </xf>
    <xf numFmtId="164" fontId="9" fillId="5" borderId="2" xfId="3" applyNumberFormat="1" applyFill="1" applyBorder="1" applyAlignment="1">
      <alignment horizontal="center" vertical="center"/>
    </xf>
    <xf numFmtId="164" fontId="9" fillId="5" borderId="7" xfId="3" applyNumberFormat="1" applyFill="1" applyBorder="1" applyAlignment="1">
      <alignment horizontal="center" vertical="center"/>
    </xf>
    <xf numFmtId="164" fontId="9" fillId="5" borderId="9" xfId="3" applyNumberFormat="1" applyFill="1" applyBorder="1" applyAlignment="1">
      <alignment horizontal="center" vertical="center"/>
    </xf>
    <xf numFmtId="164" fontId="9" fillId="5" borderId="8" xfId="3" applyNumberFormat="1" applyFill="1" applyBorder="1" applyAlignment="1">
      <alignment horizontal="center" vertical="center"/>
    </xf>
    <xf numFmtId="0" fontId="9" fillId="24" borderId="33" xfId="13" applyFill="1" applyBorder="1" applyAlignment="1">
      <alignment wrapText="1"/>
    </xf>
    <xf numFmtId="0" fontId="19" fillId="23" borderId="33" xfId="13" applyFont="1" applyFill="1" applyBorder="1" applyAlignment="1">
      <alignment wrapText="1"/>
    </xf>
    <xf numFmtId="0" fontId="1" fillId="2" borderId="2" xfId="1" applyFont="1" applyBorder="1" applyAlignment="1">
      <alignment horizontal="center"/>
    </xf>
    <xf numFmtId="164" fontId="9" fillId="17" borderId="46" xfId="3" applyNumberFormat="1" applyFill="1" applyBorder="1" applyAlignment="1">
      <alignment horizontal="center" vertical="center"/>
    </xf>
    <xf numFmtId="0" fontId="9" fillId="0" borderId="0" xfId="14" applyFill="1" applyAlignment="1">
      <alignment horizontal="center" vertical="center"/>
    </xf>
    <xf numFmtId="164" fontId="0" fillId="0" borderId="0" xfId="3" applyNumberFormat="1" applyFont="1" applyFill="1"/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7" fontId="9" fillId="0" borderId="0" xfId="14" applyNumberFormat="1" applyFill="1" applyAlignment="1">
      <alignment horizontal="center" vertical="center"/>
    </xf>
    <xf numFmtId="0" fontId="3" fillId="0" borderId="0" xfId="14" applyFont="1" applyFill="1" applyAlignment="1">
      <alignment horizontal="left" vertical="center"/>
    </xf>
    <xf numFmtId="0" fontId="16" fillId="0" borderId="0" xfId="0" applyFont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5" borderId="2" xfId="0" applyFill="1" applyBorder="1"/>
    <xf numFmtId="164" fontId="16" fillId="0" borderId="2" xfId="3" applyNumberFormat="1" applyFont="1" applyBorder="1" applyAlignment="1">
      <alignment horizontal="left" vertical="center"/>
    </xf>
    <xf numFmtId="0" fontId="3" fillId="0" borderId="32" xfId="0" applyFont="1" applyBorder="1"/>
    <xf numFmtId="164" fontId="3" fillId="0" borderId="32" xfId="3" applyNumberFormat="1" applyFont="1" applyBorder="1"/>
    <xf numFmtId="0" fontId="0" fillId="0" borderId="32" xfId="0" applyFont="1" applyBorder="1"/>
    <xf numFmtId="0" fontId="3" fillId="0" borderId="0" xfId="0" applyFont="1" applyAlignment="1">
      <alignment wrapText="1"/>
    </xf>
    <xf numFmtId="164" fontId="0" fillId="0" borderId="2" xfId="3" applyNumberFormat="1" applyFont="1" applyBorder="1"/>
    <xf numFmtId="164" fontId="7" fillId="0" borderId="2" xfId="3" applyNumberFormat="1" applyFont="1" applyFill="1" applyBorder="1"/>
    <xf numFmtId="0" fontId="1" fillId="2" borderId="18" xfId="1" applyNumberFormat="1" applyFont="1" applyBorder="1" applyAlignment="1">
      <alignment horizontal="center"/>
    </xf>
    <xf numFmtId="0" fontId="5" fillId="0" borderId="0" xfId="17" applyFont="1" applyFill="1" applyBorder="1" applyAlignment="1">
      <alignment horizontal="center" vertical="center" wrapText="1"/>
    </xf>
    <xf numFmtId="0" fontId="9" fillId="0" borderId="0" xfId="10" applyFill="1" applyBorder="1" applyAlignment="1">
      <alignment wrapText="1"/>
    </xf>
    <xf numFmtId="164" fontId="9" fillId="0" borderId="0" xfId="3" applyNumberFormat="1" applyFill="1" applyBorder="1" applyAlignment="1">
      <alignment horizontal="center" vertical="center"/>
    </xf>
    <xf numFmtId="164" fontId="0" fillId="0" borderId="0" xfId="0" applyNumberFormat="1" applyFill="1"/>
    <xf numFmtId="0" fontId="3" fillId="7" borderId="0" xfId="0" applyFont="1" applyFill="1"/>
    <xf numFmtId="0" fontId="25" fillId="30" borderId="0" xfId="16" applyFont="1" applyBorder="1" applyAlignment="1">
      <alignment horizontal="center" wrapText="1"/>
    </xf>
    <xf numFmtId="164" fontId="0" fillId="0" borderId="11" xfId="3" applyNumberFormat="1" applyFont="1" applyBorder="1"/>
    <xf numFmtId="164" fontId="0" fillId="0" borderId="33" xfId="3" applyNumberFormat="1" applyFont="1" applyBorder="1"/>
    <xf numFmtId="164" fontId="0" fillId="0" borderId="12" xfId="3" applyNumberFormat="1" applyFont="1" applyBorder="1"/>
    <xf numFmtId="0" fontId="0" fillId="35" borderId="2" xfId="0" applyFill="1" applyBorder="1"/>
    <xf numFmtId="0" fontId="0" fillId="35" borderId="33" xfId="0" applyFill="1" applyBorder="1"/>
    <xf numFmtId="164" fontId="0" fillId="35" borderId="11" xfId="3" applyNumberFormat="1" applyFont="1" applyFill="1" applyBorder="1"/>
    <xf numFmtId="164" fontId="0" fillId="35" borderId="2" xfId="3" applyNumberFormat="1" applyFont="1" applyFill="1" applyBorder="1"/>
    <xf numFmtId="164" fontId="0" fillId="35" borderId="33" xfId="3" applyNumberFormat="1" applyFont="1" applyFill="1" applyBorder="1"/>
    <xf numFmtId="164" fontId="0" fillId="35" borderId="12" xfId="3" applyNumberFormat="1" applyFont="1" applyFill="1" applyBorder="1"/>
    <xf numFmtId="0" fontId="9" fillId="35" borderId="33" xfId="10" applyFill="1" applyBorder="1" applyAlignment="1">
      <alignment wrapText="1"/>
    </xf>
    <xf numFmtId="164" fontId="9" fillId="35" borderId="7" xfId="3" applyNumberFormat="1" applyFill="1" applyBorder="1" applyAlignment="1">
      <alignment horizontal="center" vertical="center"/>
    </xf>
    <xf numFmtId="164" fontId="9" fillId="35" borderId="8" xfId="3" applyNumberFormat="1" applyFill="1" applyBorder="1" applyAlignment="1">
      <alignment horizontal="center" vertical="center"/>
    </xf>
    <xf numFmtId="164" fontId="9" fillId="35" borderId="49" xfId="3" applyNumberFormat="1" applyFill="1" applyBorder="1" applyAlignment="1">
      <alignment horizontal="center" vertical="center"/>
    </xf>
    <xf numFmtId="164" fontId="9" fillId="35" borderId="9" xfId="3" applyNumberFormat="1" applyFill="1" applyBorder="1" applyAlignment="1">
      <alignment horizontal="center" vertical="center"/>
    </xf>
    <xf numFmtId="0" fontId="0" fillId="35" borderId="10" xfId="0" applyFill="1" applyBorder="1"/>
    <xf numFmtId="0" fontId="0" fillId="35" borderId="55" xfId="0" applyFill="1" applyBorder="1"/>
    <xf numFmtId="0" fontId="0" fillId="32" borderId="2" xfId="0" applyFill="1" applyBorder="1"/>
    <xf numFmtId="0" fontId="0" fillId="32" borderId="33" xfId="0" applyFill="1" applyBorder="1"/>
    <xf numFmtId="164" fontId="0" fillId="32" borderId="11" xfId="3" applyNumberFormat="1" applyFont="1" applyFill="1" applyBorder="1"/>
    <xf numFmtId="164" fontId="0" fillId="32" borderId="2" xfId="3" applyNumberFormat="1" applyFont="1" applyFill="1" applyBorder="1"/>
    <xf numFmtId="164" fontId="0" fillId="32" borderId="12" xfId="3" applyNumberFormat="1" applyFont="1" applyFill="1" applyBorder="1"/>
    <xf numFmtId="164" fontId="9" fillId="0" borderId="43" xfId="3" applyNumberFormat="1" applyFill="1" applyBorder="1" applyAlignment="1">
      <alignment horizontal="center" vertical="center"/>
    </xf>
    <xf numFmtId="164" fontId="9" fillId="0" borderId="17" xfId="3" applyNumberFormat="1" applyFill="1" applyBorder="1" applyAlignment="1">
      <alignment horizontal="center" vertical="center"/>
    </xf>
    <xf numFmtId="0" fontId="3" fillId="29" borderId="21" xfId="15" applyFont="1" applyBorder="1" applyAlignment="1">
      <alignment horizontal="center"/>
    </xf>
    <xf numFmtId="0" fontId="3" fillId="29" borderId="28" xfId="15" applyFont="1" applyBorder="1" applyAlignment="1">
      <alignment horizontal="center"/>
    </xf>
    <xf numFmtId="0" fontId="3" fillId="29" borderId="44" xfId="15" applyFont="1" applyBorder="1" applyAlignment="1">
      <alignment horizontal="center"/>
    </xf>
    <xf numFmtId="0" fontId="3" fillId="12" borderId="21" xfId="9" applyFont="1" applyBorder="1" applyAlignment="1">
      <alignment horizontal="center"/>
    </xf>
    <xf numFmtId="0" fontId="3" fillId="12" borderId="28" xfId="9" applyFont="1" applyBorder="1" applyAlignment="1">
      <alignment horizontal="center"/>
    </xf>
    <xf numFmtId="0" fontId="3" fillId="12" borderId="29" xfId="9" applyFont="1" applyBorder="1" applyAlignment="1">
      <alignment horizontal="center"/>
    </xf>
    <xf numFmtId="0" fontId="9" fillId="32" borderId="38" xfId="10" applyFill="1" applyBorder="1" applyAlignment="1">
      <alignment wrapText="1"/>
    </xf>
    <xf numFmtId="0" fontId="0" fillId="32" borderId="38" xfId="0" applyFill="1" applyBorder="1"/>
    <xf numFmtId="164" fontId="9" fillId="32" borderId="52" xfId="3" applyNumberFormat="1" applyFill="1" applyBorder="1" applyAlignment="1">
      <alignment horizontal="center" vertical="center"/>
    </xf>
    <xf numFmtId="164" fontId="9" fillId="32" borderId="50" xfId="3" applyNumberFormat="1" applyFill="1" applyBorder="1" applyAlignment="1">
      <alignment horizontal="center" vertical="center"/>
    </xf>
    <xf numFmtId="164" fontId="9" fillId="32" borderId="53" xfId="3" applyNumberFormat="1" applyFill="1" applyBorder="1" applyAlignment="1">
      <alignment horizontal="center" vertical="center"/>
    </xf>
    <xf numFmtId="0" fontId="0" fillId="32" borderId="55" xfId="0" applyFill="1" applyBorder="1"/>
    <xf numFmtId="0" fontId="0" fillId="32" borderId="39" xfId="0" applyFill="1" applyBorder="1"/>
    <xf numFmtId="164" fontId="0" fillId="32" borderId="56" xfId="3" applyNumberFormat="1" applyFont="1" applyFill="1" applyBorder="1"/>
    <xf numFmtId="164" fontId="0" fillId="32" borderId="55" xfId="3" applyNumberFormat="1" applyFont="1" applyFill="1" applyBorder="1"/>
    <xf numFmtId="164" fontId="0" fillId="32" borderId="57" xfId="3" applyNumberFormat="1" applyFont="1" applyFill="1" applyBorder="1"/>
    <xf numFmtId="0" fontId="9" fillId="0" borderId="0" xfId="14" applyFill="1" applyAlignment="1">
      <alignment horizontal="left" vertical="center"/>
    </xf>
    <xf numFmtId="0" fontId="0" fillId="0" borderId="0" xfId="0" quotePrefix="1" applyFill="1"/>
    <xf numFmtId="0" fontId="28" fillId="0" borderId="0" xfId="18"/>
    <xf numFmtId="0" fontId="3" fillId="0" borderId="0" xfId="0" applyFont="1" applyAlignment="1"/>
    <xf numFmtId="17" fontId="0" fillId="0" borderId="0" xfId="0" applyNumberFormat="1" applyFont="1" applyFill="1" applyAlignment="1">
      <alignment horizontal="center" vertical="center"/>
    </xf>
    <xf numFmtId="0" fontId="0" fillId="7" borderId="0" xfId="0" applyFill="1"/>
    <xf numFmtId="16" fontId="0" fillId="0" borderId="0" xfId="0" applyNumberFormat="1" applyAlignment="1">
      <alignment wrapText="1"/>
    </xf>
    <xf numFmtId="16" fontId="0" fillId="0" borderId="0" xfId="0" applyNumberFormat="1"/>
    <xf numFmtId="0" fontId="0" fillId="13" borderId="0" xfId="0" applyFill="1"/>
    <xf numFmtId="0" fontId="0" fillId="36" borderId="0" xfId="0" applyFill="1"/>
    <xf numFmtId="0" fontId="1" fillId="2" borderId="0" xfId="1" applyAlignment="1">
      <alignment wrapText="1"/>
    </xf>
    <xf numFmtId="0" fontId="3" fillId="7" borderId="0" xfId="0" applyFont="1" applyFill="1" applyAlignment="1">
      <alignment wrapText="1"/>
    </xf>
    <xf numFmtId="0" fontId="0" fillId="33" borderId="0" xfId="0" applyFill="1"/>
    <xf numFmtId="0" fontId="0" fillId="22" borderId="0" xfId="0" applyFill="1"/>
    <xf numFmtId="0" fontId="1" fillId="0" borderId="0" xfId="1" applyFill="1"/>
    <xf numFmtId="0" fontId="19" fillId="34" borderId="0" xfId="0" applyFont="1" applyFill="1"/>
    <xf numFmtId="0" fontId="10" fillId="36" borderId="0" xfId="0" applyFont="1" applyFill="1"/>
    <xf numFmtId="0" fontId="3" fillId="7" borderId="1" xfId="2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29" fillId="7" borderId="0" xfId="0" applyFont="1" applyFill="1" applyAlignment="1"/>
    <xf numFmtId="0" fontId="0" fillId="0" borderId="2" xfId="0" applyBorder="1"/>
    <xf numFmtId="0" fontId="0" fillId="0" borderId="2" xfId="0" applyBorder="1" applyAlignment="1">
      <alignment wrapText="1"/>
    </xf>
    <xf numFmtId="0" fontId="0" fillId="36" borderId="2" xfId="0" applyFill="1" applyBorder="1"/>
    <xf numFmtId="0" fontId="0" fillId="33" borderId="2" xfId="0" applyFill="1" applyBorder="1"/>
    <xf numFmtId="0" fontId="0" fillId="13" borderId="2" xfId="0" applyFill="1" applyBorder="1"/>
    <xf numFmtId="0" fontId="0" fillId="0" borderId="10" xfId="0" applyBorder="1"/>
    <xf numFmtId="0" fontId="0" fillId="13" borderId="10" xfId="0" applyFill="1" applyBorder="1"/>
    <xf numFmtId="0" fontId="0" fillId="0" borderId="50" xfId="0" applyBorder="1"/>
    <xf numFmtId="0" fontId="17" fillId="2" borderId="2" xfId="1" applyFont="1" applyBorder="1" applyAlignment="1">
      <alignment horizontal="center" vertical="center" wrapText="1"/>
    </xf>
    <xf numFmtId="0" fontId="0" fillId="7" borderId="2" xfId="0" applyFill="1" applyBorder="1"/>
    <xf numFmtId="0" fontId="0" fillId="28" borderId="2" xfId="0" applyFill="1" applyBorder="1"/>
    <xf numFmtId="0" fontId="0" fillId="22" borderId="10" xfId="0" applyFill="1" applyBorder="1"/>
    <xf numFmtId="0" fontId="23" fillId="7" borderId="0" xfId="0" applyFont="1" applyFill="1"/>
    <xf numFmtId="0" fontId="32" fillId="2" borderId="2" xfId="1" applyFont="1" applyBorder="1" applyAlignment="1">
      <alignment horizontal="center" vertical="center" wrapText="1"/>
    </xf>
    <xf numFmtId="0" fontId="32" fillId="2" borderId="2" xfId="1" applyFont="1" applyBorder="1" applyAlignment="1">
      <alignment horizontal="center" vertical="center"/>
    </xf>
    <xf numFmtId="0" fontId="32" fillId="2" borderId="2" xfId="1" applyFont="1" applyBorder="1"/>
    <xf numFmtId="0" fontId="31" fillId="38" borderId="1" xfId="20"/>
    <xf numFmtId="0" fontId="19" fillId="34" borderId="2" xfId="0" applyFont="1" applyFill="1" applyBorder="1" applyAlignment="1">
      <alignment horizontal="center" vertical="center"/>
    </xf>
    <xf numFmtId="0" fontId="33" fillId="37" borderId="2" xfId="19" applyFont="1" applyBorder="1"/>
    <xf numFmtId="2" fontId="0" fillId="0" borderId="2" xfId="0" applyNumberFormat="1" applyBorder="1" applyAlignment="1">
      <alignment horizontal="center" vertical="center"/>
    </xf>
    <xf numFmtId="0" fontId="3" fillId="25" borderId="26" xfId="0" applyFont="1" applyFill="1" applyBorder="1" applyAlignment="1">
      <alignment horizontal="center" vertical="center"/>
    </xf>
    <xf numFmtId="164" fontId="31" fillId="38" borderId="1" xfId="20" applyNumberFormat="1"/>
    <xf numFmtId="164" fontId="31" fillId="38" borderId="1" xfId="20" applyNumberFormat="1" applyAlignment="1">
      <alignment horizontal="center" vertical="center"/>
    </xf>
    <xf numFmtId="0" fontId="34" fillId="37" borderId="27" xfId="19" applyFont="1" applyBorder="1"/>
    <xf numFmtId="0" fontId="26" fillId="7" borderId="0" xfId="15" applyFont="1" applyFill="1" applyAlignment="1">
      <alignment horizontal="center" vertical="center"/>
    </xf>
    <xf numFmtId="0" fontId="3" fillId="0" borderId="0" xfId="0" applyFont="1" applyBorder="1"/>
    <xf numFmtId="164" fontId="3" fillId="0" borderId="0" xfId="3" applyNumberFormat="1" applyFont="1" applyBorder="1"/>
    <xf numFmtId="0" fontId="32" fillId="2" borderId="0" xfId="1" applyFont="1"/>
    <xf numFmtId="0" fontId="0" fillId="35" borderId="25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164" fontId="0" fillId="35" borderId="15" xfId="3" applyNumberFormat="1" applyFont="1" applyFill="1" applyBorder="1" applyAlignment="1"/>
    <xf numFmtId="164" fontId="0" fillId="35" borderId="10" xfId="3" applyNumberFormat="1" applyFont="1" applyFill="1" applyBorder="1" applyAlignment="1"/>
    <xf numFmtId="164" fontId="0" fillId="35" borderId="58" xfId="3" applyNumberFormat="1" applyFont="1" applyFill="1" applyBorder="1" applyAlignment="1"/>
    <xf numFmtId="164" fontId="0" fillId="35" borderId="11" xfId="3" applyNumberFormat="1" applyFont="1" applyFill="1" applyBorder="1" applyAlignment="1"/>
    <xf numFmtId="164" fontId="0" fillId="35" borderId="2" xfId="3" applyNumberFormat="1" applyFont="1" applyFill="1" applyBorder="1" applyAlignment="1"/>
    <xf numFmtId="164" fontId="0" fillId="35" borderId="12" xfId="3" applyNumberFormat="1" applyFont="1" applyFill="1" applyBorder="1" applyAlignment="1"/>
    <xf numFmtId="164" fontId="31" fillId="38" borderId="1" xfId="20" applyNumberFormat="1" applyAlignment="1">
      <alignment wrapText="1"/>
    </xf>
    <xf numFmtId="164" fontId="0" fillId="35" borderId="18" xfId="3" applyNumberFormat="1" applyFont="1" applyFill="1" applyBorder="1" applyAlignment="1"/>
    <xf numFmtId="0" fontId="4" fillId="39" borderId="0" xfId="0" applyFont="1" applyFill="1" applyAlignment="1">
      <alignment horizontal="center" wrapText="1"/>
    </xf>
    <xf numFmtId="0" fontId="4" fillId="35" borderId="0" xfId="0" applyFont="1" applyFill="1" applyAlignment="1">
      <alignment horizontal="center" wrapText="1"/>
    </xf>
    <xf numFmtId="0" fontId="36" fillId="0" borderId="0" xfId="0" applyFont="1"/>
    <xf numFmtId="164" fontId="31" fillId="38" borderId="60" xfId="20" applyNumberFormat="1" applyBorder="1"/>
    <xf numFmtId="0" fontId="35" fillId="39" borderId="2" xfId="16" applyFont="1" applyFill="1" applyBorder="1" applyAlignment="1">
      <alignment horizontal="center" vertical="center" wrapText="1"/>
    </xf>
    <xf numFmtId="164" fontId="0" fillId="0" borderId="2" xfId="3" applyNumberFormat="1" applyFont="1" applyFill="1" applyBorder="1"/>
    <xf numFmtId="0" fontId="35" fillId="39" borderId="18" xfId="16" applyFont="1" applyFill="1" applyBorder="1" applyAlignment="1">
      <alignment horizontal="center" vertical="center" wrapText="1"/>
    </xf>
    <xf numFmtId="164" fontId="31" fillId="38" borderId="61" xfId="20" applyNumberFormat="1" applyBorder="1"/>
    <xf numFmtId="164" fontId="31" fillId="38" borderId="62" xfId="20" applyNumberFormat="1" applyBorder="1"/>
    <xf numFmtId="164" fontId="4" fillId="0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0" fillId="35" borderId="20" xfId="3" applyNumberFormat="1" applyFont="1" applyFill="1" applyBorder="1" applyAlignment="1"/>
    <xf numFmtId="164" fontId="31" fillId="38" borderId="62" xfId="20" applyNumberFormat="1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26" borderId="2" xfId="0" applyFill="1" applyBorder="1"/>
    <xf numFmtId="0" fontId="0" fillId="26" borderId="33" xfId="0" applyFill="1" applyBorder="1" applyAlignment="1">
      <alignment horizontal="center" vertical="center"/>
    </xf>
    <xf numFmtId="164" fontId="0" fillId="26" borderId="11" xfId="3" applyNumberFormat="1" applyFont="1" applyFill="1" applyBorder="1" applyAlignment="1"/>
    <xf numFmtId="164" fontId="0" fillId="26" borderId="2" xfId="3" applyNumberFormat="1" applyFont="1" applyFill="1" applyBorder="1" applyAlignment="1"/>
    <xf numFmtId="164" fontId="0" fillId="26" borderId="12" xfId="3" applyNumberFormat="1" applyFont="1" applyFill="1" applyBorder="1" applyAlignment="1"/>
    <xf numFmtId="0" fontId="0" fillId="26" borderId="50" xfId="0" applyFill="1" applyBorder="1"/>
    <xf numFmtId="0" fontId="0" fillId="26" borderId="38" xfId="0" applyFill="1" applyBorder="1" applyAlignment="1">
      <alignment horizontal="center" vertical="center"/>
    </xf>
    <xf numFmtId="164" fontId="0" fillId="26" borderId="52" xfId="3" applyNumberFormat="1" applyFont="1" applyFill="1" applyBorder="1" applyAlignment="1"/>
    <xf numFmtId="164" fontId="0" fillId="26" borderId="50" xfId="3" applyNumberFormat="1" applyFont="1" applyFill="1" applyBorder="1" applyAlignment="1"/>
    <xf numFmtId="164" fontId="0" fillId="26" borderId="53" xfId="3" applyNumberFormat="1" applyFont="1" applyFill="1" applyBorder="1" applyAlignment="1"/>
    <xf numFmtId="0" fontId="0" fillId="39" borderId="22" xfId="0" applyFill="1" applyBorder="1" applyAlignment="1">
      <alignment horizontal="center" vertical="center"/>
    </xf>
    <xf numFmtId="164" fontId="9" fillId="39" borderId="11" xfId="3" applyNumberFormat="1" applyFill="1" applyBorder="1" applyAlignment="1"/>
    <xf numFmtId="164" fontId="9" fillId="39" borderId="2" xfId="3" applyNumberFormat="1" applyFill="1" applyBorder="1" applyAlignment="1"/>
    <xf numFmtId="164" fontId="9" fillId="39" borderId="12" xfId="3" applyNumberFormat="1" applyFill="1" applyBorder="1" applyAlignment="1"/>
    <xf numFmtId="0" fontId="0" fillId="39" borderId="38" xfId="0" applyFill="1" applyBorder="1" applyAlignment="1">
      <alignment horizontal="center" vertical="center"/>
    </xf>
    <xf numFmtId="164" fontId="9" fillId="39" borderId="52" xfId="3" applyNumberFormat="1" applyFill="1" applyBorder="1" applyAlignment="1"/>
    <xf numFmtId="164" fontId="9" fillId="39" borderId="50" xfId="3" applyNumberFormat="1" applyFill="1" applyBorder="1" applyAlignment="1"/>
    <xf numFmtId="164" fontId="9" fillId="39" borderId="53" xfId="3" applyNumberFormat="1" applyFill="1" applyBorder="1" applyAlignment="1"/>
    <xf numFmtId="0" fontId="0" fillId="39" borderId="33" xfId="0" applyFill="1" applyBorder="1" applyAlignment="1">
      <alignment horizontal="center" vertical="center"/>
    </xf>
    <xf numFmtId="164" fontId="0" fillId="39" borderId="11" xfId="0" applyNumberFormat="1" applyFill="1" applyBorder="1" applyAlignment="1">
      <alignment horizontal="center" vertical="center"/>
    </xf>
    <xf numFmtId="164" fontId="0" fillId="39" borderId="2" xfId="0" applyNumberFormat="1" applyFill="1" applyBorder="1" applyAlignment="1">
      <alignment horizontal="center" vertical="center"/>
    </xf>
    <xf numFmtId="164" fontId="0" fillId="39" borderId="12" xfId="0" applyNumberFormat="1" applyFill="1" applyBorder="1" applyAlignment="1">
      <alignment horizontal="center" vertical="center"/>
    </xf>
    <xf numFmtId="164" fontId="0" fillId="39" borderId="7" xfId="0" applyNumberFormat="1" applyFill="1" applyBorder="1" applyAlignment="1">
      <alignment horizontal="center" vertical="center"/>
    </xf>
    <xf numFmtId="164" fontId="0" fillId="39" borderId="8" xfId="0" applyNumberFormat="1" applyFill="1" applyBorder="1" applyAlignment="1">
      <alignment horizontal="center" vertical="center"/>
    </xf>
    <xf numFmtId="164" fontId="0" fillId="39" borderId="9" xfId="0" applyNumberFormat="1" applyFill="1" applyBorder="1" applyAlignment="1">
      <alignment horizontal="center" vertical="center"/>
    </xf>
    <xf numFmtId="164" fontId="9" fillId="40" borderId="2" xfId="3" applyNumberFormat="1" applyFill="1" applyBorder="1" applyAlignment="1"/>
    <xf numFmtId="0" fontId="32" fillId="2" borderId="21" xfId="1" applyFont="1" applyBorder="1" applyAlignment="1">
      <alignment horizontal="center" vertical="center"/>
    </xf>
    <xf numFmtId="0" fontId="32" fillId="2" borderId="28" xfId="1" applyFont="1" applyBorder="1" applyAlignment="1">
      <alignment horizontal="center" vertical="center"/>
    </xf>
    <xf numFmtId="0" fontId="32" fillId="2" borderId="29" xfId="1" applyFont="1" applyBorder="1" applyAlignment="1">
      <alignment horizontal="center" vertical="center"/>
    </xf>
    <xf numFmtId="3" fontId="31" fillId="38" borderId="1" xfId="20" applyNumberFormat="1"/>
    <xf numFmtId="0" fontId="1" fillId="24" borderId="2" xfId="1" applyFont="1" applyFill="1" applyBorder="1" applyAlignment="1">
      <alignment vertical="center" wrapText="1"/>
    </xf>
    <xf numFmtId="0" fontId="1" fillId="2" borderId="2" xfId="1" applyFont="1" applyBorder="1" applyAlignment="1">
      <alignment vertical="center"/>
    </xf>
    <xf numFmtId="164" fontId="1" fillId="2" borderId="2" xfId="3" applyNumberFormat="1" applyFont="1" applyFill="1" applyBorder="1" applyAlignment="1">
      <alignment vertical="center"/>
    </xf>
    <xf numFmtId="0" fontId="32" fillId="2" borderId="59" xfId="1" applyFont="1" applyBorder="1" applyAlignment="1">
      <alignment horizontal="center" vertical="center"/>
    </xf>
    <xf numFmtId="164" fontId="0" fillId="26" borderId="18" xfId="3" applyNumberFormat="1" applyFont="1" applyFill="1" applyBorder="1" applyAlignment="1"/>
    <xf numFmtId="164" fontId="0" fillId="26" borderId="37" xfId="3" applyNumberFormat="1" applyFont="1" applyFill="1" applyBorder="1" applyAlignment="1"/>
    <xf numFmtId="164" fontId="9" fillId="39" borderId="18" xfId="3" applyNumberFormat="1" applyFill="1" applyBorder="1" applyAlignment="1"/>
    <xf numFmtId="164" fontId="9" fillId="39" borderId="37" xfId="3" applyNumberFormat="1" applyFill="1" applyBorder="1" applyAlignment="1"/>
    <xf numFmtId="164" fontId="0" fillId="39" borderId="18" xfId="0" applyNumberFormat="1" applyFill="1" applyBorder="1" applyAlignment="1">
      <alignment horizontal="center" vertical="center"/>
    </xf>
    <xf numFmtId="164" fontId="0" fillId="39" borderId="63" xfId="0" applyNumberFormat="1" applyFill="1" applyBorder="1" applyAlignment="1">
      <alignment horizontal="center" vertical="center"/>
    </xf>
    <xf numFmtId="164" fontId="9" fillId="40" borderId="11" xfId="3" applyNumberFormat="1" applyFill="1" applyBorder="1" applyAlignment="1"/>
    <xf numFmtId="164" fontId="0" fillId="28" borderId="2" xfId="0" applyNumberFormat="1" applyFill="1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164" fontId="0" fillId="33" borderId="2" xfId="0" applyNumberFormat="1" applyFill="1" applyBorder="1" applyAlignment="1">
      <alignment horizontal="center" vertical="center"/>
    </xf>
    <xf numFmtId="164" fontId="9" fillId="41" borderId="2" xfId="3" applyNumberFormat="1" applyFill="1" applyBorder="1" applyAlignment="1"/>
    <xf numFmtId="164" fontId="9" fillId="40" borderId="50" xfId="3" applyNumberFormat="1" applyFill="1" applyBorder="1" applyAlignment="1"/>
    <xf numFmtId="164" fontId="9" fillId="40" borderId="18" xfId="3" applyNumberFormat="1" applyFill="1" applyBorder="1" applyAlignment="1"/>
    <xf numFmtId="0" fontId="38" fillId="2" borderId="2" xfId="1" applyFont="1" applyBorder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2" fillId="2" borderId="33" xfId="1" applyFont="1" applyBorder="1" applyAlignment="1">
      <alignment horizontal="center" vertical="center"/>
    </xf>
    <xf numFmtId="0" fontId="3" fillId="25" borderId="0" xfId="0" applyFont="1" applyFill="1" applyBorder="1" applyAlignment="1">
      <alignment horizontal="center" vertical="center"/>
    </xf>
    <xf numFmtId="0" fontId="38" fillId="2" borderId="5" xfId="1" applyFont="1" applyBorder="1" applyAlignment="1">
      <alignment horizontal="center" vertical="center"/>
    </xf>
    <xf numFmtId="0" fontId="32" fillId="2" borderId="75" xfId="1" applyFont="1" applyBorder="1" applyAlignment="1">
      <alignment horizontal="center" vertical="center"/>
    </xf>
    <xf numFmtId="0" fontId="32" fillId="2" borderId="6" xfId="1" applyFont="1" applyBorder="1" applyAlignment="1">
      <alignment horizontal="center" vertical="center"/>
    </xf>
    <xf numFmtId="164" fontId="7" fillId="0" borderId="11" xfId="3" applyNumberFormat="1" applyFont="1" applyFill="1" applyBorder="1"/>
    <xf numFmtId="164" fontId="0" fillId="0" borderId="11" xfId="3" applyNumberFormat="1" applyFont="1" applyFill="1" applyBorder="1"/>
    <xf numFmtId="164" fontId="3" fillId="0" borderId="76" xfId="3" applyNumberFormat="1" applyFont="1" applyBorder="1"/>
    <xf numFmtId="164" fontId="3" fillId="0" borderId="77" xfId="3" applyNumberFormat="1" applyFont="1" applyBorder="1"/>
    <xf numFmtId="164" fontId="3" fillId="0" borderId="78" xfId="3" applyNumberFormat="1" applyFont="1" applyBorder="1"/>
    <xf numFmtId="164" fontId="19" fillId="34" borderId="11" xfId="3" applyNumberFormat="1" applyFont="1" applyFill="1" applyBorder="1"/>
    <xf numFmtId="164" fontId="3" fillId="0" borderId="7" xfId="3" applyNumberFormat="1" applyFont="1" applyBorder="1"/>
    <xf numFmtId="164" fontId="3" fillId="0" borderId="8" xfId="3" applyNumberFormat="1" applyFont="1" applyBorder="1"/>
    <xf numFmtId="164" fontId="3" fillId="0" borderId="9" xfId="3" applyNumberFormat="1" applyFont="1" applyBorder="1"/>
    <xf numFmtId="164" fontId="3" fillId="0" borderId="0" xfId="3" applyNumberFormat="1" applyFont="1" applyBorder="1" applyAlignment="1">
      <alignment horizontal="center" vertical="center"/>
    </xf>
    <xf numFmtId="0" fontId="32" fillId="2" borderId="0" xfId="1" quotePrefix="1" applyFont="1" applyBorder="1" applyAlignment="1">
      <alignment horizontal="center" vertical="center"/>
    </xf>
    <xf numFmtId="164" fontId="9" fillId="0" borderId="0" xfId="3" applyNumberFormat="1" applyFill="1" applyBorder="1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40" fillId="7" borderId="0" xfId="0" applyFont="1" applyFill="1"/>
    <xf numFmtId="0" fontId="0" fillId="0" borderId="0" xfId="0" applyAlignment="1">
      <alignment horizontal="center"/>
    </xf>
    <xf numFmtId="0" fontId="41" fillId="0" borderId="0" xfId="0" applyFont="1"/>
    <xf numFmtId="0" fontId="1" fillId="2" borderId="2" xfId="1" applyBorder="1"/>
    <xf numFmtId="0" fontId="42" fillId="25" borderId="2" xfId="1" applyFont="1" applyFill="1" applyBorder="1"/>
    <xf numFmtId="0" fontId="43" fillId="0" borderId="0" xfId="1" applyFont="1" applyFill="1" applyAlignment="1">
      <alignment vertical="center"/>
    </xf>
    <xf numFmtId="0" fontId="1" fillId="2" borderId="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4" fillId="0" borderId="14" xfId="0" applyFont="1" applyBorder="1" applyAlignment="1">
      <alignment horizontal="center"/>
    </xf>
    <xf numFmtId="0" fontId="40" fillId="43" borderId="79" xfId="19" applyFont="1" applyFill="1" applyBorder="1"/>
    <xf numFmtId="0" fontId="0" fillId="43" borderId="5" xfId="0" applyFill="1" applyBorder="1" applyAlignment="1">
      <alignment horizontal="center"/>
    </xf>
    <xf numFmtId="6" fontId="0" fillId="0" borderId="0" xfId="0" applyNumberFormat="1"/>
    <xf numFmtId="0" fontId="2" fillId="43" borderId="2" xfId="2" applyFill="1" applyBorder="1" applyAlignment="1">
      <alignment horizontal="center"/>
    </xf>
    <xf numFmtId="0" fontId="3" fillId="44" borderId="48" xfId="0" applyFont="1" applyFill="1" applyBorder="1" applyAlignment="1">
      <alignment horizontal="right"/>
    </xf>
    <xf numFmtId="0" fontId="3" fillId="44" borderId="7" xfId="0" applyFont="1" applyFill="1" applyBorder="1" applyAlignment="1">
      <alignment horizontal="center"/>
    </xf>
    <xf numFmtId="0" fontId="3" fillId="44" borderId="8" xfId="0" applyFont="1" applyFill="1" applyBorder="1" applyAlignment="1">
      <alignment horizontal="center"/>
    </xf>
    <xf numFmtId="0" fontId="3" fillId="44" borderId="9" xfId="0" applyFont="1" applyFill="1" applyBorder="1" applyAlignment="1">
      <alignment horizontal="center"/>
    </xf>
    <xf numFmtId="0" fontId="3" fillId="5" borderId="79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2" fillId="3" borderId="82" xfId="2" applyBorder="1" applyAlignment="1">
      <alignment horizontal="center"/>
    </xf>
    <xf numFmtId="0" fontId="0" fillId="5" borderId="7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81" xfId="0" applyFont="1" applyFill="1" applyBorder="1" applyAlignment="1">
      <alignment horizontal="left"/>
    </xf>
    <xf numFmtId="0" fontId="2" fillId="3" borderId="83" xfId="2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5" borderId="11" xfId="0" applyFill="1" applyBorder="1" applyAlignment="1">
      <alignment horizontal="center"/>
    </xf>
    <xf numFmtId="0" fontId="3" fillId="5" borderId="48" xfId="0" applyFont="1" applyFill="1" applyBorder="1" applyAlignment="1">
      <alignment horizontal="left"/>
    </xf>
    <xf numFmtId="0" fontId="3" fillId="22" borderId="7" xfId="0" applyFont="1" applyFill="1" applyBorder="1" applyAlignment="1">
      <alignment horizontal="center"/>
    </xf>
    <xf numFmtId="0" fontId="3" fillId="22" borderId="8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39" borderId="79" xfId="0" applyFont="1" applyFill="1" applyBorder="1" applyAlignment="1">
      <alignment horizontal="left"/>
    </xf>
    <xf numFmtId="0" fontId="3" fillId="39" borderId="5" xfId="0" applyFont="1" applyFill="1" applyBorder="1" applyAlignment="1">
      <alignment horizontal="center"/>
    </xf>
    <xf numFmtId="0" fontId="0" fillId="39" borderId="75" xfId="0" applyFill="1" applyBorder="1" applyAlignment="1">
      <alignment horizontal="center"/>
    </xf>
    <xf numFmtId="0" fontId="0" fillId="39" borderId="6" xfId="0" applyFill="1" applyBorder="1" applyAlignment="1">
      <alignment horizontal="center"/>
    </xf>
    <xf numFmtId="0" fontId="3" fillId="39" borderId="48" xfId="0" applyFont="1" applyFill="1" applyBorder="1" applyAlignment="1">
      <alignment horizontal="left"/>
    </xf>
    <xf numFmtId="0" fontId="3" fillId="39" borderId="11" xfId="0" applyFont="1" applyFill="1" applyBorder="1" applyAlignment="1">
      <alignment horizontal="center"/>
    </xf>
    <xf numFmtId="0" fontId="0" fillId="39" borderId="2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6" fontId="3" fillId="35" borderId="7" xfId="0" applyNumberFormat="1" applyFont="1" applyFill="1" applyBorder="1" applyAlignment="1">
      <alignment horizontal="center"/>
    </xf>
    <xf numFmtId="6" fontId="3" fillId="35" borderId="8" xfId="0" applyNumberFormat="1" applyFont="1" applyFill="1" applyBorder="1" applyAlignment="1">
      <alignment horizontal="center"/>
    </xf>
    <xf numFmtId="6" fontId="3" fillId="35" borderId="9" xfId="0" applyNumberFormat="1" applyFont="1" applyFill="1" applyBorder="1" applyAlignment="1">
      <alignment horizontal="center"/>
    </xf>
    <xf numFmtId="6" fontId="3" fillId="35" borderId="0" xfId="0" applyNumberFormat="1" applyFont="1" applyFill="1" applyAlignment="1">
      <alignment horizontal="center"/>
    </xf>
    <xf numFmtId="0" fontId="3" fillId="39" borderId="84" xfId="0" applyFont="1" applyFill="1" applyBorder="1" applyAlignment="1">
      <alignment horizontal="left"/>
    </xf>
    <xf numFmtId="0" fontId="1" fillId="2" borderId="2" xfId="1" applyBorder="1" applyAlignment="1">
      <alignment horizontal="center"/>
    </xf>
    <xf numFmtId="0" fontId="1" fillId="25" borderId="2" xfId="1" applyFill="1" applyBorder="1" applyAlignment="1">
      <alignment horizontal="center"/>
    </xf>
    <xf numFmtId="0" fontId="46" fillId="0" borderId="0" xfId="0" applyFont="1"/>
    <xf numFmtId="0" fontId="3" fillId="39" borderId="16" xfId="0" applyFont="1" applyFill="1" applyBorder="1" applyAlignment="1">
      <alignment horizontal="center"/>
    </xf>
    <xf numFmtId="6" fontId="3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2" fillId="3" borderId="85" xfId="2" applyBorder="1" applyAlignment="1">
      <alignment horizontal="center"/>
    </xf>
    <xf numFmtId="0" fontId="3" fillId="44" borderId="87" xfId="0" applyFont="1" applyFill="1" applyBorder="1" applyAlignment="1">
      <alignment horizontal="center"/>
    </xf>
    <xf numFmtId="0" fontId="3" fillId="44" borderId="88" xfId="0" applyFont="1" applyFill="1" applyBorder="1" applyAlignment="1">
      <alignment horizontal="center"/>
    </xf>
    <xf numFmtId="0" fontId="3" fillId="44" borderId="89" xfId="0" applyFont="1" applyFill="1" applyBorder="1" applyAlignment="1">
      <alignment horizontal="center"/>
    </xf>
    <xf numFmtId="0" fontId="3" fillId="5" borderId="84" xfId="0" applyFont="1" applyFill="1" applyBorder="1" applyAlignment="1">
      <alignment horizontal="left"/>
    </xf>
    <xf numFmtId="0" fontId="3" fillId="5" borderId="7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9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0" xfId="0" applyFont="1" applyFill="1" applyBorder="1" applyAlignment="1">
      <alignment horizontal="left"/>
    </xf>
    <xf numFmtId="0" fontId="3" fillId="39" borderId="9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1" fillId="26" borderId="0" xfId="1" applyFill="1" applyBorder="1" applyAlignment="1">
      <alignment horizontal="right"/>
    </xf>
    <xf numFmtId="0" fontId="47" fillId="26" borderId="5" xfId="0" applyFont="1" applyFill="1" applyBorder="1" applyAlignment="1">
      <alignment horizontal="center"/>
    </xf>
    <xf numFmtId="0" fontId="47" fillId="26" borderId="75" xfId="0" applyFont="1" applyFill="1" applyBorder="1" applyAlignment="1">
      <alignment horizontal="center"/>
    </xf>
    <xf numFmtId="0" fontId="47" fillId="26" borderId="6" xfId="0" applyFont="1" applyFill="1" applyBorder="1" applyAlignment="1">
      <alignment horizontal="center"/>
    </xf>
    <xf numFmtId="0" fontId="47" fillId="26" borderId="11" xfId="0" applyFont="1" applyFill="1" applyBorder="1" applyAlignment="1">
      <alignment horizontal="center"/>
    </xf>
    <xf numFmtId="0" fontId="47" fillId="26" borderId="2" xfId="0" applyFont="1" applyFill="1" applyBorder="1" applyAlignment="1">
      <alignment horizontal="center"/>
    </xf>
    <xf numFmtId="0" fontId="47" fillId="26" borderId="12" xfId="0" applyFont="1" applyFill="1" applyBorder="1" applyAlignment="1">
      <alignment horizontal="center"/>
    </xf>
    <xf numFmtId="0" fontId="47" fillId="26" borderId="7" xfId="0" applyFont="1" applyFill="1" applyBorder="1" applyAlignment="1">
      <alignment horizontal="center"/>
    </xf>
    <xf numFmtId="0" fontId="47" fillId="26" borderId="8" xfId="0" applyFont="1" applyFill="1" applyBorder="1" applyAlignment="1">
      <alignment horizontal="center"/>
    </xf>
    <xf numFmtId="0" fontId="47" fillId="26" borderId="9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9" fillId="0" borderId="0" xfId="21" applyFill="1" applyAlignment="1">
      <alignment horizontal="left"/>
    </xf>
    <xf numFmtId="0" fontId="39" fillId="0" borderId="0" xfId="21" applyFill="1" applyAlignment="1">
      <alignment horizontal="center"/>
    </xf>
    <xf numFmtId="0" fontId="45" fillId="5" borderId="75" xfId="0" applyFont="1" applyFill="1" applyBorder="1" applyAlignment="1">
      <alignment horizontal="center"/>
    </xf>
    <xf numFmtId="0" fontId="45" fillId="5" borderId="6" xfId="0" applyFont="1" applyFill="1" applyBorder="1" applyAlignment="1">
      <alignment horizontal="center"/>
    </xf>
    <xf numFmtId="0" fontId="40" fillId="43" borderId="84" xfId="19" applyFont="1" applyFill="1" applyBorder="1"/>
    <xf numFmtId="0" fontId="3" fillId="44" borderId="90" xfId="0" applyFont="1" applyFill="1" applyBorder="1" applyAlignment="1">
      <alignment horizontal="right"/>
    </xf>
    <xf numFmtId="0" fontId="3" fillId="35" borderId="92" xfId="0" applyFont="1" applyFill="1" applyBorder="1" applyAlignment="1">
      <alignment horizontal="right"/>
    </xf>
    <xf numFmtId="0" fontId="50" fillId="37" borderId="0" xfId="19" applyFont="1"/>
    <xf numFmtId="0" fontId="10" fillId="0" borderId="0" xfId="0" applyFont="1" applyAlignment="1">
      <alignment horizontal="center"/>
    </xf>
    <xf numFmtId="0" fontId="5" fillId="11" borderId="0" xfId="8" applyFont="1"/>
    <xf numFmtId="0" fontId="47" fillId="26" borderId="15" xfId="0" applyFont="1" applyFill="1" applyBorder="1" applyAlignment="1">
      <alignment horizontal="center"/>
    </xf>
    <xf numFmtId="0" fontId="47" fillId="26" borderId="10" xfId="0" applyFont="1" applyFill="1" applyBorder="1" applyAlignment="1">
      <alignment horizontal="center"/>
    </xf>
    <xf numFmtId="0" fontId="47" fillId="26" borderId="58" xfId="0" applyFont="1" applyFill="1" applyBorder="1" applyAlignment="1">
      <alignment horizontal="center"/>
    </xf>
    <xf numFmtId="0" fontId="1" fillId="2" borderId="0" xfId="1" applyBorder="1"/>
    <xf numFmtId="0" fontId="47" fillId="26" borderId="95" xfId="0" applyFont="1" applyFill="1" applyBorder="1" applyAlignment="1">
      <alignment horizontal="center"/>
    </xf>
    <xf numFmtId="0" fontId="47" fillId="26" borderId="25" xfId="0" applyFont="1" applyFill="1" applyBorder="1" applyAlignment="1">
      <alignment horizontal="center"/>
    </xf>
    <xf numFmtId="0" fontId="47" fillId="26" borderId="33" xfId="0" applyFont="1" applyFill="1" applyBorder="1" applyAlignment="1">
      <alignment horizontal="center"/>
    </xf>
    <xf numFmtId="0" fontId="47" fillId="26" borderId="49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7" fillId="26" borderId="63" xfId="0" applyFont="1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47" fillId="26" borderId="78" xfId="0" applyFont="1" applyFill="1" applyBorder="1" applyAlignment="1">
      <alignment horizontal="center"/>
    </xf>
    <xf numFmtId="0" fontId="3" fillId="44" borderId="78" xfId="0" applyFont="1" applyFill="1" applyBorder="1" applyAlignment="1">
      <alignment horizontal="center"/>
    </xf>
    <xf numFmtId="0" fontId="0" fillId="5" borderId="96" xfId="0" applyFill="1" applyBorder="1" applyAlignment="1">
      <alignment horizontal="center"/>
    </xf>
    <xf numFmtId="0" fontId="0" fillId="39" borderId="96" xfId="0" applyFill="1" applyBorder="1" applyAlignment="1">
      <alignment horizontal="center"/>
    </xf>
    <xf numFmtId="0" fontId="0" fillId="39" borderId="46" xfId="0" applyFill="1" applyBorder="1" applyAlignment="1">
      <alignment horizontal="center"/>
    </xf>
    <xf numFmtId="6" fontId="3" fillId="35" borderId="78" xfId="0" applyNumberFormat="1" applyFont="1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3" fillId="44" borderId="49" xfId="0" applyFont="1" applyFill="1" applyBorder="1" applyAlignment="1">
      <alignment horizontal="center"/>
    </xf>
    <xf numFmtId="0" fontId="0" fillId="5" borderId="95" xfId="0" applyFill="1" applyBorder="1" applyAlignment="1">
      <alignment horizontal="center"/>
    </xf>
    <xf numFmtId="0" fontId="3" fillId="22" borderId="49" xfId="0" applyFont="1" applyFill="1" applyBorder="1" applyAlignment="1">
      <alignment horizontal="center"/>
    </xf>
    <xf numFmtId="0" fontId="0" fillId="39" borderId="95" xfId="0" applyFill="1" applyBorder="1" applyAlignment="1">
      <alignment horizontal="center"/>
    </xf>
    <xf numFmtId="0" fontId="0" fillId="39" borderId="33" xfId="0" applyFill="1" applyBorder="1" applyAlignment="1">
      <alignment horizontal="center"/>
    </xf>
    <xf numFmtId="6" fontId="3" fillId="35" borderId="49" xfId="0" applyNumberFormat="1" applyFont="1" applyFill="1" applyBorder="1" applyAlignment="1">
      <alignment horizontal="center"/>
    </xf>
    <xf numFmtId="0" fontId="3" fillId="35" borderId="76" xfId="0" applyFont="1" applyFill="1" applyBorder="1" applyAlignment="1">
      <alignment horizontal="right"/>
    </xf>
    <xf numFmtId="0" fontId="3" fillId="44" borderId="63" xfId="0" applyFont="1" applyFill="1" applyBorder="1" applyAlignment="1">
      <alignment horizontal="center"/>
    </xf>
    <xf numFmtId="0" fontId="0" fillId="5" borderId="10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3" fillId="22" borderId="63" xfId="0" applyFont="1" applyFill="1" applyBorder="1" applyAlignment="1">
      <alignment horizontal="center"/>
    </xf>
    <xf numFmtId="0" fontId="0" fillId="39" borderId="100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6" fontId="3" fillId="35" borderId="63" xfId="0" applyNumberFormat="1" applyFont="1" applyFill="1" applyBorder="1" applyAlignment="1">
      <alignment horizontal="center"/>
    </xf>
    <xf numFmtId="0" fontId="45" fillId="5" borderId="95" xfId="0" applyFont="1" applyFill="1" applyBorder="1" applyAlignment="1">
      <alignment horizontal="center"/>
    </xf>
    <xf numFmtId="0" fontId="45" fillId="5" borderId="96" xfId="0" applyFont="1" applyFill="1" applyBorder="1" applyAlignment="1">
      <alignment horizontal="center"/>
    </xf>
    <xf numFmtId="0" fontId="32" fillId="2" borderId="21" xfId="1" applyFont="1" applyBorder="1" applyAlignment="1">
      <alignment horizontal="center"/>
    </xf>
    <xf numFmtId="0" fontId="32" fillId="2" borderId="59" xfId="1" applyFont="1" applyBorder="1" applyAlignment="1">
      <alignment horizontal="center"/>
    </xf>
    <xf numFmtId="0" fontId="32" fillId="2" borderId="29" xfId="1" applyFont="1" applyBorder="1" applyAlignment="1">
      <alignment horizontal="center"/>
    </xf>
    <xf numFmtId="0" fontId="32" fillId="2" borderId="28" xfId="1" applyFont="1" applyBorder="1" applyAlignment="1">
      <alignment horizontal="center"/>
    </xf>
    <xf numFmtId="0" fontId="32" fillId="2" borderId="44" xfId="1" applyFont="1" applyBorder="1" applyAlignment="1">
      <alignment horizontal="center"/>
    </xf>
    <xf numFmtId="0" fontId="32" fillId="2" borderId="99" xfId="1" applyFont="1" applyBorder="1" applyAlignment="1">
      <alignment horizontal="center"/>
    </xf>
    <xf numFmtId="0" fontId="32" fillId="2" borderId="4" xfId="1" applyFont="1" applyBorder="1" applyAlignment="1">
      <alignment horizontal="center"/>
    </xf>
    <xf numFmtId="0" fontId="3" fillId="5" borderId="95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96" xfId="0" applyFont="1" applyFill="1" applyBorder="1" applyAlignment="1">
      <alignment horizontal="center"/>
    </xf>
    <xf numFmtId="0" fontId="1" fillId="26" borderId="0" xfId="1" applyFont="1" applyFill="1" applyBorder="1" applyAlignment="1">
      <alignment horizontal="right"/>
    </xf>
    <xf numFmtId="0" fontId="42" fillId="26" borderId="0" xfId="1" applyFont="1" applyFill="1" applyBorder="1" applyAlignment="1">
      <alignment horizontal="right"/>
    </xf>
    <xf numFmtId="0" fontId="2" fillId="3" borderId="101" xfId="2" applyBorder="1" applyAlignment="1">
      <alignment horizontal="center"/>
    </xf>
    <xf numFmtId="0" fontId="3" fillId="44" borderId="102" xfId="0" applyFont="1" applyFill="1" applyBorder="1" applyAlignment="1">
      <alignment horizontal="center"/>
    </xf>
    <xf numFmtId="0" fontId="3" fillId="44" borderId="98" xfId="0" applyFont="1" applyFill="1" applyBorder="1" applyAlignment="1">
      <alignment horizontal="center"/>
    </xf>
    <xf numFmtId="0" fontId="2" fillId="3" borderId="105" xfId="2" applyBorder="1" applyAlignment="1">
      <alignment horizontal="center"/>
    </xf>
    <xf numFmtId="0" fontId="3" fillId="22" borderId="92" xfId="0" applyFont="1" applyFill="1" applyBorder="1" applyAlignment="1">
      <alignment horizontal="left"/>
    </xf>
    <xf numFmtId="0" fontId="3" fillId="44" borderId="106" xfId="0" applyFont="1" applyFill="1" applyBorder="1" applyAlignment="1">
      <alignment horizontal="center"/>
    </xf>
    <xf numFmtId="0" fontId="3" fillId="5" borderId="100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7" fillId="26" borderId="81" xfId="0" applyFont="1" applyFill="1" applyBorder="1" applyAlignment="1">
      <alignment horizontal="center"/>
    </xf>
    <xf numFmtId="0" fontId="3" fillId="44" borderId="107" xfId="0" applyFont="1" applyFill="1" applyBorder="1" applyAlignment="1">
      <alignment horizontal="center"/>
    </xf>
    <xf numFmtId="0" fontId="0" fillId="5" borderId="79" xfId="0" applyFill="1" applyBorder="1" applyAlignment="1">
      <alignment horizontal="center"/>
    </xf>
    <xf numFmtId="0" fontId="2" fillId="3" borderId="108" xfId="2" applyBorder="1" applyAlignment="1">
      <alignment horizontal="center"/>
    </xf>
    <xf numFmtId="0" fontId="3" fillId="5" borderId="81" xfId="0" applyFont="1" applyFill="1" applyBorder="1" applyAlignment="1">
      <alignment horizontal="center"/>
    </xf>
    <xf numFmtId="0" fontId="3" fillId="22" borderId="76" xfId="0" applyFont="1" applyFill="1" applyBorder="1" applyAlignment="1">
      <alignment horizontal="center"/>
    </xf>
    <xf numFmtId="0" fontId="47" fillId="26" borderId="18" xfId="0" applyFont="1" applyFill="1" applyBorder="1" applyAlignment="1">
      <alignment horizontal="center"/>
    </xf>
    <xf numFmtId="0" fontId="45" fillId="5" borderId="5" xfId="0" applyFont="1" applyFill="1" applyBorder="1" applyAlignment="1">
      <alignment horizontal="center"/>
    </xf>
    <xf numFmtId="0" fontId="47" fillId="26" borderId="100" xfId="0" applyFont="1" applyFill="1" applyBorder="1" applyAlignment="1">
      <alignment horizontal="center"/>
    </xf>
    <xf numFmtId="0" fontId="47" fillId="26" borderId="20" xfId="0" applyFont="1" applyFill="1" applyBorder="1" applyAlignment="1">
      <alignment horizontal="center"/>
    </xf>
    <xf numFmtId="0" fontId="45" fillId="5" borderId="100" xfId="0" applyFon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25" xfId="0" applyFill="1" applyBorder="1" applyAlignment="1">
      <alignment horizontal="center"/>
    </xf>
    <xf numFmtId="0" fontId="0" fillId="39" borderId="97" xfId="0" applyFill="1" applyBorder="1" applyAlignment="1">
      <alignment horizontal="center"/>
    </xf>
    <xf numFmtId="0" fontId="51" fillId="42" borderId="0" xfId="21" applyFont="1"/>
    <xf numFmtId="0" fontId="51" fillId="45" borderId="0" xfId="21" applyFont="1" applyFill="1"/>
    <xf numFmtId="0" fontId="0" fillId="5" borderId="1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91" xfId="0" applyFill="1" applyBorder="1" applyAlignment="1">
      <alignment horizontal="center"/>
    </xf>
    <xf numFmtId="0" fontId="3" fillId="5" borderId="79" xfId="0" applyFont="1" applyFill="1" applyBorder="1" applyAlignment="1">
      <alignment horizontal="right"/>
    </xf>
    <xf numFmtId="0" fontId="3" fillId="5" borderId="76" xfId="0" applyFont="1" applyFill="1" applyBorder="1" applyAlignment="1">
      <alignment horizontal="left"/>
    </xf>
    <xf numFmtId="0" fontId="47" fillId="26" borderId="84" xfId="0" applyFont="1" applyFill="1" applyBorder="1" applyAlignment="1">
      <alignment horizontal="center"/>
    </xf>
    <xf numFmtId="0" fontId="47" fillId="26" borderId="86" xfId="0" applyFont="1" applyFill="1" applyBorder="1" applyAlignment="1">
      <alignment horizontal="center"/>
    </xf>
    <xf numFmtId="0" fontId="47" fillId="26" borderId="91" xfId="0" applyFont="1" applyFill="1" applyBorder="1" applyAlignment="1">
      <alignment horizontal="center"/>
    </xf>
    <xf numFmtId="0" fontId="47" fillId="26" borderId="92" xfId="0" applyFont="1" applyFill="1" applyBorder="1" applyAlignment="1">
      <alignment horizontal="center"/>
    </xf>
    <xf numFmtId="0" fontId="3" fillId="5" borderId="84" xfId="0" applyFont="1" applyFill="1" applyBorder="1" applyAlignment="1">
      <alignment horizontal="center"/>
    </xf>
    <xf numFmtId="0" fontId="2" fillId="3" borderId="109" xfId="2" applyBorder="1" applyAlignment="1">
      <alignment horizontal="center"/>
    </xf>
    <xf numFmtId="0" fontId="44" fillId="26" borderId="84" xfId="0" applyFont="1" applyFill="1" applyBorder="1" applyAlignment="1">
      <alignment horizontal="center"/>
    </xf>
    <xf numFmtId="0" fontId="3" fillId="5" borderId="80" xfId="0" applyFont="1" applyFill="1" applyBorder="1" applyAlignment="1">
      <alignment horizontal="left"/>
    </xf>
    <xf numFmtId="0" fontId="47" fillId="26" borderId="59" xfId="0" applyFont="1" applyFill="1" applyBorder="1" applyAlignment="1">
      <alignment horizontal="center"/>
    </xf>
    <xf numFmtId="0" fontId="32" fillId="2" borderId="93" xfId="1" applyFont="1" applyBorder="1" applyAlignment="1">
      <alignment horizontal="center"/>
    </xf>
    <xf numFmtId="0" fontId="2" fillId="3" borderId="110" xfId="2" applyBorder="1" applyAlignment="1">
      <alignment horizontal="center"/>
    </xf>
    <xf numFmtId="0" fontId="0" fillId="5" borderId="8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97" xfId="0" applyFill="1" applyBorder="1" applyAlignment="1">
      <alignment horizontal="center"/>
    </xf>
    <xf numFmtId="0" fontId="2" fillId="3" borderId="92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63" xfId="2" applyBorder="1" applyAlignment="1">
      <alignment horizontal="center"/>
    </xf>
    <xf numFmtId="0" fontId="2" fillId="3" borderId="49" xfId="2" applyBorder="1" applyAlignment="1">
      <alignment horizontal="center"/>
    </xf>
    <xf numFmtId="0" fontId="2" fillId="3" borderId="7" xfId="2" applyBorder="1" applyAlignment="1">
      <alignment horizontal="center"/>
    </xf>
    <xf numFmtId="1" fontId="47" fillId="26" borderId="59" xfId="0" applyNumberFormat="1" applyFont="1" applyFill="1" applyBorder="1" applyAlignment="1">
      <alignment horizontal="center"/>
    </xf>
    <xf numFmtId="1" fontId="45" fillId="5" borderId="100" xfId="0" applyNumberFormat="1" applyFont="1" applyFill="1" applyBorder="1" applyAlignment="1">
      <alignment horizontal="center"/>
    </xf>
    <xf numFmtId="0" fontId="47" fillId="45" borderId="59" xfId="0" applyFont="1" applyFill="1" applyBorder="1" applyAlignment="1">
      <alignment horizontal="center"/>
    </xf>
    <xf numFmtId="9" fontId="0" fillId="0" borderId="0" xfId="0" applyNumberFormat="1"/>
    <xf numFmtId="9" fontId="31" fillId="38" borderId="1" xfId="20" applyNumberFormat="1"/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0" fillId="0" borderId="111" xfId="0" applyBorder="1"/>
    <xf numFmtId="0" fontId="0" fillId="0" borderId="98" xfId="0" applyBorder="1"/>
    <xf numFmtId="0" fontId="0" fillId="4" borderId="0" xfId="0" applyFill="1" applyBorder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3" fillId="7" borderId="0" xfId="0" applyFont="1" applyFill="1" applyAlignment="1"/>
    <xf numFmtId="0" fontId="3" fillId="7" borderId="0" xfId="14" applyFont="1" applyFill="1" applyAlignment="1">
      <alignment horizontal="left" vertical="center"/>
    </xf>
    <xf numFmtId="0" fontId="0" fillId="0" borderId="107" xfId="0" applyBorder="1"/>
    <xf numFmtId="3" fontId="0" fillId="0" borderId="0" xfId="0" applyNumberForma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 wrapText="1"/>
    </xf>
    <xf numFmtId="166" fontId="0" fillId="0" borderId="0" xfId="0" applyNumberFormat="1"/>
    <xf numFmtId="3" fontId="0" fillId="26" borderId="0" xfId="0" applyNumberFormat="1" applyFill="1"/>
    <xf numFmtId="164" fontId="0" fillId="26" borderId="0" xfId="0" applyNumberFormat="1" applyFill="1"/>
    <xf numFmtId="164" fontId="0" fillId="26" borderId="0" xfId="3" applyNumberFormat="1" applyFont="1" applyFill="1" applyAlignment="1">
      <alignment horizontal="center" vertical="center"/>
    </xf>
    <xf numFmtId="164" fontId="7" fillId="0" borderId="0" xfId="3" applyNumberFormat="1" applyFont="1" applyFill="1" applyBorder="1"/>
    <xf numFmtId="0" fontId="0" fillId="46" borderId="0" xfId="0" applyFill="1"/>
    <xf numFmtId="0" fontId="0" fillId="46" borderId="0" xfId="0" applyFill="1" applyAlignment="1">
      <alignment horizontal="center" vertical="center"/>
    </xf>
    <xf numFmtId="0" fontId="0" fillId="46" borderId="0" xfId="0" applyFill="1" applyAlignment="1">
      <alignment horizontal="center"/>
    </xf>
    <xf numFmtId="0" fontId="0" fillId="46" borderId="0" xfId="0" applyFill="1" applyBorder="1"/>
    <xf numFmtId="0" fontId="0" fillId="46" borderId="24" xfId="0" applyFill="1" applyBorder="1"/>
    <xf numFmtId="0" fontId="0" fillId="46" borderId="14" xfId="0" applyFill="1" applyBorder="1"/>
    <xf numFmtId="164" fontId="0" fillId="46" borderId="0" xfId="3" applyNumberFormat="1" applyFont="1" applyFill="1" applyAlignment="1">
      <alignment horizontal="center" vertical="center"/>
    </xf>
    <xf numFmtId="164" fontId="0" fillId="46" borderId="0" xfId="3" applyNumberFormat="1" applyFont="1" applyFill="1" applyBorder="1"/>
    <xf numFmtId="0" fontId="4" fillId="46" borderId="0" xfId="0" applyFont="1" applyFill="1" applyAlignment="1">
      <alignment horizontal="right"/>
    </xf>
    <xf numFmtId="164" fontId="4" fillId="46" borderId="24" xfId="0" applyNumberFormat="1" applyFont="1" applyFill="1" applyBorder="1"/>
    <xf numFmtId="0" fontId="4" fillId="46" borderId="0" xfId="0" applyFont="1" applyFill="1"/>
    <xf numFmtId="164" fontId="4" fillId="46" borderId="0" xfId="0" applyNumberFormat="1" applyFont="1" applyFill="1"/>
    <xf numFmtId="0" fontId="4" fillId="46" borderId="14" xfId="0" applyFont="1" applyFill="1" applyBorder="1"/>
    <xf numFmtId="0" fontId="4" fillId="46" borderId="0" xfId="0" applyFont="1" applyFill="1" applyBorder="1"/>
    <xf numFmtId="3" fontId="4" fillId="46" borderId="24" xfId="0" applyNumberFormat="1" applyFont="1" applyFill="1" applyBorder="1"/>
    <xf numFmtId="3" fontId="4" fillId="46" borderId="0" xfId="0" applyNumberFormat="1" applyFont="1" applyFill="1"/>
    <xf numFmtId="164" fontId="0" fillId="46" borderId="0" xfId="0" applyNumberFormat="1" applyFill="1"/>
    <xf numFmtId="3" fontId="0" fillId="47" borderId="0" xfId="0" applyNumberFormat="1" applyFill="1"/>
    <xf numFmtId="164" fontId="0" fillId="47" borderId="0" xfId="3" applyNumberFormat="1" applyFont="1" applyFill="1"/>
    <xf numFmtId="43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167" fontId="10" fillId="0" borderId="0" xfId="0" applyNumberFormat="1" applyFon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Alignment="1">
      <alignment horizontal="right" vertical="center" wrapText="1"/>
    </xf>
    <xf numFmtId="164" fontId="0" fillId="0" borderId="32" xfId="0" applyNumberFormat="1" applyBorder="1"/>
    <xf numFmtId="0" fontId="52" fillId="46" borderId="0" xfId="0" applyFont="1" applyFill="1"/>
    <xf numFmtId="0" fontId="53" fillId="46" borderId="0" xfId="0" applyFont="1" applyFill="1"/>
    <xf numFmtId="0" fontId="53" fillId="46" borderId="0" xfId="0" applyFont="1" applyFill="1" applyAlignment="1">
      <alignment horizontal="center" vertical="center"/>
    </xf>
    <xf numFmtId="0" fontId="53" fillId="46" borderId="0" xfId="0" applyFont="1" applyFill="1" applyAlignment="1">
      <alignment horizontal="center"/>
    </xf>
    <xf numFmtId="164" fontId="53" fillId="46" borderId="0" xfId="3" applyNumberFormat="1" applyFont="1" applyFill="1" applyAlignment="1">
      <alignment horizontal="center" vertical="center"/>
    </xf>
    <xf numFmtId="0" fontId="54" fillId="46" borderId="0" xfId="0" applyFont="1" applyFill="1"/>
    <xf numFmtId="0" fontId="54" fillId="46" borderId="0" xfId="0" applyFont="1" applyFill="1" applyAlignment="1">
      <alignment horizontal="center" vertical="center"/>
    </xf>
    <xf numFmtId="164" fontId="55" fillId="46" borderId="0" xfId="3" applyNumberFormat="1" applyFont="1" applyFill="1" applyAlignment="1">
      <alignment horizontal="center" vertical="center"/>
    </xf>
    <xf numFmtId="0" fontId="53" fillId="46" borderId="32" xfId="0" applyFont="1" applyFill="1" applyBorder="1"/>
    <xf numFmtId="164" fontId="54" fillId="46" borderId="32" xfId="3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vertical="top"/>
    </xf>
    <xf numFmtId="166" fontId="0" fillId="0" borderId="0" xfId="0" applyNumberFormat="1" applyAlignment="1">
      <alignment vertical="center" wrapText="1"/>
    </xf>
    <xf numFmtId="0" fontId="3" fillId="0" borderId="0" xfId="0" applyFont="1" applyBorder="1" applyAlignment="1">
      <alignment horizontal="center" wrapText="1"/>
    </xf>
    <xf numFmtId="164" fontId="0" fillId="0" borderId="0" xfId="0" applyNumberFormat="1" applyBorder="1"/>
    <xf numFmtId="0" fontId="10" fillId="0" borderId="67" xfId="0" applyFont="1" applyFill="1" applyBorder="1"/>
    <xf numFmtId="0" fontId="0" fillId="0" borderId="68" xfId="0" applyFill="1" applyBorder="1"/>
    <xf numFmtId="0" fontId="0" fillId="0" borderId="45" xfId="0" applyFill="1" applyBorder="1"/>
    <xf numFmtId="0" fontId="9" fillId="6" borderId="43" xfId="4" applyBorder="1"/>
    <xf numFmtId="0" fontId="10" fillId="0" borderId="0" xfId="0" applyFont="1" applyFill="1" applyBorder="1"/>
    <xf numFmtId="0" fontId="10" fillId="0" borderId="17" xfId="0" applyFont="1" applyFill="1" applyBorder="1"/>
    <xf numFmtId="0" fontId="3" fillId="0" borderId="0" xfId="0" applyFont="1" applyBorder="1" applyAlignment="1">
      <alignment horizontal="center"/>
    </xf>
    <xf numFmtId="0" fontId="3" fillId="0" borderId="17" xfId="0" applyFont="1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11" xfId="0" applyBorder="1" applyAlignment="1">
      <alignment horizontal="center" vertical="center"/>
    </xf>
    <xf numFmtId="0" fontId="16" fillId="0" borderId="67" xfId="0" applyFont="1" applyBorder="1"/>
    <xf numFmtId="0" fontId="0" fillId="0" borderId="68" xfId="0" applyBorder="1"/>
    <xf numFmtId="164" fontId="0" fillId="0" borderId="68" xfId="0" applyNumberFormat="1" applyBorder="1"/>
    <xf numFmtId="0" fontId="0" fillId="0" borderId="45" xfId="0" applyBorder="1"/>
    <xf numFmtId="164" fontId="0" fillId="7" borderId="0" xfId="3" applyNumberFormat="1" applyFont="1" applyFill="1" applyBorder="1"/>
    <xf numFmtId="164" fontId="16" fillId="0" borderId="0" xfId="3" applyNumberFormat="1" applyFont="1" applyFill="1" applyBorder="1" applyAlignment="1">
      <alignment horizontal="center" vertical="center"/>
    </xf>
    <xf numFmtId="164" fontId="16" fillId="0" borderId="0" xfId="3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43" fontId="0" fillId="0" borderId="107" xfId="0" applyNumberFormat="1" applyBorder="1"/>
    <xf numFmtId="0" fontId="10" fillId="0" borderId="67" xfId="0" applyFont="1" applyBorder="1"/>
    <xf numFmtId="0" fontId="0" fillId="0" borderId="68" xfId="0" applyBorder="1" applyAlignment="1">
      <alignment horizontal="center" vertical="center"/>
    </xf>
    <xf numFmtId="0" fontId="10" fillId="0" borderId="0" xfId="0" applyFont="1" applyBorder="1"/>
    <xf numFmtId="0" fontId="32" fillId="2" borderId="0" xfId="1" applyFont="1" applyBorder="1" applyAlignment="1">
      <alignment horizontal="center" vertical="center"/>
    </xf>
    <xf numFmtId="0" fontId="5" fillId="0" borderId="0" xfId="0" applyFont="1" applyBorder="1"/>
    <xf numFmtId="3" fontId="0" fillId="0" borderId="0" xfId="0" applyNumberFormat="1" applyBorder="1"/>
    <xf numFmtId="164" fontId="0" fillId="0" borderId="17" xfId="3" applyNumberFormat="1" applyFon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4" fontId="0" fillId="0" borderId="114" xfId="3" applyNumberFormat="1" applyFont="1" applyBorder="1" applyAlignment="1">
      <alignment horizontal="center" vertical="center"/>
    </xf>
    <xf numFmtId="164" fontId="0" fillId="0" borderId="111" xfId="3" applyNumberFormat="1" applyFont="1" applyBorder="1" applyAlignment="1">
      <alignment horizontal="center" vertical="center"/>
    </xf>
    <xf numFmtId="0" fontId="0" fillId="0" borderId="67" xfId="0" applyBorder="1"/>
    <xf numFmtId="0" fontId="3" fillId="0" borderId="17" xfId="0" applyFont="1" applyBorder="1" applyAlignment="1">
      <alignment horizontal="center" vertical="center"/>
    </xf>
    <xf numFmtId="164" fontId="13" fillId="0" borderId="0" xfId="3" applyNumberFormat="1" applyFont="1" applyFill="1" applyBorder="1" applyAlignment="1">
      <alignment horizontal="center" vertical="center"/>
    </xf>
    <xf numFmtId="164" fontId="9" fillId="0" borderId="0" xfId="3" applyNumberFormat="1" applyFont="1" applyFill="1" applyBorder="1" applyAlignment="1">
      <alignment horizontal="center" vertical="center"/>
    </xf>
    <xf numFmtId="164" fontId="9" fillId="0" borderId="17" xfId="3" applyNumberFormat="1" applyFont="1" applyFill="1" applyBorder="1" applyAlignment="1">
      <alignment horizontal="center" vertical="center"/>
    </xf>
    <xf numFmtId="164" fontId="3" fillId="0" borderId="114" xfId="3" applyNumberFormat="1" applyFont="1" applyBorder="1" applyAlignment="1">
      <alignment horizontal="center" vertical="center"/>
    </xf>
    <xf numFmtId="165" fontId="0" fillId="0" borderId="0" xfId="3" applyNumberFormat="1" applyFont="1" applyBorder="1" applyAlignment="1">
      <alignment horizontal="center" vertical="center"/>
    </xf>
    <xf numFmtId="0" fontId="0" fillId="47" borderId="0" xfId="0" applyFill="1"/>
    <xf numFmtId="0" fontId="3" fillId="47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3" fillId="48" borderId="0" xfId="0" applyFont="1" applyFill="1"/>
    <xf numFmtId="0" fontId="4" fillId="48" borderId="0" xfId="0" applyFont="1" applyFill="1"/>
    <xf numFmtId="0" fontId="0" fillId="48" borderId="0" xfId="0" applyFill="1"/>
    <xf numFmtId="0" fontId="32" fillId="48" borderId="2" xfId="1" applyFont="1" applyFill="1" applyBorder="1" applyAlignment="1">
      <alignment horizontal="center" vertical="center" wrapText="1"/>
    </xf>
    <xf numFmtId="0" fontId="32" fillId="48" borderId="2" xfId="1" applyFont="1" applyFill="1" applyBorder="1" applyAlignment="1">
      <alignment horizontal="center" vertical="center"/>
    </xf>
    <xf numFmtId="0" fontId="0" fillId="48" borderId="2" xfId="0" applyFill="1" applyBorder="1" applyAlignment="1">
      <alignment wrapText="1"/>
    </xf>
    <xf numFmtId="0" fontId="0" fillId="48" borderId="2" xfId="0" applyFill="1" applyBorder="1"/>
    <xf numFmtId="0" fontId="31" fillId="48" borderId="1" xfId="20" applyFill="1"/>
    <xf numFmtId="0" fontId="0" fillId="48" borderId="50" xfId="0" applyFill="1" applyBorder="1"/>
    <xf numFmtId="0" fontId="0" fillId="48" borderId="10" xfId="0" applyFill="1" applyBorder="1"/>
    <xf numFmtId="1" fontId="0" fillId="0" borderId="2" xfId="0" applyNumberFormat="1" applyBorder="1" applyAlignment="1">
      <alignment horizontal="center" vertical="center"/>
    </xf>
    <xf numFmtId="0" fontId="0" fillId="48" borderId="0" xfId="0" applyFill="1" applyAlignment="1">
      <alignment wrapText="1"/>
    </xf>
    <xf numFmtId="16" fontId="0" fillId="48" borderId="0" xfId="0" applyNumberFormat="1" applyFill="1" applyAlignment="1">
      <alignment wrapText="1"/>
    </xf>
    <xf numFmtId="0" fontId="19" fillId="48" borderId="0" xfId="0" applyFont="1" applyFill="1"/>
    <xf numFmtId="16" fontId="3" fillId="0" borderId="54" xfId="0" applyNumberFormat="1" applyFont="1" applyBorder="1" applyAlignment="1">
      <alignment vertical="center"/>
    </xf>
    <xf numFmtId="16" fontId="3" fillId="0" borderId="27" xfId="0" applyNumberFormat="1" applyFont="1" applyBorder="1" applyAlignment="1">
      <alignment vertical="center"/>
    </xf>
    <xf numFmtId="16" fontId="3" fillId="0" borderId="10" xfId="0" applyNumberFormat="1" applyFont="1" applyBorder="1" applyAlignment="1">
      <alignment vertical="center"/>
    </xf>
    <xf numFmtId="0" fontId="3" fillId="48" borderId="0" xfId="0" applyFont="1" applyFill="1"/>
    <xf numFmtId="164" fontId="31" fillId="48" borderId="1" xfId="20" applyNumberFormat="1" applyFill="1"/>
    <xf numFmtId="164" fontId="0" fillId="48" borderId="0" xfId="3" applyNumberFormat="1" applyFont="1" applyFill="1"/>
    <xf numFmtId="9" fontId="31" fillId="48" borderId="1" xfId="20" applyNumberFormat="1" applyFill="1"/>
    <xf numFmtId="2" fontId="0" fillId="48" borderId="2" xfId="0" applyNumberForma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 wrapText="1"/>
    </xf>
    <xf numFmtId="0" fontId="33" fillId="0" borderId="2" xfId="19" applyFont="1" applyFill="1" applyBorder="1"/>
    <xf numFmtId="0" fontId="0" fillId="0" borderId="2" xfId="0" applyFill="1" applyBorder="1"/>
    <xf numFmtId="0" fontId="31" fillId="0" borderId="1" xfId="20" applyFill="1"/>
    <xf numFmtId="164" fontId="19" fillId="28" borderId="1" xfId="20" applyNumberFormat="1" applyFont="1" applyFill="1"/>
    <xf numFmtId="0" fontId="0" fillId="49" borderId="0" xfId="0" applyFill="1"/>
    <xf numFmtId="0" fontId="0" fillId="49" borderId="0" xfId="0" applyFill="1" applyAlignment="1">
      <alignment wrapText="1"/>
    </xf>
    <xf numFmtId="0" fontId="32" fillId="49" borderId="2" xfId="1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3" fontId="0" fillId="7" borderId="32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2" fillId="2" borderId="13" xfId="1" applyFont="1" applyBorder="1" applyAlignment="1">
      <alignment horizontal="center"/>
    </xf>
    <xf numFmtId="0" fontId="32" fillId="2" borderId="4" xfId="1" applyFont="1" applyBorder="1" applyAlignment="1">
      <alignment horizontal="center"/>
    </xf>
    <xf numFmtId="0" fontId="32" fillId="2" borderId="99" xfId="1" applyFont="1" applyBorder="1" applyAlignment="1">
      <alignment horizontal="center"/>
    </xf>
    <xf numFmtId="0" fontId="0" fillId="0" borderId="0" xfId="0" applyAlignment="1">
      <alignment horizontal="center"/>
    </xf>
    <xf numFmtId="0" fontId="32" fillId="2" borderId="13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2" fillId="2" borderId="69" xfId="1" applyFont="1" applyBorder="1" applyAlignment="1">
      <alignment horizontal="center"/>
    </xf>
    <xf numFmtId="0" fontId="32" fillId="2" borderId="5" xfId="1" applyFont="1" applyBorder="1" applyAlignment="1">
      <alignment horizontal="center"/>
    </xf>
    <xf numFmtId="0" fontId="32" fillId="2" borderId="75" xfId="1" applyFont="1" applyBorder="1" applyAlignment="1">
      <alignment horizontal="center"/>
    </xf>
    <xf numFmtId="0" fontId="32" fillId="2" borderId="6" xfId="1" applyFont="1" applyBorder="1" applyAlignment="1">
      <alignment horizontal="center"/>
    </xf>
    <xf numFmtId="0" fontId="0" fillId="43" borderId="79" xfId="0" applyFill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12" xfId="2" applyBorder="1" applyAlignment="1">
      <alignment horizontal="center"/>
    </xf>
    <xf numFmtId="0" fontId="3" fillId="44" borderId="76" xfId="0" applyFont="1" applyFill="1" applyBorder="1" applyAlignment="1">
      <alignment horizontal="center"/>
    </xf>
    <xf numFmtId="0" fontId="3" fillId="44" borderId="16" xfId="0" applyFont="1" applyFill="1" applyBorder="1" applyAlignment="1">
      <alignment horizontal="center"/>
    </xf>
    <xf numFmtId="0" fontId="3" fillId="44" borderId="34" xfId="0" applyFont="1" applyFill="1" applyBorder="1" applyAlignment="1">
      <alignment horizontal="center"/>
    </xf>
    <xf numFmtId="0" fontId="3" fillId="44" borderId="42" xfId="0" applyFont="1" applyFill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75" xfId="2" applyBorder="1" applyAlignment="1">
      <alignment horizontal="center"/>
    </xf>
    <xf numFmtId="0" fontId="0" fillId="5" borderId="81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58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31" fillId="38" borderId="1" xfId="20" applyAlignment="1">
      <alignment horizontal="center"/>
    </xf>
    <xf numFmtId="0" fontId="47" fillId="26" borderId="79" xfId="0" applyFont="1" applyFill="1" applyBorder="1" applyAlignment="1">
      <alignment horizontal="center"/>
    </xf>
    <xf numFmtId="0" fontId="47" fillId="26" borderId="80" xfId="0" applyFont="1" applyFill="1" applyBorder="1" applyAlignment="1">
      <alignment horizontal="center"/>
    </xf>
    <xf numFmtId="0" fontId="3" fillId="5" borderId="79" xfId="0" applyFont="1" applyFill="1" applyBorder="1" applyAlignment="1">
      <alignment horizontal="center"/>
    </xf>
    <xf numFmtId="0" fontId="2" fillId="3" borderId="115" xfId="2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2" fillId="3" borderId="43" xfId="2" applyBorder="1" applyAlignment="1">
      <alignment horizontal="center"/>
    </xf>
    <xf numFmtId="0" fontId="2" fillId="3" borderId="76" xfId="2" applyBorder="1" applyAlignment="1">
      <alignment horizontal="center"/>
    </xf>
    <xf numFmtId="0" fontId="0" fillId="5" borderId="90" xfId="0" applyFill="1" applyBorder="1" applyAlignment="1">
      <alignment horizontal="center"/>
    </xf>
    <xf numFmtId="0" fontId="57" fillId="38" borderId="105" xfId="20" applyFont="1" applyBorder="1" applyAlignment="1">
      <alignment horizontal="right"/>
    </xf>
    <xf numFmtId="0" fontId="31" fillId="38" borderId="82" xfId="20" applyBorder="1"/>
    <xf numFmtId="0" fontId="31" fillId="38" borderId="82" xfId="20" applyBorder="1" applyAlignment="1">
      <alignment horizontal="left"/>
    </xf>
    <xf numFmtId="0" fontId="31" fillId="38" borderId="85" xfId="20" applyBorder="1" applyAlignment="1">
      <alignment horizontal="left"/>
    </xf>
    <xf numFmtId="0" fontId="57" fillId="38" borderId="83" xfId="20" applyFont="1" applyBorder="1" applyAlignment="1">
      <alignment horizontal="right"/>
    </xf>
    <xf numFmtId="0" fontId="31" fillId="38" borderId="1" xfId="20" applyAlignment="1">
      <alignment horizontal="left"/>
    </xf>
    <xf numFmtId="0" fontId="31" fillId="38" borderId="30" xfId="20" applyBorder="1" applyAlignment="1">
      <alignment horizontal="left"/>
    </xf>
    <xf numFmtId="0" fontId="58" fillId="38" borderId="116" xfId="20" applyFont="1" applyBorder="1" applyAlignment="1">
      <alignment horizontal="left"/>
    </xf>
    <xf numFmtId="0" fontId="58" fillId="38" borderId="112" xfId="20" applyFont="1" applyBorder="1"/>
    <xf numFmtId="0" fontId="58" fillId="38" borderId="112" xfId="20" applyFont="1" applyBorder="1" applyAlignment="1">
      <alignment horizontal="left"/>
    </xf>
    <xf numFmtId="0" fontId="56" fillId="28" borderId="112" xfId="20" applyFont="1" applyFill="1" applyBorder="1" applyAlignment="1">
      <alignment horizontal="left"/>
    </xf>
    <xf numFmtId="0" fontId="58" fillId="38" borderId="113" xfId="20" applyFont="1" applyBorder="1" applyAlignment="1">
      <alignment horizontal="left"/>
    </xf>
    <xf numFmtId="0" fontId="58" fillId="38" borderId="117" xfId="20" applyFont="1" applyBorder="1" applyAlignment="1">
      <alignment horizontal="left"/>
    </xf>
    <xf numFmtId="0" fontId="58" fillId="38" borderId="118" xfId="20" applyFont="1" applyBorder="1"/>
    <xf numFmtId="0" fontId="58" fillId="38" borderId="118" xfId="20" applyFont="1" applyBorder="1" applyAlignment="1">
      <alignment horizontal="left"/>
    </xf>
    <xf numFmtId="0" fontId="31" fillId="38" borderId="118" xfId="20" applyBorder="1" applyAlignment="1">
      <alignment horizontal="left"/>
    </xf>
    <xf numFmtId="0" fontId="31" fillId="38" borderId="31" xfId="20" applyBorder="1" applyAlignment="1">
      <alignment horizontal="left"/>
    </xf>
    <xf numFmtId="0" fontId="58" fillId="28" borderId="118" xfId="20" applyFont="1" applyFill="1" applyBorder="1" applyAlignment="1">
      <alignment horizontal="left"/>
    </xf>
    <xf numFmtId="0" fontId="57" fillId="38" borderId="82" xfId="20" applyFont="1" applyBorder="1" applyAlignment="1">
      <alignment horizontal="right"/>
    </xf>
    <xf numFmtId="0" fontId="31" fillId="38" borderId="82" xfId="20" applyBorder="1" applyAlignment="1">
      <alignment horizontal="center" vertical="center"/>
    </xf>
    <xf numFmtId="0" fontId="31" fillId="38" borderId="85" xfId="20" applyBorder="1" applyAlignment="1">
      <alignment horizontal="center" vertical="center"/>
    </xf>
    <xf numFmtId="0" fontId="31" fillId="38" borderId="30" xfId="20" applyBorder="1" applyAlignment="1">
      <alignment horizontal="center"/>
    </xf>
    <xf numFmtId="0" fontId="4" fillId="0" borderId="0" xfId="0" applyFont="1" applyAlignment="1">
      <alignment horizontal="right"/>
    </xf>
    <xf numFmtId="0" fontId="57" fillId="38" borderId="117" xfId="20" applyFont="1" applyBorder="1" applyAlignment="1">
      <alignment horizontal="right"/>
    </xf>
    <xf numFmtId="0" fontId="31" fillId="38" borderId="118" xfId="20" applyBorder="1"/>
    <xf numFmtId="0" fontId="31" fillId="38" borderId="118" xfId="20" applyBorder="1" applyAlignment="1">
      <alignment horizontal="center"/>
    </xf>
    <xf numFmtId="0" fontId="31" fillId="38" borderId="31" xfId="20" applyBorder="1" applyAlignment="1">
      <alignment horizontal="center"/>
    </xf>
    <xf numFmtId="0" fontId="57" fillId="38" borderId="116" xfId="20" applyFont="1" applyBorder="1" applyAlignment="1">
      <alignment horizontal="right"/>
    </xf>
    <xf numFmtId="0" fontId="31" fillId="38" borderId="112" xfId="20" applyBorder="1"/>
    <xf numFmtId="0" fontId="31" fillId="38" borderId="112" xfId="20" applyBorder="1" applyAlignment="1">
      <alignment horizontal="center"/>
    </xf>
    <xf numFmtId="0" fontId="57" fillId="38" borderId="101" xfId="20" applyFont="1" applyBorder="1" applyAlignment="1">
      <alignment horizontal="right"/>
    </xf>
    <xf numFmtId="0" fontId="31" fillId="38" borderId="75" xfId="20" applyBorder="1" applyAlignment="1">
      <alignment horizontal="center" vertical="center"/>
    </xf>
    <xf numFmtId="0" fontId="31" fillId="38" borderId="6" xfId="20" applyBorder="1" applyAlignment="1">
      <alignment horizontal="center" vertical="center"/>
    </xf>
    <xf numFmtId="0" fontId="57" fillId="38" borderId="5" xfId="20" applyFont="1" applyBorder="1" applyAlignment="1">
      <alignment horizontal="right"/>
    </xf>
    <xf numFmtId="0" fontId="57" fillId="38" borderId="75" xfId="20" applyFont="1" applyBorder="1" applyAlignment="1">
      <alignment horizontal="right"/>
    </xf>
    <xf numFmtId="0" fontId="31" fillId="38" borderId="119" xfId="20" applyBorder="1"/>
    <xf numFmtId="0" fontId="31" fillId="38" borderId="2" xfId="20" applyBorder="1" applyAlignment="1">
      <alignment horizontal="center" vertical="center"/>
    </xf>
    <xf numFmtId="0" fontId="31" fillId="38" borderId="12" xfId="20" applyBorder="1" applyAlignment="1">
      <alignment horizontal="center" vertical="center"/>
    </xf>
    <xf numFmtId="0" fontId="57" fillId="38" borderId="11" xfId="20" applyFont="1" applyBorder="1" applyAlignment="1">
      <alignment horizontal="right"/>
    </xf>
    <xf numFmtId="0" fontId="31" fillId="38" borderId="2" xfId="20" applyBorder="1"/>
    <xf numFmtId="0" fontId="31" fillId="38" borderId="120" xfId="20" applyBorder="1"/>
    <xf numFmtId="0" fontId="31" fillId="38" borderId="8" xfId="20" applyBorder="1" applyAlignment="1">
      <alignment horizontal="center" vertical="center"/>
    </xf>
    <xf numFmtId="0" fontId="31" fillId="38" borderId="9" xfId="20" applyBorder="1" applyAlignment="1">
      <alignment horizontal="center" vertical="center"/>
    </xf>
    <xf numFmtId="0" fontId="57" fillId="38" borderId="7" xfId="20" applyFont="1" applyBorder="1" applyAlignment="1">
      <alignment horizontal="right"/>
    </xf>
    <xf numFmtId="0" fontId="31" fillId="38" borderId="8" xfId="20" applyBorder="1"/>
    <xf numFmtId="14" fontId="0" fillId="0" borderId="0" xfId="0" applyNumberFormat="1"/>
    <xf numFmtId="0" fontId="59" fillId="0" borderId="0" xfId="0" applyFont="1"/>
    <xf numFmtId="0" fontId="0" fillId="28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" fillId="3" borderId="33" xfId="2" applyBorder="1" applyAlignment="1">
      <alignment horizontal="center"/>
    </xf>
    <xf numFmtId="0" fontId="3" fillId="44" borderId="22" xfId="0" applyFont="1" applyFill="1" applyBorder="1" applyAlignment="1">
      <alignment horizontal="center"/>
    </xf>
    <xf numFmtId="0" fontId="31" fillId="38" borderId="101" xfId="20" applyBorder="1" applyAlignment="1">
      <alignment horizontal="left"/>
    </xf>
    <xf numFmtId="0" fontId="31" fillId="38" borderId="101" xfId="20" applyBorder="1" applyAlignment="1">
      <alignment horizontal="center" vertical="center"/>
    </xf>
    <xf numFmtId="0" fontId="31" fillId="38" borderId="121" xfId="20" applyBorder="1" applyAlignment="1">
      <alignment horizontal="center"/>
    </xf>
    <xf numFmtId="0" fontId="31" fillId="38" borderId="95" xfId="20" applyBorder="1" applyAlignment="1">
      <alignment horizontal="center" vertical="center"/>
    </xf>
    <xf numFmtId="0" fontId="31" fillId="38" borderId="33" xfId="20" applyBorder="1" applyAlignment="1">
      <alignment horizontal="center" vertical="center"/>
    </xf>
    <xf numFmtId="0" fontId="31" fillId="38" borderId="49" xfId="20" applyBorder="1" applyAlignment="1">
      <alignment horizontal="center" vertical="center"/>
    </xf>
    <xf numFmtId="0" fontId="0" fillId="5" borderId="80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31" fillId="38" borderId="119" xfId="20" applyBorder="1" applyAlignment="1">
      <alignment horizontal="left"/>
    </xf>
    <xf numFmtId="0" fontId="58" fillId="38" borderId="121" xfId="20" applyFont="1" applyBorder="1" applyAlignment="1">
      <alignment horizontal="left"/>
    </xf>
    <xf numFmtId="0" fontId="31" fillId="38" borderId="119" xfId="20" applyBorder="1" applyAlignment="1">
      <alignment horizontal="center"/>
    </xf>
    <xf numFmtId="0" fontId="47" fillId="26" borderId="96" xfId="0" applyFont="1" applyFill="1" applyBorder="1" applyAlignment="1">
      <alignment horizontal="center"/>
    </xf>
    <xf numFmtId="0" fontId="47" fillId="26" borderId="46" xfId="0" applyFont="1" applyFill="1" applyBorder="1" applyAlignment="1">
      <alignment horizontal="center"/>
    </xf>
    <xf numFmtId="0" fontId="2" fillId="3" borderId="78" xfId="2" applyBorder="1" applyAlignment="1">
      <alignment horizontal="center"/>
    </xf>
    <xf numFmtId="0" fontId="31" fillId="38" borderId="103" xfId="20" applyBorder="1" applyAlignment="1">
      <alignment horizontal="left"/>
    </xf>
    <xf numFmtId="0" fontId="31" fillId="38" borderId="122" xfId="20" applyBorder="1" applyAlignment="1">
      <alignment horizontal="left"/>
    </xf>
    <xf numFmtId="0" fontId="58" fillId="38" borderId="123" xfId="20" applyFont="1" applyBorder="1" applyAlignment="1">
      <alignment horizontal="left"/>
    </xf>
    <xf numFmtId="0" fontId="31" fillId="38" borderId="103" xfId="20" applyBorder="1" applyAlignment="1">
      <alignment horizontal="center" vertical="center"/>
    </xf>
    <xf numFmtId="0" fontId="31" fillId="38" borderId="122" xfId="20" applyBorder="1" applyAlignment="1">
      <alignment horizontal="center"/>
    </xf>
    <xf numFmtId="0" fontId="31" fillId="38" borderId="123" xfId="20" applyBorder="1" applyAlignment="1">
      <alignment horizontal="center"/>
    </xf>
    <xf numFmtId="0" fontId="31" fillId="38" borderId="96" xfId="20" applyBorder="1" applyAlignment="1">
      <alignment horizontal="center" vertical="center"/>
    </xf>
    <xf numFmtId="0" fontId="31" fillId="38" borderId="46" xfId="20" applyBorder="1" applyAlignment="1">
      <alignment horizontal="center" vertical="center"/>
    </xf>
    <xf numFmtId="0" fontId="31" fillId="38" borderId="78" xfId="20" applyBorder="1" applyAlignment="1">
      <alignment horizontal="center" vertical="center"/>
    </xf>
    <xf numFmtId="0" fontId="31" fillId="38" borderId="104" xfId="20" applyBorder="1" applyAlignment="1">
      <alignment horizontal="left"/>
    </xf>
    <xf numFmtId="0" fontId="31" fillId="38" borderId="124" xfId="20" applyBorder="1" applyAlignment="1">
      <alignment horizontal="left"/>
    </xf>
    <xf numFmtId="0" fontId="58" fillId="38" borderId="125" xfId="20" applyFont="1" applyBorder="1" applyAlignment="1">
      <alignment horizontal="left"/>
    </xf>
    <xf numFmtId="0" fontId="31" fillId="38" borderId="104" xfId="20" applyBorder="1" applyAlignment="1">
      <alignment horizontal="center" vertical="center"/>
    </xf>
    <xf numFmtId="0" fontId="31" fillId="38" borderId="124" xfId="20" applyBorder="1" applyAlignment="1">
      <alignment horizontal="center"/>
    </xf>
    <xf numFmtId="0" fontId="31" fillId="38" borderId="125" xfId="20" applyBorder="1" applyAlignment="1">
      <alignment horizontal="center"/>
    </xf>
    <xf numFmtId="0" fontId="2" fillId="3" borderId="46" xfId="2" applyBorder="1" applyAlignment="1">
      <alignment horizontal="center"/>
    </xf>
    <xf numFmtId="0" fontId="3" fillId="44" borderId="47" xfId="0" applyFont="1" applyFill="1" applyBorder="1" applyAlignment="1">
      <alignment horizontal="center"/>
    </xf>
    <xf numFmtId="0" fontId="3" fillId="22" borderId="7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22" fillId="8" borderId="0" xfId="5" applyFont="1" applyAlignment="1">
      <alignment horizontal="center"/>
    </xf>
    <xf numFmtId="0" fontId="0" fillId="0" borderId="35" xfId="0" applyFill="1" applyBorder="1" applyAlignment="1">
      <alignment horizontal="left"/>
    </xf>
    <xf numFmtId="0" fontId="18" fillId="9" borderId="2" xfId="6" applyFont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39" borderId="2" xfId="16" applyFont="1" applyFill="1" applyBorder="1" applyAlignment="1">
      <alignment horizont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50" xfId="0" applyFont="1" applyFill="1" applyBorder="1" applyAlignment="1">
      <alignment horizontal="center" vertical="center" wrapText="1"/>
    </xf>
    <xf numFmtId="0" fontId="5" fillId="35" borderId="27" xfId="17" applyFont="1" applyFill="1" applyBorder="1" applyAlignment="1">
      <alignment horizontal="center" vertical="center" wrapText="1"/>
    </xf>
    <xf numFmtId="0" fontId="5" fillId="35" borderId="51" xfId="17" applyFont="1" applyFill="1" applyBorder="1" applyAlignment="1">
      <alignment horizontal="center" vertical="center" wrapText="1"/>
    </xf>
    <xf numFmtId="0" fontId="9" fillId="39" borderId="34" xfId="10" applyFill="1" applyBorder="1" applyAlignment="1">
      <alignment horizontal="center" vertical="center" wrapText="1"/>
    </xf>
    <xf numFmtId="0" fontId="9" fillId="39" borderId="51" xfId="10" applyFill="1" applyBorder="1" applyAlignment="1">
      <alignment horizontal="center" vertical="center" wrapText="1"/>
    </xf>
    <xf numFmtId="0" fontId="5" fillId="35" borderId="10" xfId="17" applyFont="1" applyFill="1" applyBorder="1" applyAlignment="1">
      <alignment horizontal="center" vertical="center" wrapText="1"/>
    </xf>
    <xf numFmtId="0" fontId="3" fillId="29" borderId="67" xfId="15" applyFont="1" applyBorder="1" applyAlignment="1">
      <alignment horizontal="center"/>
    </xf>
    <xf numFmtId="0" fontId="3" fillId="29" borderId="68" xfId="15" applyFont="1" applyBorder="1" applyAlignment="1">
      <alignment horizontal="center"/>
    </xf>
    <xf numFmtId="0" fontId="3" fillId="29" borderId="45" xfId="15" applyFont="1" applyBorder="1" applyAlignment="1">
      <alignment horizontal="center"/>
    </xf>
    <xf numFmtId="0" fontId="7" fillId="39" borderId="2" xfId="10" applyFont="1" applyFill="1" applyBorder="1" applyAlignment="1">
      <alignment horizontal="center" vertical="center" wrapText="1"/>
    </xf>
    <xf numFmtId="0" fontId="3" fillId="12" borderId="70" xfId="9" applyFont="1" applyBorder="1" applyAlignment="1">
      <alignment horizontal="center"/>
    </xf>
    <xf numFmtId="0" fontId="3" fillId="12" borderId="71" xfId="9" applyFont="1" applyBorder="1" applyAlignment="1">
      <alignment horizontal="center"/>
    </xf>
    <xf numFmtId="0" fontId="35" fillId="39" borderId="18" xfId="16" applyFont="1" applyFill="1" applyBorder="1" applyAlignment="1">
      <alignment horizontal="center" wrapText="1"/>
    </xf>
    <xf numFmtId="0" fontId="26" fillId="7" borderId="0" xfId="0" applyFont="1" applyFill="1" applyBorder="1" applyAlignment="1">
      <alignment horizontal="center" vertical="center" wrapText="1"/>
    </xf>
    <xf numFmtId="0" fontId="5" fillId="35" borderId="54" xfId="17" applyFont="1" applyFill="1" applyBorder="1" applyAlignment="1">
      <alignment horizontal="center" vertical="center" wrapText="1"/>
    </xf>
    <xf numFmtId="0" fontId="3" fillId="29" borderId="0" xfId="15" applyFont="1" applyBorder="1" applyAlignment="1">
      <alignment horizontal="center"/>
    </xf>
    <xf numFmtId="0" fontId="3" fillId="12" borderId="0" xfId="9" applyFont="1" applyBorder="1" applyAlignment="1">
      <alignment horizontal="center"/>
    </xf>
    <xf numFmtId="0" fontId="1" fillId="24" borderId="34" xfId="1" applyFont="1" applyFill="1" applyBorder="1" applyAlignment="1">
      <alignment horizontal="center" vertical="center" wrapText="1"/>
    </xf>
    <xf numFmtId="0" fontId="1" fillId="24" borderId="10" xfId="1" applyFont="1" applyFill="1" applyBorder="1" applyAlignment="1">
      <alignment horizontal="center" vertical="center"/>
    </xf>
    <xf numFmtId="0" fontId="3" fillId="12" borderId="69" xfId="9" applyFont="1" applyBorder="1" applyAlignment="1">
      <alignment horizontal="center"/>
    </xf>
    <xf numFmtId="0" fontId="27" fillId="7" borderId="34" xfId="1" applyFont="1" applyFill="1" applyBorder="1" applyAlignment="1">
      <alignment horizontal="center" vertical="center" wrapText="1"/>
    </xf>
    <xf numFmtId="0" fontId="27" fillId="7" borderId="27" xfId="1" applyFont="1" applyFill="1" applyBorder="1" applyAlignment="1">
      <alignment horizontal="center" vertical="center" wrapText="1"/>
    </xf>
    <xf numFmtId="0" fontId="27" fillId="7" borderId="10" xfId="1" applyFont="1" applyFill="1" applyBorder="1" applyAlignment="1">
      <alignment horizontal="center" vertical="center" wrapText="1"/>
    </xf>
    <xf numFmtId="0" fontId="5" fillId="35" borderId="34" xfId="17" applyFont="1" applyFill="1" applyBorder="1" applyAlignment="1">
      <alignment horizontal="center" vertical="center" wrapText="1"/>
    </xf>
    <xf numFmtId="0" fontId="5" fillId="32" borderId="34" xfId="17" applyFont="1" applyFill="1" applyBorder="1" applyAlignment="1">
      <alignment horizontal="center" vertical="center" wrapText="1"/>
    </xf>
    <xf numFmtId="0" fontId="5" fillId="32" borderId="27" xfId="17" applyFont="1" applyFill="1" applyBorder="1" applyAlignment="1">
      <alignment horizontal="center" vertical="center" wrapText="1"/>
    </xf>
    <xf numFmtId="0" fontId="5" fillId="32" borderId="51" xfId="17" applyFont="1" applyFill="1" applyBorder="1" applyAlignment="1">
      <alignment horizontal="center" vertical="center" wrapText="1"/>
    </xf>
    <xf numFmtId="0" fontId="5" fillId="32" borderId="54" xfId="17" applyFont="1" applyFill="1" applyBorder="1" applyAlignment="1">
      <alignment horizontal="center" vertical="center" wrapText="1"/>
    </xf>
    <xf numFmtId="16" fontId="3" fillId="48" borderId="54" xfId="0" applyNumberFormat="1" applyFont="1" applyFill="1" applyBorder="1" applyAlignment="1">
      <alignment horizontal="center" vertical="center" wrapText="1"/>
    </xf>
    <xf numFmtId="16" fontId="3" fillId="48" borderId="27" xfId="0" applyNumberFormat="1" applyFont="1" applyFill="1" applyBorder="1" applyAlignment="1">
      <alignment horizontal="center" vertical="center" wrapText="1"/>
    </xf>
    <xf numFmtId="16" fontId="3" fillId="48" borderId="10" xfId="0" applyNumberFormat="1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16" fontId="3" fillId="48" borderId="34" xfId="0" applyNumberFormat="1" applyFont="1" applyFill="1" applyBorder="1" applyAlignment="1">
      <alignment horizontal="center" vertical="center" wrapText="1"/>
    </xf>
    <xf numFmtId="16" fontId="3" fillId="48" borderId="51" xfId="0" applyNumberFormat="1" applyFont="1" applyFill="1" applyBorder="1" applyAlignment="1">
      <alignment horizontal="center" vertical="center" wrapText="1"/>
    </xf>
    <xf numFmtId="16" fontId="3" fillId="0" borderId="34" xfId="0" applyNumberFormat="1" applyFont="1" applyBorder="1" applyAlignment="1">
      <alignment horizontal="center" vertical="center" wrapText="1"/>
    </xf>
    <xf numFmtId="16" fontId="3" fillId="0" borderId="27" xfId="0" applyNumberFormat="1" applyFont="1" applyBorder="1" applyAlignment="1">
      <alignment horizontal="center" vertical="center" wrapText="1"/>
    </xf>
    <xf numFmtId="16" fontId="3" fillId="0" borderId="51" xfId="0" applyNumberFormat="1" applyFont="1" applyBorder="1" applyAlignment="1">
      <alignment horizontal="center" vertical="center" wrapText="1"/>
    </xf>
    <xf numFmtId="16" fontId="3" fillId="0" borderId="54" xfId="0" applyNumberFormat="1" applyFont="1" applyBorder="1" applyAlignment="1">
      <alignment horizontal="center" vertical="center" wrapText="1"/>
    </xf>
    <xf numFmtId="16" fontId="3" fillId="0" borderId="10" xfId="0" applyNumberFormat="1" applyFont="1" applyBorder="1" applyAlignment="1">
      <alignment horizontal="center" vertical="center" wrapText="1"/>
    </xf>
    <xf numFmtId="16" fontId="3" fillId="0" borderId="54" xfId="0" applyNumberFormat="1" applyFont="1" applyBorder="1" applyAlignment="1">
      <alignment horizontal="center" vertical="center"/>
    </xf>
    <xf numFmtId="16" fontId="3" fillId="0" borderId="27" xfId="0" applyNumberFormat="1" applyFont="1" applyBorder="1" applyAlignment="1">
      <alignment horizontal="center" vertical="center"/>
    </xf>
    <xf numFmtId="16" fontId="3" fillId="0" borderId="10" xfId="0" applyNumberFormat="1" applyFont="1" applyBorder="1" applyAlignment="1">
      <alignment horizontal="center" vertical="center"/>
    </xf>
    <xf numFmtId="0" fontId="37" fillId="7" borderId="26" xfId="0" applyFont="1" applyFill="1" applyBorder="1" applyAlignment="1">
      <alignment horizontal="center"/>
    </xf>
    <xf numFmtId="0" fontId="37" fillId="7" borderId="26" xfId="0" applyFont="1" applyFill="1" applyBorder="1" applyAlignment="1">
      <alignment horizontal="left"/>
    </xf>
    <xf numFmtId="0" fontId="32" fillId="2" borderId="67" xfId="1" applyFont="1" applyBorder="1" applyAlignment="1">
      <alignment horizontal="center"/>
    </xf>
    <xf numFmtId="0" fontId="32" fillId="2" borderId="68" xfId="1" applyFont="1" applyBorder="1" applyAlignment="1">
      <alignment horizontal="center"/>
    </xf>
    <xf numFmtId="0" fontId="32" fillId="2" borderId="45" xfId="1" applyFont="1" applyBorder="1" applyAlignment="1">
      <alignment horizontal="center"/>
    </xf>
    <xf numFmtId="0" fontId="32" fillId="2" borderId="107" xfId="1" applyFont="1" applyBorder="1" applyAlignment="1">
      <alignment horizontal="center"/>
    </xf>
    <xf numFmtId="0" fontId="32" fillId="2" borderId="111" xfId="1" applyFont="1" applyBorder="1" applyAlignment="1">
      <alignment horizontal="center"/>
    </xf>
    <xf numFmtId="0" fontId="32" fillId="2" borderId="13" xfId="1" applyFont="1" applyBorder="1" applyAlignment="1">
      <alignment horizontal="center"/>
    </xf>
    <xf numFmtId="0" fontId="32" fillId="2" borderId="4" xfId="1" applyFont="1" applyBorder="1" applyAlignment="1">
      <alignment horizontal="center"/>
    </xf>
    <xf numFmtId="0" fontId="32" fillId="2" borderId="3" xfId="1" applyFont="1" applyBorder="1" applyAlignment="1">
      <alignment horizontal="center"/>
    </xf>
    <xf numFmtId="0" fontId="32" fillId="2" borderId="69" xfId="1" applyFont="1" applyBorder="1" applyAlignment="1">
      <alignment horizontal="center"/>
    </xf>
    <xf numFmtId="0" fontId="32" fillId="2" borderId="70" xfId="1" applyFont="1" applyBorder="1" applyAlignment="1">
      <alignment horizontal="center"/>
    </xf>
    <xf numFmtId="0" fontId="32" fillId="2" borderId="71" xfId="1" applyFont="1" applyBorder="1" applyAlignment="1">
      <alignment horizontal="center"/>
    </xf>
    <xf numFmtId="0" fontId="19" fillId="14" borderId="34" xfId="0" applyFont="1" applyFill="1" applyBorder="1" applyAlignment="1">
      <alignment horizontal="center" vertical="center" wrapText="1"/>
    </xf>
    <xf numFmtId="0" fontId="19" fillId="14" borderId="27" xfId="0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center" vertical="center" wrapText="1"/>
    </xf>
    <xf numFmtId="0" fontId="18" fillId="12" borderId="13" xfId="9" applyFont="1" applyBorder="1" applyAlignment="1">
      <alignment horizontal="center"/>
    </xf>
    <xf numFmtId="0" fontId="18" fillId="12" borderId="3" xfId="9" applyFont="1" applyBorder="1" applyAlignment="1">
      <alignment horizontal="center"/>
    </xf>
    <xf numFmtId="0" fontId="18" fillId="12" borderId="4" xfId="9" applyFont="1" applyBorder="1" applyAlignment="1">
      <alignment horizontal="center"/>
    </xf>
    <xf numFmtId="0" fontId="18" fillId="12" borderId="5" xfId="9" applyFont="1" applyBorder="1" applyAlignment="1">
      <alignment horizontal="center"/>
    </xf>
    <xf numFmtId="0" fontId="18" fillId="12" borderId="6" xfId="9" applyFont="1" applyBorder="1" applyAlignment="1">
      <alignment horizontal="center"/>
    </xf>
    <xf numFmtId="0" fontId="19" fillId="14" borderId="2" xfId="0" applyFont="1" applyFill="1" applyBorder="1" applyAlignment="1">
      <alignment horizontal="center" vertical="center" wrapText="1"/>
    </xf>
    <xf numFmtId="0" fontId="19" fillId="21" borderId="34" xfId="0" applyFont="1" applyFill="1" applyBorder="1" applyAlignment="1">
      <alignment horizontal="center" vertical="center" wrapText="1"/>
    </xf>
    <xf numFmtId="0" fontId="19" fillId="21" borderId="27" xfId="0" applyFont="1" applyFill="1" applyBorder="1" applyAlignment="1">
      <alignment horizontal="center" vertical="center" wrapText="1"/>
    </xf>
    <xf numFmtId="0" fontId="19" fillId="18" borderId="34" xfId="0" applyFont="1" applyFill="1" applyBorder="1" applyAlignment="1">
      <alignment horizontal="center" vertical="center" wrapText="1"/>
    </xf>
    <xf numFmtId="0" fontId="19" fillId="18" borderId="27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" fillId="24" borderId="34" xfId="1" applyFont="1" applyFill="1" applyBorder="1" applyAlignment="1">
      <alignment horizontal="center" vertical="center"/>
    </xf>
    <xf numFmtId="0" fontId="19" fillId="18" borderId="27" xfId="0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center" vertical="center"/>
    </xf>
    <xf numFmtId="0" fontId="19" fillId="23" borderId="34" xfId="1" applyFont="1" applyFill="1" applyBorder="1" applyAlignment="1">
      <alignment horizontal="center" vertical="center"/>
    </xf>
    <xf numFmtId="0" fontId="19" fillId="23" borderId="10" xfId="1" applyFont="1" applyFill="1" applyBorder="1" applyAlignment="1">
      <alignment horizontal="center" vertical="center"/>
    </xf>
    <xf numFmtId="0" fontId="32" fillId="2" borderId="99" xfId="1" applyFont="1" applyBorder="1" applyAlignment="1">
      <alignment horizontal="center"/>
    </xf>
    <xf numFmtId="0" fontId="32" fillId="2" borderId="94" xfId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3" borderId="1" xfId="2"/>
    <xf numFmtId="0" fontId="2" fillId="3" borderId="0" xfId="2" applyBorder="1" applyAlignment="1">
      <alignment horizontal="center"/>
    </xf>
    <xf numFmtId="165" fontId="0" fillId="0" borderId="0" xfId="3" applyNumberFormat="1" applyFont="1" applyBorder="1"/>
    <xf numFmtId="165" fontId="7" fillId="0" borderId="0" xfId="3" applyNumberFormat="1" applyFont="1" applyBorder="1"/>
    <xf numFmtId="164" fontId="40" fillId="0" borderId="0" xfId="3" applyNumberFormat="1" applyFont="1" applyFill="1" applyBorder="1"/>
    <xf numFmtId="0" fontId="32" fillId="2" borderId="2" xfId="1" applyFont="1" applyBorder="1" applyAlignment="1">
      <alignment horizontal="center" wrapText="1"/>
    </xf>
  </cellXfs>
  <cellStyles count="22">
    <cellStyle name="20% - Accent1" xfId="4" builtinId="30"/>
    <cellStyle name="20% - Accent2" xfId="10" builtinId="34"/>
    <cellStyle name="20% - Accent3" xfId="6" builtinId="38"/>
    <cellStyle name="20% - Accent4" xfId="17" builtinId="42"/>
    <cellStyle name="20% - Accent6" xfId="7" builtinId="50"/>
    <cellStyle name="40% - Accent1" xfId="15" builtinId="31"/>
    <cellStyle name="40% - Accent2" xfId="5" builtinId="35"/>
    <cellStyle name="40% - Accent6" xfId="9" builtinId="51"/>
    <cellStyle name="60% - Accent1" xfId="8" builtinId="32"/>
    <cellStyle name="60% - Accent3" xfId="11" builtinId="40"/>
    <cellStyle name="60% - Accent4" xfId="12" builtinId="44"/>
    <cellStyle name="60% - Accent5" xfId="13" builtinId="48"/>
    <cellStyle name="60% - Accent6" xfId="14" builtinId="52"/>
    <cellStyle name="Accent4" xfId="16" builtinId="41"/>
    <cellStyle name="Bad" xfId="21" builtinId="27"/>
    <cellStyle name="Calculation" xfId="2" builtinId="22"/>
    <cellStyle name="Comma" xfId="3" builtinId="3"/>
    <cellStyle name="Good" xfId="1" builtinId="26"/>
    <cellStyle name="Hyperlink" xfId="18" builtinId="8"/>
    <cellStyle name="Input" xfId="20" builtinId="20"/>
    <cellStyle name="Neutral" xfId="19" builtinId="28"/>
    <cellStyle name="Normal" xfId="0" builtinId="0"/>
  </cellStyles>
  <dxfs count="225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Refrigerator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</a:t>
            </a:r>
            <a:r>
              <a:rPr lang="en-MY" b="1" baseline="0"/>
              <a:t> Melaka</a:t>
            </a:r>
            <a:endParaRPr lang="en-MY" b="1"/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Melaka'!$E$31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9-4D10-8D56-D09C13F31CC3}"/>
            </c:ext>
          </c:extLst>
        </c:ser>
        <c:ser>
          <c:idx val="1"/>
          <c:order val="1"/>
          <c:tx>
            <c:strRef>
              <c:f>'Inv Simulation - Melaka'!$F$31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Melaka'!$F$32:$F$62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9-4D10-8D56-D09C13F31CC3}"/>
            </c:ext>
          </c:extLst>
        </c:ser>
        <c:ser>
          <c:idx val="10"/>
          <c:order val="5"/>
          <c:tx>
            <c:strRef>
              <c:f>'Inv Simulation - Melaka'!$H$31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Melaka'!$H$32:$H$62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9-4D10-8D56-D09C13F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'Inv Simulation - Melaka'!$O$31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Melaka'!$O$32:$O$62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C9-4D10-8D56-D09C13F31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C9-4D10-8D56-D09C13F31C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Melaka'!$G$31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Melaka'!$G$32:$G$62</c:f>
              <c:numCache>
                <c:formatCode>_-* #,##0_-;\-* #,##0_-;_-* "-"??_-;_-@_-</c:formatCode>
                <c:ptCount val="31"/>
                <c:pt idx="0" formatCode="General">
                  <c:v>5850</c:v>
                </c:pt>
                <c:pt idx="1">
                  <c:v>5850</c:v>
                </c:pt>
                <c:pt idx="2">
                  <c:v>5850</c:v>
                </c:pt>
                <c:pt idx="3">
                  <c:v>5850</c:v>
                </c:pt>
                <c:pt idx="4">
                  <c:v>5850</c:v>
                </c:pt>
                <c:pt idx="5">
                  <c:v>5850</c:v>
                </c:pt>
                <c:pt idx="6">
                  <c:v>5850</c:v>
                </c:pt>
                <c:pt idx="7">
                  <c:v>4875</c:v>
                </c:pt>
                <c:pt idx="8">
                  <c:v>4875</c:v>
                </c:pt>
                <c:pt idx="9">
                  <c:v>4875</c:v>
                </c:pt>
                <c:pt idx="10">
                  <c:v>4875</c:v>
                </c:pt>
                <c:pt idx="11">
                  <c:v>4875</c:v>
                </c:pt>
                <c:pt idx="12">
                  <c:v>4875</c:v>
                </c:pt>
                <c:pt idx="13">
                  <c:v>4875</c:v>
                </c:pt>
                <c:pt idx="14">
                  <c:v>4875</c:v>
                </c:pt>
                <c:pt idx="15">
                  <c:v>4875</c:v>
                </c:pt>
                <c:pt idx="16">
                  <c:v>3900</c:v>
                </c:pt>
                <c:pt idx="17">
                  <c:v>3900</c:v>
                </c:pt>
                <c:pt idx="18">
                  <c:v>3900</c:v>
                </c:pt>
                <c:pt idx="19">
                  <c:v>3900</c:v>
                </c:pt>
                <c:pt idx="20">
                  <c:v>3900</c:v>
                </c:pt>
                <c:pt idx="21">
                  <c:v>3900</c:v>
                </c:pt>
                <c:pt idx="22">
                  <c:v>3900</c:v>
                </c:pt>
                <c:pt idx="23">
                  <c:v>3900</c:v>
                </c:pt>
                <c:pt idx="24">
                  <c:v>3900</c:v>
                </c:pt>
                <c:pt idx="25">
                  <c:v>2925</c:v>
                </c:pt>
                <c:pt idx="26">
                  <c:v>2925</c:v>
                </c:pt>
                <c:pt idx="27">
                  <c:v>2925</c:v>
                </c:pt>
                <c:pt idx="28">
                  <c:v>2925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9-4D10-8D56-D09C13F31CC3}"/>
            </c:ext>
          </c:extLst>
        </c:ser>
        <c:ser>
          <c:idx val="3"/>
          <c:order val="3"/>
          <c:tx>
            <c:strRef>
              <c:f>'Inv Simulation - Melaka'!$L$31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Melaka'!$L$32:$L$62</c:f>
              <c:numCache>
                <c:formatCode>_-* #,##0_-;\-* #,##0_-;_-* "-"??_-;_-@_-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9-4D10-8D56-D09C13F31CC3}"/>
            </c:ext>
          </c:extLst>
        </c:ser>
        <c:ser>
          <c:idx val="4"/>
          <c:order val="4"/>
          <c:tx>
            <c:strRef>
              <c:f>'Inv Simulation - Melaka'!$M$31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Melaka'!$M$32:$M$62</c:f>
              <c:numCache>
                <c:formatCode>_-* #,##0_-;\-* #,##0_-;_-* "-"??_-;_-@_-</c:formatCode>
                <c:ptCount val="3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C9-4D10-8D56-D09C13F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'Inv Simulation - Melaka'!$I$31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Melaka'!$I$32:$I$62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107</c:v>
                      </c:pt>
                      <c:pt idx="2">
                        <c:v>107</c:v>
                      </c:pt>
                      <c:pt idx="3">
                        <c:v>107</c:v>
                      </c:pt>
                      <c:pt idx="4">
                        <c:v>107</c:v>
                      </c:pt>
                      <c:pt idx="5">
                        <c:v>107</c:v>
                      </c:pt>
                      <c:pt idx="6">
                        <c:v>107</c:v>
                      </c:pt>
                      <c:pt idx="7">
                        <c:v>107</c:v>
                      </c:pt>
                      <c:pt idx="8">
                        <c:v>107</c:v>
                      </c:pt>
                      <c:pt idx="9">
                        <c:v>107</c:v>
                      </c:pt>
                      <c:pt idx="10">
                        <c:v>107</c:v>
                      </c:pt>
                      <c:pt idx="11">
                        <c:v>107</c:v>
                      </c:pt>
                      <c:pt idx="12">
                        <c:v>107</c:v>
                      </c:pt>
                      <c:pt idx="13">
                        <c:v>107</c:v>
                      </c:pt>
                      <c:pt idx="14">
                        <c:v>107</c:v>
                      </c:pt>
                      <c:pt idx="15">
                        <c:v>107</c:v>
                      </c:pt>
                      <c:pt idx="16">
                        <c:v>107</c:v>
                      </c:pt>
                      <c:pt idx="17">
                        <c:v>107</c:v>
                      </c:pt>
                      <c:pt idx="18">
                        <c:v>107</c:v>
                      </c:pt>
                      <c:pt idx="19">
                        <c:v>107</c:v>
                      </c:pt>
                      <c:pt idx="20">
                        <c:v>107</c:v>
                      </c:pt>
                      <c:pt idx="21">
                        <c:v>107</c:v>
                      </c:pt>
                      <c:pt idx="22">
                        <c:v>107</c:v>
                      </c:pt>
                      <c:pt idx="23">
                        <c:v>107</c:v>
                      </c:pt>
                      <c:pt idx="24">
                        <c:v>107</c:v>
                      </c:pt>
                      <c:pt idx="25">
                        <c:v>107</c:v>
                      </c:pt>
                      <c:pt idx="26">
                        <c:v>107</c:v>
                      </c:pt>
                      <c:pt idx="27">
                        <c:v>107</c:v>
                      </c:pt>
                      <c:pt idx="28">
                        <c:v>107</c:v>
                      </c:pt>
                      <c:pt idx="29">
                        <c:v>107</c:v>
                      </c:pt>
                      <c:pt idx="30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7C9-4D10-8D56-D09C13F31CC3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723</c:v>
                      </c:pt>
                      <c:pt idx="1">
                        <c:v>616</c:v>
                      </c:pt>
                      <c:pt idx="2">
                        <c:v>509</c:v>
                      </c:pt>
                      <c:pt idx="3">
                        <c:v>402</c:v>
                      </c:pt>
                      <c:pt idx="4">
                        <c:v>295</c:v>
                      </c:pt>
                      <c:pt idx="5">
                        <c:v>188</c:v>
                      </c:pt>
                      <c:pt idx="6">
                        <c:v>81</c:v>
                      </c:pt>
                      <c:pt idx="7">
                        <c:v>949</c:v>
                      </c:pt>
                      <c:pt idx="8">
                        <c:v>842</c:v>
                      </c:pt>
                      <c:pt idx="9">
                        <c:v>735</c:v>
                      </c:pt>
                      <c:pt idx="10">
                        <c:v>628</c:v>
                      </c:pt>
                      <c:pt idx="11">
                        <c:v>521</c:v>
                      </c:pt>
                      <c:pt idx="12">
                        <c:v>414</c:v>
                      </c:pt>
                      <c:pt idx="13">
                        <c:v>307</c:v>
                      </c:pt>
                      <c:pt idx="14">
                        <c:v>200</c:v>
                      </c:pt>
                      <c:pt idx="15">
                        <c:v>93</c:v>
                      </c:pt>
                      <c:pt idx="16">
                        <c:v>961</c:v>
                      </c:pt>
                      <c:pt idx="17">
                        <c:v>854</c:v>
                      </c:pt>
                      <c:pt idx="18">
                        <c:v>747</c:v>
                      </c:pt>
                      <c:pt idx="19">
                        <c:v>640</c:v>
                      </c:pt>
                      <c:pt idx="20">
                        <c:v>533</c:v>
                      </c:pt>
                      <c:pt idx="21">
                        <c:v>426</c:v>
                      </c:pt>
                      <c:pt idx="22">
                        <c:v>319</c:v>
                      </c:pt>
                      <c:pt idx="23">
                        <c:v>212</c:v>
                      </c:pt>
                      <c:pt idx="24">
                        <c:v>105</c:v>
                      </c:pt>
                      <c:pt idx="25">
                        <c:v>973</c:v>
                      </c:pt>
                      <c:pt idx="26">
                        <c:v>866</c:v>
                      </c:pt>
                      <c:pt idx="27">
                        <c:v>759</c:v>
                      </c:pt>
                      <c:pt idx="28">
                        <c:v>652</c:v>
                      </c:pt>
                      <c:pt idx="29">
                        <c:v>545</c:v>
                      </c:pt>
                      <c:pt idx="30">
                        <c:v>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C9-4D10-8D56-D09C13F31CC3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Ampang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HS3'!$F$31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0-4331-9D39-9C4F81115D5B}"/>
            </c:ext>
          </c:extLst>
        </c:ser>
        <c:ser>
          <c:idx val="11"/>
          <c:order val="8"/>
          <c:tx>
            <c:strRef>
              <c:f>'Inv Simulation - HS3'!$I$31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HS3'!$I$32:$I$62</c:f>
              <c:numCache>
                <c:formatCode>_-* #,##0_-;\-* #,##0_-;_-* "-"??_-;_-@_-</c:formatCode>
                <c:ptCount val="31"/>
                <c:pt idx="1">
                  <c:v>214.00000000000003</c:v>
                </c:pt>
                <c:pt idx="2">
                  <c:v>214.00000000000003</c:v>
                </c:pt>
                <c:pt idx="3">
                  <c:v>214.00000000000003</c:v>
                </c:pt>
                <c:pt idx="4">
                  <c:v>214.00000000000003</c:v>
                </c:pt>
                <c:pt idx="5">
                  <c:v>214.00000000000003</c:v>
                </c:pt>
                <c:pt idx="6">
                  <c:v>214.00000000000003</c:v>
                </c:pt>
                <c:pt idx="7">
                  <c:v>214.00000000000003</c:v>
                </c:pt>
                <c:pt idx="8">
                  <c:v>214.00000000000003</c:v>
                </c:pt>
                <c:pt idx="9">
                  <c:v>214.00000000000003</c:v>
                </c:pt>
                <c:pt idx="10">
                  <c:v>214.00000000000003</c:v>
                </c:pt>
                <c:pt idx="11">
                  <c:v>214.00000000000003</c:v>
                </c:pt>
                <c:pt idx="12">
                  <c:v>214.00000000000003</c:v>
                </c:pt>
                <c:pt idx="13">
                  <c:v>214.00000000000003</c:v>
                </c:pt>
                <c:pt idx="14">
                  <c:v>214.00000000000003</c:v>
                </c:pt>
                <c:pt idx="15">
                  <c:v>214.00000000000003</c:v>
                </c:pt>
                <c:pt idx="16">
                  <c:v>214.00000000000003</c:v>
                </c:pt>
                <c:pt idx="17">
                  <c:v>214.00000000000003</c:v>
                </c:pt>
                <c:pt idx="18">
                  <c:v>214.00000000000003</c:v>
                </c:pt>
                <c:pt idx="19">
                  <c:v>214.00000000000003</c:v>
                </c:pt>
                <c:pt idx="20">
                  <c:v>214.00000000000003</c:v>
                </c:pt>
                <c:pt idx="21">
                  <c:v>214.00000000000003</c:v>
                </c:pt>
                <c:pt idx="22">
                  <c:v>214.00000000000003</c:v>
                </c:pt>
                <c:pt idx="23">
                  <c:v>214.00000000000003</c:v>
                </c:pt>
                <c:pt idx="24">
                  <c:v>214.00000000000003</c:v>
                </c:pt>
                <c:pt idx="25">
                  <c:v>214.00000000000003</c:v>
                </c:pt>
                <c:pt idx="26">
                  <c:v>214.00000000000003</c:v>
                </c:pt>
                <c:pt idx="27">
                  <c:v>214.00000000000003</c:v>
                </c:pt>
                <c:pt idx="28">
                  <c:v>214.00000000000003</c:v>
                </c:pt>
                <c:pt idx="29">
                  <c:v>214.00000000000003</c:v>
                </c:pt>
                <c:pt idx="30">
                  <c:v>214.00000000000003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0-4331-9D39-9C4F81115D5B}"/>
            </c:ext>
          </c:extLst>
        </c:ser>
        <c:ser>
          <c:idx val="7"/>
          <c:order val="10"/>
          <c:tx>
            <c:strRef>
              <c:f>'Inv Simulation - HS3'!$P$31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0-4331-9D39-9C4F8111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HS3'!$E$31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HS3'!$E$32:$E$62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4875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4875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A0-4331-9D39-9C4F81115D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2925</c:v>
                      </c:pt>
                      <c:pt idx="1">
                        <c:v>1950</c:v>
                      </c:pt>
                      <c:pt idx="2">
                        <c:v>1950</c:v>
                      </c:pt>
                      <c:pt idx="3">
                        <c:v>1950</c:v>
                      </c:pt>
                      <c:pt idx="4">
                        <c:v>1950</c:v>
                      </c:pt>
                      <c:pt idx="5">
                        <c:v>1950</c:v>
                      </c:pt>
                      <c:pt idx="6">
                        <c:v>5850</c:v>
                      </c:pt>
                      <c:pt idx="7">
                        <c:v>5850</c:v>
                      </c:pt>
                      <c:pt idx="8">
                        <c:v>5850</c:v>
                      </c:pt>
                      <c:pt idx="9">
                        <c:v>5850</c:v>
                      </c:pt>
                      <c:pt idx="10">
                        <c:v>5850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3900</c:v>
                      </c:pt>
                      <c:pt idx="16">
                        <c:v>3900</c:v>
                      </c:pt>
                      <c:pt idx="17">
                        <c:v>3900</c:v>
                      </c:pt>
                      <c:pt idx="18">
                        <c:v>3900</c:v>
                      </c:pt>
                      <c:pt idx="19">
                        <c:v>3900</c:v>
                      </c:pt>
                      <c:pt idx="20">
                        <c:v>2925</c:v>
                      </c:pt>
                      <c:pt idx="21">
                        <c:v>2925</c:v>
                      </c:pt>
                      <c:pt idx="22">
                        <c:v>2925</c:v>
                      </c:pt>
                      <c:pt idx="23">
                        <c:v>2925</c:v>
                      </c:pt>
                      <c:pt idx="24">
                        <c:v>1950</c:v>
                      </c:pt>
                      <c:pt idx="25">
                        <c:v>1950</c:v>
                      </c:pt>
                      <c:pt idx="26">
                        <c:v>1950</c:v>
                      </c:pt>
                      <c:pt idx="27">
                        <c:v>1950</c:v>
                      </c:pt>
                      <c:pt idx="28">
                        <c:v>1950</c:v>
                      </c:pt>
                      <c:pt idx="29">
                        <c:v>5850</c:v>
                      </c:pt>
                      <c:pt idx="30">
                        <c:v>5850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A0-4331-9D39-9C4F81115D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1950</c:v>
                      </c:pt>
                      <c:pt idx="1">
                        <c:v>1950</c:v>
                      </c:pt>
                      <c:pt idx="2">
                        <c:v>1950</c:v>
                      </c:pt>
                      <c:pt idx="3">
                        <c:v>1950</c:v>
                      </c:pt>
                      <c:pt idx="4">
                        <c:v>1950</c:v>
                      </c:pt>
                      <c:pt idx="5">
                        <c:v>1950</c:v>
                      </c:pt>
                      <c:pt idx="6">
                        <c:v>1950</c:v>
                      </c:pt>
                      <c:pt idx="7">
                        <c:v>1950</c:v>
                      </c:pt>
                      <c:pt idx="8">
                        <c:v>1950</c:v>
                      </c:pt>
                      <c:pt idx="9">
                        <c:v>1950</c:v>
                      </c:pt>
                      <c:pt idx="10">
                        <c:v>1950</c:v>
                      </c:pt>
                      <c:pt idx="11">
                        <c:v>1950</c:v>
                      </c:pt>
                      <c:pt idx="12">
                        <c:v>1950</c:v>
                      </c:pt>
                      <c:pt idx="13">
                        <c:v>1950</c:v>
                      </c:pt>
                      <c:pt idx="14">
                        <c:v>1950</c:v>
                      </c:pt>
                      <c:pt idx="15">
                        <c:v>1950</c:v>
                      </c:pt>
                      <c:pt idx="16">
                        <c:v>1950</c:v>
                      </c:pt>
                      <c:pt idx="17">
                        <c:v>1950</c:v>
                      </c:pt>
                      <c:pt idx="18">
                        <c:v>1950</c:v>
                      </c:pt>
                      <c:pt idx="19">
                        <c:v>1950</c:v>
                      </c:pt>
                      <c:pt idx="20">
                        <c:v>1950</c:v>
                      </c:pt>
                      <c:pt idx="21">
                        <c:v>1950</c:v>
                      </c:pt>
                      <c:pt idx="22">
                        <c:v>1950</c:v>
                      </c:pt>
                      <c:pt idx="23">
                        <c:v>1950</c:v>
                      </c:pt>
                      <c:pt idx="24">
                        <c:v>1950</c:v>
                      </c:pt>
                      <c:pt idx="25">
                        <c:v>1950</c:v>
                      </c:pt>
                      <c:pt idx="26">
                        <c:v>1950</c:v>
                      </c:pt>
                      <c:pt idx="27">
                        <c:v>1950</c:v>
                      </c:pt>
                      <c:pt idx="28">
                        <c:v>1950</c:v>
                      </c:pt>
                      <c:pt idx="29">
                        <c:v>1950</c:v>
                      </c:pt>
                      <c:pt idx="30">
                        <c:v>1950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A0-4331-9D39-9C4F81115D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9750</c:v>
                      </c:pt>
                      <c:pt idx="1">
                        <c:v>9750</c:v>
                      </c:pt>
                      <c:pt idx="2">
                        <c:v>9750</c:v>
                      </c:pt>
                      <c:pt idx="3">
                        <c:v>9750</c:v>
                      </c:pt>
                      <c:pt idx="4">
                        <c:v>9750</c:v>
                      </c:pt>
                      <c:pt idx="5">
                        <c:v>9750</c:v>
                      </c:pt>
                      <c:pt idx="6">
                        <c:v>9750</c:v>
                      </c:pt>
                      <c:pt idx="7">
                        <c:v>9750</c:v>
                      </c:pt>
                      <c:pt idx="8">
                        <c:v>9750</c:v>
                      </c:pt>
                      <c:pt idx="9">
                        <c:v>9750</c:v>
                      </c:pt>
                      <c:pt idx="10">
                        <c:v>9750</c:v>
                      </c:pt>
                      <c:pt idx="11">
                        <c:v>9750</c:v>
                      </c:pt>
                      <c:pt idx="12">
                        <c:v>9750</c:v>
                      </c:pt>
                      <c:pt idx="13">
                        <c:v>9750</c:v>
                      </c:pt>
                      <c:pt idx="14">
                        <c:v>9750</c:v>
                      </c:pt>
                      <c:pt idx="15">
                        <c:v>9750</c:v>
                      </c:pt>
                      <c:pt idx="16">
                        <c:v>9750</c:v>
                      </c:pt>
                      <c:pt idx="17">
                        <c:v>9750</c:v>
                      </c:pt>
                      <c:pt idx="18">
                        <c:v>9750</c:v>
                      </c:pt>
                      <c:pt idx="19">
                        <c:v>9750</c:v>
                      </c:pt>
                      <c:pt idx="20">
                        <c:v>9750</c:v>
                      </c:pt>
                      <c:pt idx="21">
                        <c:v>9750</c:v>
                      </c:pt>
                      <c:pt idx="22">
                        <c:v>9750</c:v>
                      </c:pt>
                      <c:pt idx="23">
                        <c:v>9750</c:v>
                      </c:pt>
                      <c:pt idx="24">
                        <c:v>9750</c:v>
                      </c:pt>
                      <c:pt idx="25">
                        <c:v>9750</c:v>
                      </c:pt>
                      <c:pt idx="26">
                        <c:v>9750</c:v>
                      </c:pt>
                      <c:pt idx="27">
                        <c:v>9750</c:v>
                      </c:pt>
                      <c:pt idx="28">
                        <c:v>9750</c:v>
                      </c:pt>
                      <c:pt idx="29">
                        <c:v>9750</c:v>
                      </c:pt>
                      <c:pt idx="30">
                        <c:v>9750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A0-4331-9D39-9C4F81115D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4875</c:v>
                      </c:pt>
                      <c:pt idx="1">
                        <c:v>4875</c:v>
                      </c:pt>
                      <c:pt idx="2">
                        <c:v>4875</c:v>
                      </c:pt>
                      <c:pt idx="3">
                        <c:v>4875</c:v>
                      </c:pt>
                      <c:pt idx="4">
                        <c:v>4875</c:v>
                      </c:pt>
                      <c:pt idx="5">
                        <c:v>4875</c:v>
                      </c:pt>
                      <c:pt idx="6">
                        <c:v>4875</c:v>
                      </c:pt>
                      <c:pt idx="7">
                        <c:v>4875</c:v>
                      </c:pt>
                      <c:pt idx="8">
                        <c:v>4875</c:v>
                      </c:pt>
                      <c:pt idx="9">
                        <c:v>4875</c:v>
                      </c:pt>
                      <c:pt idx="10">
                        <c:v>4875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4875</c:v>
                      </c:pt>
                      <c:pt idx="16">
                        <c:v>4875</c:v>
                      </c:pt>
                      <c:pt idx="17">
                        <c:v>4875</c:v>
                      </c:pt>
                      <c:pt idx="18">
                        <c:v>4875</c:v>
                      </c:pt>
                      <c:pt idx="19">
                        <c:v>4875</c:v>
                      </c:pt>
                      <c:pt idx="20">
                        <c:v>4875</c:v>
                      </c:pt>
                      <c:pt idx="21">
                        <c:v>4875</c:v>
                      </c:pt>
                      <c:pt idx="22">
                        <c:v>4875</c:v>
                      </c:pt>
                      <c:pt idx="23">
                        <c:v>4875</c:v>
                      </c:pt>
                      <c:pt idx="24">
                        <c:v>4875</c:v>
                      </c:pt>
                      <c:pt idx="25">
                        <c:v>4875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4875</c:v>
                      </c:pt>
                      <c:pt idx="29">
                        <c:v>4875</c:v>
                      </c:pt>
                      <c:pt idx="30">
                        <c:v>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A0-4331-9D39-9C4F81115D5B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A0-4331-9D39-9C4F81115D5B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A0-4331-9D39-9C4F81115D5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HS3'!$J$31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HS3'!$J$32:$J$62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956</c:v>
                </c:pt>
                <c:pt idx="2">
                  <c:v>742</c:v>
                </c:pt>
                <c:pt idx="3">
                  <c:v>528</c:v>
                </c:pt>
                <c:pt idx="4">
                  <c:v>314</c:v>
                </c:pt>
                <c:pt idx="5">
                  <c:v>99.999999999999972</c:v>
                </c:pt>
                <c:pt idx="6">
                  <c:v>861</c:v>
                </c:pt>
                <c:pt idx="7">
                  <c:v>647</c:v>
                </c:pt>
                <c:pt idx="8">
                  <c:v>433</c:v>
                </c:pt>
                <c:pt idx="9">
                  <c:v>218.99999999999997</c:v>
                </c:pt>
                <c:pt idx="10">
                  <c:v>4.9999999999999432</c:v>
                </c:pt>
                <c:pt idx="11">
                  <c:v>766</c:v>
                </c:pt>
                <c:pt idx="12">
                  <c:v>552</c:v>
                </c:pt>
                <c:pt idx="13">
                  <c:v>338</c:v>
                </c:pt>
                <c:pt idx="14">
                  <c:v>123.99999999999997</c:v>
                </c:pt>
                <c:pt idx="15">
                  <c:v>885</c:v>
                </c:pt>
                <c:pt idx="16">
                  <c:v>671</c:v>
                </c:pt>
                <c:pt idx="17">
                  <c:v>457</c:v>
                </c:pt>
                <c:pt idx="18">
                  <c:v>242.99999999999997</c:v>
                </c:pt>
                <c:pt idx="19">
                  <c:v>28.999999999999943</c:v>
                </c:pt>
                <c:pt idx="20">
                  <c:v>790</c:v>
                </c:pt>
                <c:pt idx="21">
                  <c:v>576</c:v>
                </c:pt>
                <c:pt idx="22">
                  <c:v>362</c:v>
                </c:pt>
                <c:pt idx="23">
                  <c:v>147.99999999999997</c:v>
                </c:pt>
                <c:pt idx="24">
                  <c:v>909</c:v>
                </c:pt>
                <c:pt idx="25">
                  <c:v>695</c:v>
                </c:pt>
                <c:pt idx="26">
                  <c:v>481</c:v>
                </c:pt>
                <c:pt idx="27">
                  <c:v>267</c:v>
                </c:pt>
                <c:pt idx="28">
                  <c:v>52.999999999999972</c:v>
                </c:pt>
                <c:pt idx="29">
                  <c:v>814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0-4331-9D39-9C4F8111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Refigerator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Ampang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Melaka'!$F$31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Melaka'!$F$32:$F$62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684-B74C-CE904682A3DC}"/>
            </c:ext>
          </c:extLst>
        </c:ser>
        <c:ser>
          <c:idx val="11"/>
          <c:order val="8"/>
          <c:tx>
            <c:strRef>
              <c:f>'Inv Simulation - Melaka'!$I$31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Melaka'!$I$32:$I$62</c:f>
              <c:numCache>
                <c:formatCode>_-* #,##0_-;\-* #,##0_-;_-* "-"??_-;_-@_-</c:formatCode>
                <c:ptCount val="31"/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684-B74C-CE904682A3DC}"/>
            </c:ext>
          </c:extLst>
        </c:ser>
        <c:ser>
          <c:idx val="7"/>
          <c:order val="10"/>
          <c:tx>
            <c:strRef>
              <c:f>'Inv Simulation - Melaka'!$P$31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B-4684-B74C-CE904682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Melaka'!$E$31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Melaka'!$E$32:$E$62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3CB-4684-B74C-CE904682A3D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5850</c:v>
                      </c:pt>
                      <c:pt idx="1">
                        <c:v>5850</c:v>
                      </c:pt>
                      <c:pt idx="2">
                        <c:v>5850</c:v>
                      </c:pt>
                      <c:pt idx="3">
                        <c:v>5850</c:v>
                      </c:pt>
                      <c:pt idx="4">
                        <c:v>5850</c:v>
                      </c:pt>
                      <c:pt idx="5">
                        <c:v>5850</c:v>
                      </c:pt>
                      <c:pt idx="6">
                        <c:v>5850</c:v>
                      </c:pt>
                      <c:pt idx="7">
                        <c:v>4875</c:v>
                      </c:pt>
                      <c:pt idx="8">
                        <c:v>4875</c:v>
                      </c:pt>
                      <c:pt idx="9">
                        <c:v>4875</c:v>
                      </c:pt>
                      <c:pt idx="10">
                        <c:v>4875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4875</c:v>
                      </c:pt>
                      <c:pt idx="16">
                        <c:v>3900</c:v>
                      </c:pt>
                      <c:pt idx="17">
                        <c:v>3900</c:v>
                      </c:pt>
                      <c:pt idx="18">
                        <c:v>3900</c:v>
                      </c:pt>
                      <c:pt idx="19">
                        <c:v>3900</c:v>
                      </c:pt>
                      <c:pt idx="20">
                        <c:v>3900</c:v>
                      </c:pt>
                      <c:pt idx="21">
                        <c:v>3900</c:v>
                      </c:pt>
                      <c:pt idx="22">
                        <c:v>3900</c:v>
                      </c:pt>
                      <c:pt idx="23">
                        <c:v>3900</c:v>
                      </c:pt>
                      <c:pt idx="24">
                        <c:v>3900</c:v>
                      </c:pt>
                      <c:pt idx="25">
                        <c:v>2925</c:v>
                      </c:pt>
                      <c:pt idx="26">
                        <c:v>2925</c:v>
                      </c:pt>
                      <c:pt idx="27">
                        <c:v>2925</c:v>
                      </c:pt>
                      <c:pt idx="28">
                        <c:v>2925</c:v>
                      </c:pt>
                      <c:pt idx="29">
                        <c:v>2925</c:v>
                      </c:pt>
                      <c:pt idx="30">
                        <c:v>2925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CB-4684-B74C-CE904682A3D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CB-4684-B74C-CE904682A3D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CB-4684-B74C-CE904682A3D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CB-4684-B74C-CE904682A3DC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3CB-4684-B74C-CE904682A3DC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CB-4684-B74C-CE904682A3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Melaka'!$J$31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Melaka'!$J$32:$J$62</c:f>
              <c:numCache>
                <c:formatCode>_-* #,##0_-;\-* #,##0_-;_-* "-"??_-;_-@_-</c:formatCode>
                <c:ptCount val="31"/>
                <c:pt idx="0">
                  <c:v>723</c:v>
                </c:pt>
                <c:pt idx="1">
                  <c:v>616</c:v>
                </c:pt>
                <c:pt idx="2">
                  <c:v>509</c:v>
                </c:pt>
                <c:pt idx="3">
                  <c:v>402</c:v>
                </c:pt>
                <c:pt idx="4">
                  <c:v>295</c:v>
                </c:pt>
                <c:pt idx="5">
                  <c:v>188</c:v>
                </c:pt>
                <c:pt idx="6">
                  <c:v>81</c:v>
                </c:pt>
                <c:pt idx="7">
                  <c:v>949</c:v>
                </c:pt>
                <c:pt idx="8">
                  <c:v>842</c:v>
                </c:pt>
                <c:pt idx="9">
                  <c:v>735</c:v>
                </c:pt>
                <c:pt idx="10">
                  <c:v>628</c:v>
                </c:pt>
                <c:pt idx="11">
                  <c:v>521</c:v>
                </c:pt>
                <c:pt idx="12">
                  <c:v>414</c:v>
                </c:pt>
                <c:pt idx="13">
                  <c:v>307</c:v>
                </c:pt>
                <c:pt idx="14">
                  <c:v>200</c:v>
                </c:pt>
                <c:pt idx="15">
                  <c:v>93</c:v>
                </c:pt>
                <c:pt idx="16">
                  <c:v>961</c:v>
                </c:pt>
                <c:pt idx="17">
                  <c:v>854</c:v>
                </c:pt>
                <c:pt idx="18">
                  <c:v>747</c:v>
                </c:pt>
                <c:pt idx="19">
                  <c:v>640</c:v>
                </c:pt>
                <c:pt idx="20">
                  <c:v>533</c:v>
                </c:pt>
                <c:pt idx="21">
                  <c:v>426</c:v>
                </c:pt>
                <c:pt idx="22">
                  <c:v>319</c:v>
                </c:pt>
                <c:pt idx="23">
                  <c:v>212</c:v>
                </c:pt>
                <c:pt idx="24">
                  <c:v>105</c:v>
                </c:pt>
                <c:pt idx="25">
                  <c:v>973</c:v>
                </c:pt>
                <c:pt idx="26">
                  <c:v>866</c:v>
                </c:pt>
                <c:pt idx="27">
                  <c:v>759</c:v>
                </c:pt>
                <c:pt idx="28">
                  <c:v>652</c:v>
                </c:pt>
                <c:pt idx="29">
                  <c:v>545</c:v>
                </c:pt>
                <c:pt idx="30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B-4684-B74C-CE904682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HS1'!$E$31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5850</c:v>
                </c:pt>
                <c:pt idx="5">
                  <c:v>0</c:v>
                </c:pt>
                <c:pt idx="6">
                  <c:v>0</c:v>
                </c:pt>
                <c:pt idx="7">
                  <c:v>5850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5850</c:v>
                </c:pt>
                <c:pt idx="18">
                  <c:v>0</c:v>
                </c:pt>
                <c:pt idx="19">
                  <c:v>0</c:v>
                </c:pt>
                <c:pt idx="20">
                  <c:v>5850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8-412A-A3E8-7E9BAE3AC50E}"/>
            </c:ext>
          </c:extLst>
        </c:ser>
        <c:ser>
          <c:idx val="1"/>
          <c:order val="1"/>
          <c:tx>
            <c:strRef>
              <c:f>'Inv Simulation - HS1'!$F$31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975</c:v>
                </c:pt>
                <c:pt idx="4">
                  <c:v>0</c:v>
                </c:pt>
                <c:pt idx="5">
                  <c:v>975</c:v>
                </c:pt>
                <c:pt idx="6">
                  <c:v>0</c:v>
                </c:pt>
                <c:pt idx="7">
                  <c:v>975</c:v>
                </c:pt>
                <c:pt idx="8">
                  <c:v>975</c:v>
                </c:pt>
                <c:pt idx="9">
                  <c:v>0</c:v>
                </c:pt>
                <c:pt idx="10">
                  <c:v>975</c:v>
                </c:pt>
                <c:pt idx="11">
                  <c:v>0</c:v>
                </c:pt>
                <c:pt idx="12">
                  <c:v>975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975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975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975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8-412A-A3E8-7E9BAE3AC50E}"/>
            </c:ext>
          </c:extLst>
        </c:ser>
        <c:ser>
          <c:idx val="10"/>
          <c:order val="6"/>
          <c:tx>
            <c:strRef>
              <c:f>'Inv Simulation - HS1'!$H$31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8-412A-A3E8-7E9BAE3A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'Inv Simulation - HS1'!$O$31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368-412A-A3E8-7E9BAE3AC50E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68-412A-A3E8-7E9BAE3AC50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HS1'!$G$31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HS1'!$G$32:$G$62</c:f>
              <c:numCache>
                <c:formatCode>_-* #,##0_-;\-* #,##0_-;_-* "-"??_-;_-@_-</c:formatCode>
                <c:ptCount val="31"/>
                <c:pt idx="0" formatCode="General">
                  <c:v>4875</c:v>
                </c:pt>
                <c:pt idx="1">
                  <c:v>3900</c:v>
                </c:pt>
                <c:pt idx="2">
                  <c:v>3900</c:v>
                </c:pt>
                <c:pt idx="3">
                  <c:v>2925</c:v>
                </c:pt>
                <c:pt idx="4">
                  <c:v>3900</c:v>
                </c:pt>
                <c:pt idx="5">
                  <c:v>2925</c:v>
                </c:pt>
                <c:pt idx="6">
                  <c:v>2925</c:v>
                </c:pt>
                <c:pt idx="7">
                  <c:v>7800</c:v>
                </c:pt>
                <c:pt idx="8">
                  <c:v>6825</c:v>
                </c:pt>
                <c:pt idx="9">
                  <c:v>6825</c:v>
                </c:pt>
                <c:pt idx="10">
                  <c:v>5850</c:v>
                </c:pt>
                <c:pt idx="11">
                  <c:v>5850</c:v>
                </c:pt>
                <c:pt idx="12">
                  <c:v>4875</c:v>
                </c:pt>
                <c:pt idx="13">
                  <c:v>4875</c:v>
                </c:pt>
                <c:pt idx="14">
                  <c:v>3900</c:v>
                </c:pt>
                <c:pt idx="15">
                  <c:v>3900</c:v>
                </c:pt>
                <c:pt idx="16">
                  <c:v>2925</c:v>
                </c:pt>
                <c:pt idx="17">
                  <c:v>3900</c:v>
                </c:pt>
                <c:pt idx="18">
                  <c:v>2925</c:v>
                </c:pt>
                <c:pt idx="19">
                  <c:v>2925</c:v>
                </c:pt>
                <c:pt idx="20">
                  <c:v>7800</c:v>
                </c:pt>
                <c:pt idx="21">
                  <c:v>7800</c:v>
                </c:pt>
                <c:pt idx="22">
                  <c:v>6825</c:v>
                </c:pt>
                <c:pt idx="23">
                  <c:v>6825</c:v>
                </c:pt>
                <c:pt idx="24">
                  <c:v>5850</c:v>
                </c:pt>
                <c:pt idx="25">
                  <c:v>5850</c:v>
                </c:pt>
                <c:pt idx="26">
                  <c:v>4875</c:v>
                </c:pt>
                <c:pt idx="27">
                  <c:v>4875</c:v>
                </c:pt>
                <c:pt idx="28">
                  <c:v>3900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8-412A-A3E8-7E9BAE3AC50E}"/>
            </c:ext>
          </c:extLst>
        </c:ser>
        <c:ser>
          <c:idx val="3"/>
          <c:order val="3"/>
          <c:tx>
            <c:strRef>
              <c:f>'Inv Simulation - HS1'!$L$31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HS1'!$L$32:$L$62</c:f>
              <c:numCache>
                <c:formatCode>_-* #,##0_-;\-* #,##0_-;_-* "-"??_-;_-@_-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8-412A-A3E8-7E9BAE3AC50E}"/>
            </c:ext>
          </c:extLst>
        </c:ser>
        <c:ser>
          <c:idx val="4"/>
          <c:order val="4"/>
          <c:tx>
            <c:strRef>
              <c:f>'Inv Simulation - HS1'!$M$31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HS1'!$M$32:$M$62</c:f>
              <c:numCache>
                <c:formatCode>_-* #,##0_-;\-* #,##0_-;_-* "-"??_-;_-@_-</c:formatCode>
                <c:ptCount val="31"/>
                <c:pt idx="0">
                  <c:v>67275</c:v>
                </c:pt>
                <c:pt idx="1">
                  <c:v>67275</c:v>
                </c:pt>
                <c:pt idx="2">
                  <c:v>67275</c:v>
                </c:pt>
                <c:pt idx="3">
                  <c:v>67275</c:v>
                </c:pt>
                <c:pt idx="4">
                  <c:v>67275</c:v>
                </c:pt>
                <c:pt idx="5">
                  <c:v>67275</c:v>
                </c:pt>
                <c:pt idx="6">
                  <c:v>67275</c:v>
                </c:pt>
                <c:pt idx="7">
                  <c:v>67275</c:v>
                </c:pt>
                <c:pt idx="8">
                  <c:v>67275</c:v>
                </c:pt>
                <c:pt idx="9">
                  <c:v>67275</c:v>
                </c:pt>
                <c:pt idx="10">
                  <c:v>67275</c:v>
                </c:pt>
                <c:pt idx="11">
                  <c:v>67275</c:v>
                </c:pt>
                <c:pt idx="12">
                  <c:v>67275</c:v>
                </c:pt>
                <c:pt idx="13">
                  <c:v>67275</c:v>
                </c:pt>
                <c:pt idx="14">
                  <c:v>67275</c:v>
                </c:pt>
                <c:pt idx="15">
                  <c:v>67275</c:v>
                </c:pt>
                <c:pt idx="16">
                  <c:v>67275</c:v>
                </c:pt>
                <c:pt idx="17">
                  <c:v>67275</c:v>
                </c:pt>
                <c:pt idx="18">
                  <c:v>67275</c:v>
                </c:pt>
                <c:pt idx="19">
                  <c:v>67275</c:v>
                </c:pt>
                <c:pt idx="20">
                  <c:v>67275</c:v>
                </c:pt>
                <c:pt idx="21">
                  <c:v>67275</c:v>
                </c:pt>
                <c:pt idx="22">
                  <c:v>67275</c:v>
                </c:pt>
                <c:pt idx="23">
                  <c:v>67275</c:v>
                </c:pt>
                <c:pt idx="24">
                  <c:v>67275</c:v>
                </c:pt>
                <c:pt idx="25">
                  <c:v>67275</c:v>
                </c:pt>
                <c:pt idx="26">
                  <c:v>67275</c:v>
                </c:pt>
                <c:pt idx="27">
                  <c:v>67275</c:v>
                </c:pt>
                <c:pt idx="28">
                  <c:v>67275</c:v>
                </c:pt>
                <c:pt idx="29">
                  <c:v>67275</c:v>
                </c:pt>
                <c:pt idx="30">
                  <c:v>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8-412A-A3E8-7E9BAE3AC50E}"/>
            </c:ext>
          </c:extLst>
        </c:ser>
        <c:ser>
          <c:idx val="5"/>
          <c:order val="5"/>
          <c:tx>
            <c:strRef>
              <c:f>'Inv Simulation - HS1'!$N$31</c:f>
              <c:strCache>
                <c:ptCount val="1"/>
                <c:pt idx="0">
                  <c:v>Reordering 
point</c:v>
                </c:pt>
              </c:strCache>
            </c:strRef>
          </c:tx>
          <c:spPr>
            <a:ln w="158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HS1'!$N$32:$N$62</c:f>
              <c:numCache>
                <c:formatCode>_-* #,##0_-;\-* #,##0_-;_-* "-"??_-;_-@_-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8-412A-A3E8-7E9BAE3A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9"/>
                <c:tx>
                  <c:strRef>
                    <c:extLst>
                      <c:ext uri="{02D57815-91ED-43cb-92C2-25804820EDAC}">
                        <c15:formulaRef>
                          <c15:sqref>'Inv Simulation - HS1'!$I$31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HS1'!$I$32:$I$62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512</c:v>
                      </c:pt>
                      <c:pt idx="2">
                        <c:v>512</c:v>
                      </c:pt>
                      <c:pt idx="3">
                        <c:v>512</c:v>
                      </c:pt>
                      <c:pt idx="4">
                        <c:v>512</c:v>
                      </c:pt>
                      <c:pt idx="5">
                        <c:v>512</c:v>
                      </c:pt>
                      <c:pt idx="6">
                        <c:v>512</c:v>
                      </c:pt>
                      <c:pt idx="7">
                        <c:v>512</c:v>
                      </c:pt>
                      <c:pt idx="8">
                        <c:v>512</c:v>
                      </c:pt>
                      <c:pt idx="9">
                        <c:v>512</c:v>
                      </c:pt>
                      <c:pt idx="10">
                        <c:v>512</c:v>
                      </c:pt>
                      <c:pt idx="11">
                        <c:v>512</c:v>
                      </c:pt>
                      <c:pt idx="12">
                        <c:v>512</c:v>
                      </c:pt>
                      <c:pt idx="13">
                        <c:v>512</c:v>
                      </c:pt>
                      <c:pt idx="14">
                        <c:v>512</c:v>
                      </c:pt>
                      <c:pt idx="15">
                        <c:v>512</c:v>
                      </c:pt>
                      <c:pt idx="16">
                        <c:v>512</c:v>
                      </c:pt>
                      <c:pt idx="17">
                        <c:v>512</c:v>
                      </c:pt>
                      <c:pt idx="18">
                        <c:v>512</c:v>
                      </c:pt>
                      <c:pt idx="19">
                        <c:v>512</c:v>
                      </c:pt>
                      <c:pt idx="20">
                        <c:v>512</c:v>
                      </c:pt>
                      <c:pt idx="21">
                        <c:v>512</c:v>
                      </c:pt>
                      <c:pt idx="22">
                        <c:v>512</c:v>
                      </c:pt>
                      <c:pt idx="23">
                        <c:v>512</c:v>
                      </c:pt>
                      <c:pt idx="24">
                        <c:v>512</c:v>
                      </c:pt>
                      <c:pt idx="25">
                        <c:v>512</c:v>
                      </c:pt>
                      <c:pt idx="26">
                        <c:v>512</c:v>
                      </c:pt>
                      <c:pt idx="27">
                        <c:v>512</c:v>
                      </c:pt>
                      <c:pt idx="28">
                        <c:v>512</c:v>
                      </c:pt>
                      <c:pt idx="29">
                        <c:v>512</c:v>
                      </c:pt>
                      <c:pt idx="30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368-412A-A3E8-7E9BAE3AC50E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658</c:v>
                      </c:pt>
                      <c:pt idx="2">
                        <c:v>146</c:v>
                      </c:pt>
                      <c:pt idx="3">
                        <c:v>609</c:v>
                      </c:pt>
                      <c:pt idx="4">
                        <c:v>97</c:v>
                      </c:pt>
                      <c:pt idx="5">
                        <c:v>560</c:v>
                      </c:pt>
                      <c:pt idx="6">
                        <c:v>48</c:v>
                      </c:pt>
                      <c:pt idx="7">
                        <c:v>511</c:v>
                      </c:pt>
                      <c:pt idx="8">
                        <c:v>974</c:v>
                      </c:pt>
                      <c:pt idx="9">
                        <c:v>462</c:v>
                      </c:pt>
                      <c:pt idx="10">
                        <c:v>925</c:v>
                      </c:pt>
                      <c:pt idx="11">
                        <c:v>413</c:v>
                      </c:pt>
                      <c:pt idx="12">
                        <c:v>876</c:v>
                      </c:pt>
                      <c:pt idx="13">
                        <c:v>364</c:v>
                      </c:pt>
                      <c:pt idx="14">
                        <c:v>827</c:v>
                      </c:pt>
                      <c:pt idx="15">
                        <c:v>315</c:v>
                      </c:pt>
                      <c:pt idx="16">
                        <c:v>778</c:v>
                      </c:pt>
                      <c:pt idx="17">
                        <c:v>266</c:v>
                      </c:pt>
                      <c:pt idx="18">
                        <c:v>729</c:v>
                      </c:pt>
                      <c:pt idx="19">
                        <c:v>217</c:v>
                      </c:pt>
                      <c:pt idx="20">
                        <c:v>680</c:v>
                      </c:pt>
                      <c:pt idx="21">
                        <c:v>168</c:v>
                      </c:pt>
                      <c:pt idx="22">
                        <c:v>631</c:v>
                      </c:pt>
                      <c:pt idx="23">
                        <c:v>119</c:v>
                      </c:pt>
                      <c:pt idx="24">
                        <c:v>582</c:v>
                      </c:pt>
                      <c:pt idx="25">
                        <c:v>70</c:v>
                      </c:pt>
                      <c:pt idx="26">
                        <c:v>533</c:v>
                      </c:pt>
                      <c:pt idx="27">
                        <c:v>21</c:v>
                      </c:pt>
                      <c:pt idx="28">
                        <c:v>484</c:v>
                      </c:pt>
                      <c:pt idx="29">
                        <c:v>947</c:v>
                      </c:pt>
                      <c:pt idx="30">
                        <c:v>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368-412A-A3E8-7E9BAE3AC50E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HS1'!$F$31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975</c:v>
                </c:pt>
                <c:pt idx="4">
                  <c:v>0</c:v>
                </c:pt>
                <c:pt idx="5">
                  <c:v>975</c:v>
                </c:pt>
                <c:pt idx="6">
                  <c:v>0</c:v>
                </c:pt>
                <c:pt idx="7">
                  <c:v>975</c:v>
                </c:pt>
                <c:pt idx="8">
                  <c:v>975</c:v>
                </c:pt>
                <c:pt idx="9">
                  <c:v>0</c:v>
                </c:pt>
                <c:pt idx="10">
                  <c:v>975</c:v>
                </c:pt>
                <c:pt idx="11">
                  <c:v>0</c:v>
                </c:pt>
                <c:pt idx="12">
                  <c:v>975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975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975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975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7-44DF-B8B1-3E94EE5FF504}"/>
            </c:ext>
          </c:extLst>
        </c:ser>
        <c:ser>
          <c:idx val="11"/>
          <c:order val="8"/>
          <c:tx>
            <c:strRef>
              <c:f>'Inv Simulation - HS1'!$I$31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HS1'!$I$32:$I$62</c:f>
              <c:numCache>
                <c:formatCode>_-* #,##0_-;\-* #,##0_-;_-* "-"??_-;_-@_-</c:formatCode>
                <c:ptCount val="31"/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7-44DF-B8B1-3E94EE5FF504}"/>
            </c:ext>
          </c:extLst>
        </c:ser>
        <c:ser>
          <c:idx val="7"/>
          <c:order val="10"/>
          <c:tx>
            <c:strRef>
              <c:f>'Inv Simulation - HS1'!$P$31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7-44DF-B8B1-3E94EE5F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HS1'!$E$31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5850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5850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5850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5850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097-44DF-B8B1-3E94EE5FF5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4875</c:v>
                      </c:pt>
                      <c:pt idx="1">
                        <c:v>3900</c:v>
                      </c:pt>
                      <c:pt idx="2">
                        <c:v>3900</c:v>
                      </c:pt>
                      <c:pt idx="3">
                        <c:v>2925</c:v>
                      </c:pt>
                      <c:pt idx="4">
                        <c:v>3900</c:v>
                      </c:pt>
                      <c:pt idx="5">
                        <c:v>2925</c:v>
                      </c:pt>
                      <c:pt idx="6">
                        <c:v>2925</c:v>
                      </c:pt>
                      <c:pt idx="7">
                        <c:v>7800</c:v>
                      </c:pt>
                      <c:pt idx="8">
                        <c:v>6825</c:v>
                      </c:pt>
                      <c:pt idx="9">
                        <c:v>6825</c:v>
                      </c:pt>
                      <c:pt idx="10">
                        <c:v>5850</c:v>
                      </c:pt>
                      <c:pt idx="11">
                        <c:v>5850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3900</c:v>
                      </c:pt>
                      <c:pt idx="15">
                        <c:v>3900</c:v>
                      </c:pt>
                      <c:pt idx="16">
                        <c:v>2925</c:v>
                      </c:pt>
                      <c:pt idx="17">
                        <c:v>3900</c:v>
                      </c:pt>
                      <c:pt idx="18">
                        <c:v>2925</c:v>
                      </c:pt>
                      <c:pt idx="19">
                        <c:v>2925</c:v>
                      </c:pt>
                      <c:pt idx="20">
                        <c:v>7800</c:v>
                      </c:pt>
                      <c:pt idx="21">
                        <c:v>7800</c:v>
                      </c:pt>
                      <c:pt idx="22">
                        <c:v>6825</c:v>
                      </c:pt>
                      <c:pt idx="23">
                        <c:v>6825</c:v>
                      </c:pt>
                      <c:pt idx="24">
                        <c:v>5850</c:v>
                      </c:pt>
                      <c:pt idx="25">
                        <c:v>5850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3900</c:v>
                      </c:pt>
                      <c:pt idx="29">
                        <c:v>2925</c:v>
                      </c:pt>
                      <c:pt idx="30">
                        <c:v>2925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97-44DF-B8B1-3E94EE5FF5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  <c:pt idx="18">
                        <c:v>5000</c:v>
                      </c:pt>
                      <c:pt idx="19">
                        <c:v>5000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5000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  <c:pt idx="29">
                        <c:v>5000</c:v>
                      </c:pt>
                      <c:pt idx="30">
                        <c:v>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97-44DF-B8B1-3E94EE5FF5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67275</c:v>
                      </c:pt>
                      <c:pt idx="1">
                        <c:v>67275</c:v>
                      </c:pt>
                      <c:pt idx="2">
                        <c:v>67275</c:v>
                      </c:pt>
                      <c:pt idx="3">
                        <c:v>67275</c:v>
                      </c:pt>
                      <c:pt idx="4">
                        <c:v>67275</c:v>
                      </c:pt>
                      <c:pt idx="5">
                        <c:v>67275</c:v>
                      </c:pt>
                      <c:pt idx="6">
                        <c:v>67275</c:v>
                      </c:pt>
                      <c:pt idx="7">
                        <c:v>67275</c:v>
                      </c:pt>
                      <c:pt idx="8">
                        <c:v>67275</c:v>
                      </c:pt>
                      <c:pt idx="9">
                        <c:v>67275</c:v>
                      </c:pt>
                      <c:pt idx="10">
                        <c:v>67275</c:v>
                      </c:pt>
                      <c:pt idx="11">
                        <c:v>67275</c:v>
                      </c:pt>
                      <c:pt idx="12">
                        <c:v>67275</c:v>
                      </c:pt>
                      <c:pt idx="13">
                        <c:v>67275</c:v>
                      </c:pt>
                      <c:pt idx="14">
                        <c:v>67275</c:v>
                      </c:pt>
                      <c:pt idx="15">
                        <c:v>67275</c:v>
                      </c:pt>
                      <c:pt idx="16">
                        <c:v>67275</c:v>
                      </c:pt>
                      <c:pt idx="17">
                        <c:v>67275</c:v>
                      </c:pt>
                      <c:pt idx="18">
                        <c:v>67275</c:v>
                      </c:pt>
                      <c:pt idx="19">
                        <c:v>67275</c:v>
                      </c:pt>
                      <c:pt idx="20">
                        <c:v>67275</c:v>
                      </c:pt>
                      <c:pt idx="21">
                        <c:v>67275</c:v>
                      </c:pt>
                      <c:pt idx="22">
                        <c:v>67275</c:v>
                      </c:pt>
                      <c:pt idx="23">
                        <c:v>67275</c:v>
                      </c:pt>
                      <c:pt idx="24">
                        <c:v>67275</c:v>
                      </c:pt>
                      <c:pt idx="25">
                        <c:v>67275</c:v>
                      </c:pt>
                      <c:pt idx="26">
                        <c:v>67275</c:v>
                      </c:pt>
                      <c:pt idx="27">
                        <c:v>67275</c:v>
                      </c:pt>
                      <c:pt idx="28">
                        <c:v>67275</c:v>
                      </c:pt>
                      <c:pt idx="29">
                        <c:v>67275</c:v>
                      </c:pt>
                      <c:pt idx="30">
                        <c:v>67275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97-44DF-B8B1-3E94EE5FF5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97-44DF-B8B1-3E94EE5FF504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4875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4875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97-44DF-B8B1-3E94EE5FF504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97-44DF-B8B1-3E94EE5FF50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HS1'!$J$31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HS1'!$J$32:$J$62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658</c:v>
                </c:pt>
                <c:pt idx="2">
                  <c:v>146</c:v>
                </c:pt>
                <c:pt idx="3">
                  <c:v>609</c:v>
                </c:pt>
                <c:pt idx="4">
                  <c:v>97</c:v>
                </c:pt>
                <c:pt idx="5">
                  <c:v>560</c:v>
                </c:pt>
                <c:pt idx="6">
                  <c:v>48</c:v>
                </c:pt>
                <c:pt idx="7">
                  <c:v>511</c:v>
                </c:pt>
                <c:pt idx="8">
                  <c:v>974</c:v>
                </c:pt>
                <c:pt idx="9">
                  <c:v>462</c:v>
                </c:pt>
                <c:pt idx="10">
                  <c:v>925</c:v>
                </c:pt>
                <c:pt idx="11">
                  <c:v>413</c:v>
                </c:pt>
                <c:pt idx="12">
                  <c:v>876</c:v>
                </c:pt>
                <c:pt idx="13">
                  <c:v>364</c:v>
                </c:pt>
                <c:pt idx="14">
                  <c:v>827</c:v>
                </c:pt>
                <c:pt idx="15">
                  <c:v>315</c:v>
                </c:pt>
                <c:pt idx="16">
                  <c:v>778</c:v>
                </c:pt>
                <c:pt idx="17">
                  <c:v>266</c:v>
                </c:pt>
                <c:pt idx="18">
                  <c:v>729</c:v>
                </c:pt>
                <c:pt idx="19">
                  <c:v>217</c:v>
                </c:pt>
                <c:pt idx="20">
                  <c:v>680</c:v>
                </c:pt>
                <c:pt idx="21">
                  <c:v>168</c:v>
                </c:pt>
                <c:pt idx="22">
                  <c:v>631</c:v>
                </c:pt>
                <c:pt idx="23">
                  <c:v>119</c:v>
                </c:pt>
                <c:pt idx="24">
                  <c:v>582</c:v>
                </c:pt>
                <c:pt idx="25">
                  <c:v>70</c:v>
                </c:pt>
                <c:pt idx="26">
                  <c:v>533</c:v>
                </c:pt>
                <c:pt idx="27">
                  <c:v>21</c:v>
                </c:pt>
                <c:pt idx="28">
                  <c:v>484</c:v>
                </c:pt>
                <c:pt idx="29">
                  <c:v>947</c:v>
                </c:pt>
                <c:pt idx="3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7-44DF-B8B1-3E94EE5F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HS1 (R)'!$E$31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(R)'!$E$32:$E$62</c:f>
              <c:numCache>
                <c:formatCode>General</c:formatCode>
                <c:ptCount val="31"/>
                <c:pt idx="1">
                  <c:v>25350</c:v>
                </c:pt>
                <c:pt idx="2">
                  <c:v>25350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25350</c:v>
                </c:pt>
                <c:pt idx="7">
                  <c:v>0</c:v>
                </c:pt>
                <c:pt idx="8">
                  <c:v>0</c:v>
                </c:pt>
                <c:pt idx="9">
                  <c:v>25350</c:v>
                </c:pt>
                <c:pt idx="10">
                  <c:v>0</c:v>
                </c:pt>
                <c:pt idx="11">
                  <c:v>0</c:v>
                </c:pt>
                <c:pt idx="12">
                  <c:v>25350</c:v>
                </c:pt>
                <c:pt idx="13">
                  <c:v>0</c:v>
                </c:pt>
                <c:pt idx="14">
                  <c:v>0</c:v>
                </c:pt>
                <c:pt idx="15">
                  <c:v>25350</c:v>
                </c:pt>
                <c:pt idx="16">
                  <c:v>0</c:v>
                </c:pt>
                <c:pt idx="17">
                  <c:v>0</c:v>
                </c:pt>
                <c:pt idx="18">
                  <c:v>25350</c:v>
                </c:pt>
                <c:pt idx="19">
                  <c:v>0</c:v>
                </c:pt>
                <c:pt idx="20">
                  <c:v>0</c:v>
                </c:pt>
                <c:pt idx="21">
                  <c:v>25350</c:v>
                </c:pt>
                <c:pt idx="22">
                  <c:v>0</c:v>
                </c:pt>
                <c:pt idx="23">
                  <c:v>0</c:v>
                </c:pt>
                <c:pt idx="24">
                  <c:v>25350</c:v>
                </c:pt>
                <c:pt idx="25">
                  <c:v>0</c:v>
                </c:pt>
                <c:pt idx="26">
                  <c:v>0</c:v>
                </c:pt>
                <c:pt idx="27">
                  <c:v>25350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9-498C-A06B-1E9F95F97098}"/>
            </c:ext>
          </c:extLst>
        </c:ser>
        <c:ser>
          <c:idx val="1"/>
          <c:order val="1"/>
          <c:tx>
            <c:strRef>
              <c:f>'Inv Simulation - HS1 (R)'!$F$31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975</c:v>
                </c:pt>
                <c:pt idx="3">
                  <c:v>975</c:v>
                </c:pt>
                <c:pt idx="4">
                  <c:v>975</c:v>
                </c:pt>
                <c:pt idx="5">
                  <c:v>975</c:v>
                </c:pt>
                <c:pt idx="6">
                  <c:v>975</c:v>
                </c:pt>
                <c:pt idx="7">
                  <c:v>975</c:v>
                </c:pt>
                <c:pt idx="8">
                  <c:v>975</c:v>
                </c:pt>
                <c:pt idx="9">
                  <c:v>975</c:v>
                </c:pt>
                <c:pt idx="10">
                  <c:v>975</c:v>
                </c:pt>
                <c:pt idx="11">
                  <c:v>975</c:v>
                </c:pt>
                <c:pt idx="12">
                  <c:v>975</c:v>
                </c:pt>
                <c:pt idx="13">
                  <c:v>975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975</c:v>
                </c:pt>
                <c:pt idx="18">
                  <c:v>975</c:v>
                </c:pt>
                <c:pt idx="19">
                  <c:v>975</c:v>
                </c:pt>
                <c:pt idx="20">
                  <c:v>975</c:v>
                </c:pt>
                <c:pt idx="21">
                  <c:v>975</c:v>
                </c:pt>
                <c:pt idx="22">
                  <c:v>975</c:v>
                </c:pt>
                <c:pt idx="23">
                  <c:v>975</c:v>
                </c:pt>
                <c:pt idx="24">
                  <c:v>975</c:v>
                </c:pt>
                <c:pt idx="25">
                  <c:v>975</c:v>
                </c:pt>
                <c:pt idx="26">
                  <c:v>975</c:v>
                </c:pt>
                <c:pt idx="27">
                  <c:v>975</c:v>
                </c:pt>
                <c:pt idx="28">
                  <c:v>975</c:v>
                </c:pt>
                <c:pt idx="29">
                  <c:v>975</c:v>
                </c:pt>
                <c:pt idx="3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9-498C-A06B-1E9F95F97098}"/>
            </c:ext>
          </c:extLst>
        </c:ser>
        <c:ser>
          <c:idx val="10"/>
          <c:order val="6"/>
          <c:tx>
            <c:strRef>
              <c:f>'Inv Simulation - HS1 (R)'!$H$31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 (R)'!$H$32:$H$62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14625</c:v>
                </c:pt>
                <c:pt idx="3">
                  <c:v>7800</c:v>
                </c:pt>
                <c:pt idx="4">
                  <c:v>0</c:v>
                </c:pt>
                <c:pt idx="5">
                  <c:v>14625</c:v>
                </c:pt>
                <c:pt idx="6">
                  <c:v>7800</c:v>
                </c:pt>
                <c:pt idx="7">
                  <c:v>0</c:v>
                </c:pt>
                <c:pt idx="8">
                  <c:v>14625</c:v>
                </c:pt>
                <c:pt idx="9">
                  <c:v>7800</c:v>
                </c:pt>
                <c:pt idx="10">
                  <c:v>0</c:v>
                </c:pt>
                <c:pt idx="11">
                  <c:v>14625</c:v>
                </c:pt>
                <c:pt idx="12">
                  <c:v>7800</c:v>
                </c:pt>
                <c:pt idx="13">
                  <c:v>0</c:v>
                </c:pt>
                <c:pt idx="14">
                  <c:v>14625</c:v>
                </c:pt>
                <c:pt idx="15">
                  <c:v>7800</c:v>
                </c:pt>
                <c:pt idx="16">
                  <c:v>0</c:v>
                </c:pt>
                <c:pt idx="17">
                  <c:v>14625</c:v>
                </c:pt>
                <c:pt idx="18">
                  <c:v>7800</c:v>
                </c:pt>
                <c:pt idx="19">
                  <c:v>0</c:v>
                </c:pt>
                <c:pt idx="20">
                  <c:v>14625</c:v>
                </c:pt>
                <c:pt idx="21">
                  <c:v>7800</c:v>
                </c:pt>
                <c:pt idx="22">
                  <c:v>0</c:v>
                </c:pt>
                <c:pt idx="23">
                  <c:v>14625</c:v>
                </c:pt>
                <c:pt idx="24">
                  <c:v>7800</c:v>
                </c:pt>
                <c:pt idx="25">
                  <c:v>0</c:v>
                </c:pt>
                <c:pt idx="26">
                  <c:v>14625</c:v>
                </c:pt>
                <c:pt idx="27">
                  <c:v>7800</c:v>
                </c:pt>
                <c:pt idx="28">
                  <c:v>0</c:v>
                </c:pt>
                <c:pt idx="29">
                  <c:v>14625</c:v>
                </c:pt>
                <c:pt idx="30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'Inv Simulation - HS1 (R)'!$O$31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 (R)'!$O$32:$O$62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C9-498C-A06B-1E9F95F97098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C9-498C-A06B-1E9F95F97098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9"/>
          <c:order val="12"/>
          <c:tx>
            <c:strRef>
              <c:f>'Inv Simulation - HS1'!$E$31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noFill/>
            <a:ln>
              <a:solidFill>
                <a:schemeClr val="accent2">
                  <a:lumMod val="60000"/>
                  <a:lumOff val="40000"/>
                  <a:alpha val="97000"/>
                </a:schemeClr>
              </a:solidFill>
              <a:prstDash val="sysDash"/>
            </a:ln>
            <a:effectLst/>
          </c:spPr>
          <c:invertIfNegative val="0"/>
          <c:dPt>
            <c:idx val="3"/>
            <c:invertIfNegative val="0"/>
            <c:bubble3D val="0"/>
            <c:spPr>
              <a:noFill/>
              <a:ln w="15875">
                <a:solidFill>
                  <a:schemeClr val="accent2">
                    <a:lumMod val="60000"/>
                    <a:lumOff val="40000"/>
                    <a:alpha val="97000"/>
                  </a:schemeClr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9BC9-498C-A06B-1E9F95F97098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chemeClr val="accent2">
                    <a:lumMod val="60000"/>
                    <a:lumOff val="40000"/>
                    <a:alpha val="97000"/>
                  </a:schemeClr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C9-498C-A06B-1E9F95F97098}"/>
              </c:ext>
            </c:extLst>
          </c:dPt>
          <c:val>
            <c:numRef>
              <c:f>'Inv Simulation - HS1'!$E$32:$E$62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5850</c:v>
                </c:pt>
                <c:pt idx="5">
                  <c:v>0</c:v>
                </c:pt>
                <c:pt idx="6">
                  <c:v>0</c:v>
                </c:pt>
                <c:pt idx="7">
                  <c:v>5850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5850</c:v>
                </c:pt>
                <c:pt idx="18">
                  <c:v>0</c:v>
                </c:pt>
                <c:pt idx="19">
                  <c:v>0</c:v>
                </c:pt>
                <c:pt idx="20">
                  <c:v>5850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81072"/>
        <c:axId val="569580088"/>
      </c:barChart>
      <c:lineChart>
        <c:grouping val="standard"/>
        <c:varyColors val="0"/>
        <c:ser>
          <c:idx val="2"/>
          <c:order val="2"/>
          <c:tx>
            <c:strRef>
              <c:f>'Inv Simulation - HS1 (R)'!$G$31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8575" cap="rnd">
              <a:solidFill>
                <a:srgbClr val="00B050">
                  <a:alpha val="53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(R)'!$G$32:$G$62</c:f>
              <c:numCache>
                <c:formatCode>_-* #,##0_-;\-* #,##0_-;_-* "-"??_-;_-@_-</c:formatCode>
                <c:ptCount val="31"/>
                <c:pt idx="0" formatCode="General">
                  <c:v>7800</c:v>
                </c:pt>
                <c:pt idx="1">
                  <c:v>32175</c:v>
                </c:pt>
                <c:pt idx="2">
                  <c:v>41925</c:v>
                </c:pt>
                <c:pt idx="3">
                  <c:v>33150</c:v>
                </c:pt>
                <c:pt idx="4">
                  <c:v>32175</c:v>
                </c:pt>
                <c:pt idx="5">
                  <c:v>16575</c:v>
                </c:pt>
                <c:pt idx="6">
                  <c:v>33150</c:v>
                </c:pt>
                <c:pt idx="7">
                  <c:v>32175</c:v>
                </c:pt>
                <c:pt idx="8">
                  <c:v>16575</c:v>
                </c:pt>
                <c:pt idx="9">
                  <c:v>33150</c:v>
                </c:pt>
                <c:pt idx="10">
                  <c:v>32175</c:v>
                </c:pt>
                <c:pt idx="11">
                  <c:v>16575</c:v>
                </c:pt>
                <c:pt idx="12">
                  <c:v>33150</c:v>
                </c:pt>
                <c:pt idx="13">
                  <c:v>32175</c:v>
                </c:pt>
                <c:pt idx="14">
                  <c:v>16575</c:v>
                </c:pt>
                <c:pt idx="15">
                  <c:v>33150</c:v>
                </c:pt>
                <c:pt idx="16">
                  <c:v>32175</c:v>
                </c:pt>
                <c:pt idx="17">
                  <c:v>16575</c:v>
                </c:pt>
                <c:pt idx="18">
                  <c:v>33150</c:v>
                </c:pt>
                <c:pt idx="19">
                  <c:v>32175</c:v>
                </c:pt>
                <c:pt idx="20">
                  <c:v>16575</c:v>
                </c:pt>
                <c:pt idx="21">
                  <c:v>33150</c:v>
                </c:pt>
                <c:pt idx="22">
                  <c:v>32175</c:v>
                </c:pt>
                <c:pt idx="23">
                  <c:v>16575</c:v>
                </c:pt>
                <c:pt idx="24">
                  <c:v>33150</c:v>
                </c:pt>
                <c:pt idx="25">
                  <c:v>32175</c:v>
                </c:pt>
                <c:pt idx="26">
                  <c:v>16575</c:v>
                </c:pt>
                <c:pt idx="27">
                  <c:v>33150</c:v>
                </c:pt>
                <c:pt idx="28">
                  <c:v>32175</c:v>
                </c:pt>
                <c:pt idx="29">
                  <c:v>16575</c:v>
                </c:pt>
                <c:pt idx="30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9-498C-A06B-1E9F95F97098}"/>
            </c:ext>
          </c:extLst>
        </c:ser>
        <c:ser>
          <c:idx val="3"/>
          <c:order val="3"/>
          <c:tx>
            <c:strRef>
              <c:f>'Inv Simulation - HS1 (R)'!$L$31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(R)'!$L$32:$L$62</c:f>
              <c:numCache>
                <c:formatCode>_-* #,##0_-;\-* #,##0_-;_-* "-"??_-;_-@_-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9-498C-A06B-1E9F95F97098}"/>
            </c:ext>
          </c:extLst>
        </c:ser>
        <c:ser>
          <c:idx val="4"/>
          <c:order val="4"/>
          <c:tx>
            <c:strRef>
              <c:f>'Inv Simulation - HS1 (R)'!$M$31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(R)'!$M$32:$M$62</c:f>
              <c:numCache>
                <c:formatCode>_-* #,##0_-;\-* #,##0_-;_-* "-"??_-;_-@_-</c:formatCode>
                <c:ptCount val="31"/>
                <c:pt idx="0">
                  <c:v>67275</c:v>
                </c:pt>
                <c:pt idx="1">
                  <c:v>67275</c:v>
                </c:pt>
                <c:pt idx="2">
                  <c:v>67275</c:v>
                </c:pt>
                <c:pt idx="3">
                  <c:v>67275</c:v>
                </c:pt>
                <c:pt idx="4">
                  <c:v>67275</c:v>
                </c:pt>
                <c:pt idx="5">
                  <c:v>67275</c:v>
                </c:pt>
                <c:pt idx="6">
                  <c:v>67275</c:v>
                </c:pt>
                <c:pt idx="7">
                  <c:v>67275</c:v>
                </c:pt>
                <c:pt idx="8">
                  <c:v>67275</c:v>
                </c:pt>
                <c:pt idx="9">
                  <c:v>67275</c:v>
                </c:pt>
                <c:pt idx="10">
                  <c:v>67275</c:v>
                </c:pt>
                <c:pt idx="11">
                  <c:v>67275</c:v>
                </c:pt>
                <c:pt idx="12">
                  <c:v>67275</c:v>
                </c:pt>
                <c:pt idx="13">
                  <c:v>67275</c:v>
                </c:pt>
                <c:pt idx="14">
                  <c:v>67275</c:v>
                </c:pt>
                <c:pt idx="15">
                  <c:v>67275</c:v>
                </c:pt>
                <c:pt idx="16">
                  <c:v>67275</c:v>
                </c:pt>
                <c:pt idx="17">
                  <c:v>67275</c:v>
                </c:pt>
                <c:pt idx="18">
                  <c:v>67275</c:v>
                </c:pt>
                <c:pt idx="19">
                  <c:v>67275</c:v>
                </c:pt>
                <c:pt idx="20">
                  <c:v>67275</c:v>
                </c:pt>
                <c:pt idx="21">
                  <c:v>67275</c:v>
                </c:pt>
                <c:pt idx="22">
                  <c:v>67275</c:v>
                </c:pt>
                <c:pt idx="23">
                  <c:v>67275</c:v>
                </c:pt>
                <c:pt idx="24">
                  <c:v>67275</c:v>
                </c:pt>
                <c:pt idx="25">
                  <c:v>67275</c:v>
                </c:pt>
                <c:pt idx="26">
                  <c:v>67275</c:v>
                </c:pt>
                <c:pt idx="27">
                  <c:v>67275</c:v>
                </c:pt>
                <c:pt idx="28">
                  <c:v>67275</c:v>
                </c:pt>
                <c:pt idx="29">
                  <c:v>67275</c:v>
                </c:pt>
                <c:pt idx="30">
                  <c:v>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9-498C-A06B-1E9F95F97098}"/>
            </c:ext>
          </c:extLst>
        </c:ser>
        <c:ser>
          <c:idx val="5"/>
          <c:order val="5"/>
          <c:tx>
            <c:strRef>
              <c:f>'Inv Simulation - HS1 (R)'!$N$31</c:f>
              <c:strCache>
                <c:ptCount val="1"/>
                <c:pt idx="0">
                  <c:v>Reordering 
point</c:v>
                </c:pt>
              </c:strCache>
            </c:strRef>
          </c:tx>
          <c:spPr>
            <a:ln w="158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(R)'!$N$32:$N$62</c:f>
              <c:numCache>
                <c:formatCode>_-* #,##0_-;\-* #,##0_-;_-* "-"??_-;_-@_-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ser>
          <c:idx val="8"/>
          <c:order val="11"/>
          <c:tx>
            <c:strRef>
              <c:f>'Inv Simulation - HS1'!$G$31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'Inv Simulation - HS1'!$G$32:$G$62</c:f>
              <c:numCache>
                <c:formatCode>_-* #,##0_-;\-* #,##0_-;_-* "-"??_-;_-@_-</c:formatCode>
                <c:ptCount val="31"/>
                <c:pt idx="0" formatCode="General">
                  <c:v>4875</c:v>
                </c:pt>
                <c:pt idx="1">
                  <c:v>3900</c:v>
                </c:pt>
                <c:pt idx="2">
                  <c:v>3900</c:v>
                </c:pt>
                <c:pt idx="3">
                  <c:v>2925</c:v>
                </c:pt>
                <c:pt idx="4">
                  <c:v>3900</c:v>
                </c:pt>
                <c:pt idx="5">
                  <c:v>2925</c:v>
                </c:pt>
                <c:pt idx="6">
                  <c:v>2925</c:v>
                </c:pt>
                <c:pt idx="7">
                  <c:v>7800</c:v>
                </c:pt>
                <c:pt idx="8">
                  <c:v>6825</c:v>
                </c:pt>
                <c:pt idx="9">
                  <c:v>6825</c:v>
                </c:pt>
                <c:pt idx="10">
                  <c:v>5850</c:v>
                </c:pt>
                <c:pt idx="11">
                  <c:v>5850</c:v>
                </c:pt>
                <c:pt idx="12">
                  <c:v>4875</c:v>
                </c:pt>
                <c:pt idx="13">
                  <c:v>4875</c:v>
                </c:pt>
                <c:pt idx="14">
                  <c:v>3900</c:v>
                </c:pt>
                <c:pt idx="15">
                  <c:v>3900</c:v>
                </c:pt>
                <c:pt idx="16">
                  <c:v>2925</c:v>
                </c:pt>
                <c:pt idx="17">
                  <c:v>3900</c:v>
                </c:pt>
                <c:pt idx="18">
                  <c:v>2925</c:v>
                </c:pt>
                <c:pt idx="19">
                  <c:v>2925</c:v>
                </c:pt>
                <c:pt idx="20">
                  <c:v>7800</c:v>
                </c:pt>
                <c:pt idx="21">
                  <c:v>7800</c:v>
                </c:pt>
                <c:pt idx="22">
                  <c:v>6825</c:v>
                </c:pt>
                <c:pt idx="23">
                  <c:v>6825</c:v>
                </c:pt>
                <c:pt idx="24">
                  <c:v>5850</c:v>
                </c:pt>
                <c:pt idx="25">
                  <c:v>5850</c:v>
                </c:pt>
                <c:pt idx="26">
                  <c:v>4875</c:v>
                </c:pt>
                <c:pt idx="27">
                  <c:v>4875</c:v>
                </c:pt>
                <c:pt idx="28">
                  <c:v>3900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9"/>
                <c:tx>
                  <c:strRef>
                    <c:extLst>
                      <c:ext uri="{02D57815-91ED-43cb-92C2-25804820EDAC}">
                        <c15:formulaRef>
                          <c15:sqref>'Inv Simulation - HS1 (R)'!$I$31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HS1 (R)'!$I$32:$I$62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960</c:v>
                      </c:pt>
                      <c:pt idx="2">
                        <c:v>960</c:v>
                      </c:pt>
                      <c:pt idx="3">
                        <c:v>960</c:v>
                      </c:pt>
                      <c:pt idx="4">
                        <c:v>960</c:v>
                      </c:pt>
                      <c:pt idx="5">
                        <c:v>960</c:v>
                      </c:pt>
                      <c:pt idx="6">
                        <c:v>960</c:v>
                      </c:pt>
                      <c:pt idx="7">
                        <c:v>960</c:v>
                      </c:pt>
                      <c:pt idx="8">
                        <c:v>960</c:v>
                      </c:pt>
                      <c:pt idx="9">
                        <c:v>960</c:v>
                      </c:pt>
                      <c:pt idx="10">
                        <c:v>960</c:v>
                      </c:pt>
                      <c:pt idx="11">
                        <c:v>960</c:v>
                      </c:pt>
                      <c:pt idx="12">
                        <c:v>960</c:v>
                      </c:pt>
                      <c:pt idx="13">
                        <c:v>960</c:v>
                      </c:pt>
                      <c:pt idx="14">
                        <c:v>960</c:v>
                      </c:pt>
                      <c:pt idx="15">
                        <c:v>960</c:v>
                      </c:pt>
                      <c:pt idx="16">
                        <c:v>960</c:v>
                      </c:pt>
                      <c:pt idx="17">
                        <c:v>960</c:v>
                      </c:pt>
                      <c:pt idx="18">
                        <c:v>960</c:v>
                      </c:pt>
                      <c:pt idx="19">
                        <c:v>960</c:v>
                      </c:pt>
                      <c:pt idx="20">
                        <c:v>960</c:v>
                      </c:pt>
                      <c:pt idx="21">
                        <c:v>960</c:v>
                      </c:pt>
                      <c:pt idx="22">
                        <c:v>960</c:v>
                      </c:pt>
                      <c:pt idx="23">
                        <c:v>960</c:v>
                      </c:pt>
                      <c:pt idx="24">
                        <c:v>960</c:v>
                      </c:pt>
                      <c:pt idx="25">
                        <c:v>960</c:v>
                      </c:pt>
                      <c:pt idx="26">
                        <c:v>960</c:v>
                      </c:pt>
                      <c:pt idx="27">
                        <c:v>960</c:v>
                      </c:pt>
                      <c:pt idx="28">
                        <c:v>960</c:v>
                      </c:pt>
                      <c:pt idx="29">
                        <c:v>960</c:v>
                      </c:pt>
                      <c:pt idx="30">
                        <c:v>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BC9-498C-A06B-1E9F95F97098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210</c:v>
                      </c:pt>
                      <c:pt idx="2">
                        <c:v>225</c:v>
                      </c:pt>
                      <c:pt idx="3">
                        <c:v>240</c:v>
                      </c:pt>
                      <c:pt idx="4">
                        <c:v>255</c:v>
                      </c:pt>
                      <c:pt idx="5">
                        <c:v>270</c:v>
                      </c:pt>
                      <c:pt idx="6">
                        <c:v>285</c:v>
                      </c:pt>
                      <c:pt idx="7">
                        <c:v>300</c:v>
                      </c:pt>
                      <c:pt idx="8">
                        <c:v>315</c:v>
                      </c:pt>
                      <c:pt idx="9">
                        <c:v>330</c:v>
                      </c:pt>
                      <c:pt idx="10">
                        <c:v>345</c:v>
                      </c:pt>
                      <c:pt idx="11">
                        <c:v>360</c:v>
                      </c:pt>
                      <c:pt idx="12">
                        <c:v>375</c:v>
                      </c:pt>
                      <c:pt idx="13">
                        <c:v>390</c:v>
                      </c:pt>
                      <c:pt idx="14">
                        <c:v>405</c:v>
                      </c:pt>
                      <c:pt idx="15">
                        <c:v>420</c:v>
                      </c:pt>
                      <c:pt idx="16">
                        <c:v>435</c:v>
                      </c:pt>
                      <c:pt idx="17">
                        <c:v>450</c:v>
                      </c:pt>
                      <c:pt idx="18">
                        <c:v>465</c:v>
                      </c:pt>
                      <c:pt idx="19">
                        <c:v>480</c:v>
                      </c:pt>
                      <c:pt idx="20">
                        <c:v>495</c:v>
                      </c:pt>
                      <c:pt idx="21">
                        <c:v>510</c:v>
                      </c:pt>
                      <c:pt idx="22">
                        <c:v>525</c:v>
                      </c:pt>
                      <c:pt idx="23">
                        <c:v>540</c:v>
                      </c:pt>
                      <c:pt idx="24">
                        <c:v>555</c:v>
                      </c:pt>
                      <c:pt idx="25">
                        <c:v>570</c:v>
                      </c:pt>
                      <c:pt idx="26">
                        <c:v>585</c:v>
                      </c:pt>
                      <c:pt idx="27">
                        <c:v>600</c:v>
                      </c:pt>
                      <c:pt idx="28">
                        <c:v>615</c:v>
                      </c:pt>
                      <c:pt idx="29">
                        <c:v>630</c:v>
                      </c:pt>
                      <c:pt idx="30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C9-498C-A06B-1E9F95F97098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45474629625394"/>
          <c:h val="0.1045150113952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HS1 (R)'!$F$31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975</c:v>
                </c:pt>
                <c:pt idx="3">
                  <c:v>975</c:v>
                </c:pt>
                <c:pt idx="4">
                  <c:v>975</c:v>
                </c:pt>
                <c:pt idx="5">
                  <c:v>975</c:v>
                </c:pt>
                <c:pt idx="6">
                  <c:v>975</c:v>
                </c:pt>
                <c:pt idx="7">
                  <c:v>975</c:v>
                </c:pt>
                <c:pt idx="8">
                  <c:v>975</c:v>
                </c:pt>
                <c:pt idx="9">
                  <c:v>975</c:v>
                </c:pt>
                <c:pt idx="10">
                  <c:v>975</c:v>
                </c:pt>
                <c:pt idx="11">
                  <c:v>975</c:v>
                </c:pt>
                <c:pt idx="12">
                  <c:v>975</c:v>
                </c:pt>
                <c:pt idx="13">
                  <c:v>975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975</c:v>
                </c:pt>
                <c:pt idx="18">
                  <c:v>975</c:v>
                </c:pt>
                <c:pt idx="19">
                  <c:v>975</c:v>
                </c:pt>
                <c:pt idx="20">
                  <c:v>975</c:v>
                </c:pt>
                <c:pt idx="21">
                  <c:v>975</c:v>
                </c:pt>
                <c:pt idx="22">
                  <c:v>975</c:v>
                </c:pt>
                <c:pt idx="23">
                  <c:v>975</c:v>
                </c:pt>
                <c:pt idx="24">
                  <c:v>975</c:v>
                </c:pt>
                <c:pt idx="25">
                  <c:v>975</c:v>
                </c:pt>
                <c:pt idx="26">
                  <c:v>975</c:v>
                </c:pt>
                <c:pt idx="27">
                  <c:v>975</c:v>
                </c:pt>
                <c:pt idx="28">
                  <c:v>975</c:v>
                </c:pt>
                <c:pt idx="29">
                  <c:v>975</c:v>
                </c:pt>
                <c:pt idx="3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44AB-9531-E938DDD5E604}"/>
            </c:ext>
          </c:extLst>
        </c:ser>
        <c:ser>
          <c:idx val="11"/>
          <c:order val="8"/>
          <c:tx>
            <c:strRef>
              <c:f>'Inv Simulation - HS1 (R)'!$I$31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 (R)'!$I$32:$I$62</c:f>
              <c:numCache>
                <c:formatCode>_-* #,##0_-;\-* #,##0_-;_-* "-"??_-;_-@_-</c:formatCode>
                <c:ptCount val="31"/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960</c:v>
                </c:pt>
                <c:pt idx="14">
                  <c:v>960</c:v>
                </c:pt>
                <c:pt idx="15">
                  <c:v>960</c:v>
                </c:pt>
                <c:pt idx="16">
                  <c:v>960</c:v>
                </c:pt>
                <c:pt idx="17">
                  <c:v>960</c:v>
                </c:pt>
                <c:pt idx="18">
                  <c:v>960</c:v>
                </c:pt>
                <c:pt idx="19">
                  <c:v>960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960</c:v>
                </c:pt>
                <c:pt idx="25">
                  <c:v>960</c:v>
                </c:pt>
                <c:pt idx="26">
                  <c:v>960</c:v>
                </c:pt>
                <c:pt idx="27">
                  <c:v>960</c:v>
                </c:pt>
                <c:pt idx="28">
                  <c:v>960</c:v>
                </c:pt>
                <c:pt idx="29">
                  <c:v>960</c:v>
                </c:pt>
                <c:pt idx="30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E-44AB-9531-E938DDD5E604}"/>
            </c:ext>
          </c:extLst>
        </c:ser>
        <c:ser>
          <c:idx val="7"/>
          <c:order val="10"/>
          <c:tx>
            <c:strRef>
              <c:f>'Inv Simulation - HS1 (R)'!$P$31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E-44AB-9531-E938DDD5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HS1 (R)'!$E$31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 (R)'!$E$32:$E$62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25350</c:v>
                      </c:pt>
                      <c:pt idx="2">
                        <c:v>25350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25350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25350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25350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25350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25350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25350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25350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25350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02E-44AB-9531-E938DDD5E6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7800</c:v>
                      </c:pt>
                      <c:pt idx="1">
                        <c:v>32175</c:v>
                      </c:pt>
                      <c:pt idx="2">
                        <c:v>41925</c:v>
                      </c:pt>
                      <c:pt idx="3">
                        <c:v>33150</c:v>
                      </c:pt>
                      <c:pt idx="4">
                        <c:v>32175</c:v>
                      </c:pt>
                      <c:pt idx="5">
                        <c:v>16575</c:v>
                      </c:pt>
                      <c:pt idx="6">
                        <c:v>33150</c:v>
                      </c:pt>
                      <c:pt idx="7">
                        <c:v>32175</c:v>
                      </c:pt>
                      <c:pt idx="8">
                        <c:v>16575</c:v>
                      </c:pt>
                      <c:pt idx="9">
                        <c:v>33150</c:v>
                      </c:pt>
                      <c:pt idx="10">
                        <c:v>32175</c:v>
                      </c:pt>
                      <c:pt idx="11">
                        <c:v>16575</c:v>
                      </c:pt>
                      <c:pt idx="12">
                        <c:v>33150</c:v>
                      </c:pt>
                      <c:pt idx="13">
                        <c:v>32175</c:v>
                      </c:pt>
                      <c:pt idx="14">
                        <c:v>16575</c:v>
                      </c:pt>
                      <c:pt idx="15">
                        <c:v>33150</c:v>
                      </c:pt>
                      <c:pt idx="16">
                        <c:v>32175</c:v>
                      </c:pt>
                      <c:pt idx="17">
                        <c:v>16575</c:v>
                      </c:pt>
                      <c:pt idx="18">
                        <c:v>33150</c:v>
                      </c:pt>
                      <c:pt idx="19">
                        <c:v>32175</c:v>
                      </c:pt>
                      <c:pt idx="20">
                        <c:v>16575</c:v>
                      </c:pt>
                      <c:pt idx="21">
                        <c:v>33150</c:v>
                      </c:pt>
                      <c:pt idx="22">
                        <c:v>32175</c:v>
                      </c:pt>
                      <c:pt idx="23">
                        <c:v>16575</c:v>
                      </c:pt>
                      <c:pt idx="24">
                        <c:v>33150</c:v>
                      </c:pt>
                      <c:pt idx="25">
                        <c:v>32175</c:v>
                      </c:pt>
                      <c:pt idx="26">
                        <c:v>16575</c:v>
                      </c:pt>
                      <c:pt idx="27">
                        <c:v>33150</c:v>
                      </c:pt>
                      <c:pt idx="28">
                        <c:v>32175</c:v>
                      </c:pt>
                      <c:pt idx="29">
                        <c:v>16575</c:v>
                      </c:pt>
                      <c:pt idx="30">
                        <c:v>7800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2E-44AB-9531-E938DDD5E6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  <c:pt idx="18">
                        <c:v>5000</c:v>
                      </c:pt>
                      <c:pt idx="19">
                        <c:v>5000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5000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  <c:pt idx="29">
                        <c:v>5000</c:v>
                      </c:pt>
                      <c:pt idx="30">
                        <c:v>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2E-44AB-9531-E938DDD5E6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67275</c:v>
                      </c:pt>
                      <c:pt idx="1">
                        <c:v>67275</c:v>
                      </c:pt>
                      <c:pt idx="2">
                        <c:v>67275</c:v>
                      </c:pt>
                      <c:pt idx="3">
                        <c:v>67275</c:v>
                      </c:pt>
                      <c:pt idx="4">
                        <c:v>67275</c:v>
                      </c:pt>
                      <c:pt idx="5">
                        <c:v>67275</c:v>
                      </c:pt>
                      <c:pt idx="6">
                        <c:v>67275</c:v>
                      </c:pt>
                      <c:pt idx="7">
                        <c:v>67275</c:v>
                      </c:pt>
                      <c:pt idx="8">
                        <c:v>67275</c:v>
                      </c:pt>
                      <c:pt idx="9">
                        <c:v>67275</c:v>
                      </c:pt>
                      <c:pt idx="10">
                        <c:v>67275</c:v>
                      </c:pt>
                      <c:pt idx="11">
                        <c:v>67275</c:v>
                      </c:pt>
                      <c:pt idx="12">
                        <c:v>67275</c:v>
                      </c:pt>
                      <c:pt idx="13">
                        <c:v>67275</c:v>
                      </c:pt>
                      <c:pt idx="14">
                        <c:v>67275</c:v>
                      </c:pt>
                      <c:pt idx="15">
                        <c:v>67275</c:v>
                      </c:pt>
                      <c:pt idx="16">
                        <c:v>67275</c:v>
                      </c:pt>
                      <c:pt idx="17">
                        <c:v>67275</c:v>
                      </c:pt>
                      <c:pt idx="18">
                        <c:v>67275</c:v>
                      </c:pt>
                      <c:pt idx="19">
                        <c:v>67275</c:v>
                      </c:pt>
                      <c:pt idx="20">
                        <c:v>67275</c:v>
                      </c:pt>
                      <c:pt idx="21">
                        <c:v>67275</c:v>
                      </c:pt>
                      <c:pt idx="22">
                        <c:v>67275</c:v>
                      </c:pt>
                      <c:pt idx="23">
                        <c:v>67275</c:v>
                      </c:pt>
                      <c:pt idx="24">
                        <c:v>67275</c:v>
                      </c:pt>
                      <c:pt idx="25">
                        <c:v>67275</c:v>
                      </c:pt>
                      <c:pt idx="26">
                        <c:v>67275</c:v>
                      </c:pt>
                      <c:pt idx="27">
                        <c:v>67275</c:v>
                      </c:pt>
                      <c:pt idx="28">
                        <c:v>67275</c:v>
                      </c:pt>
                      <c:pt idx="29">
                        <c:v>67275</c:v>
                      </c:pt>
                      <c:pt idx="30">
                        <c:v>67275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2E-44AB-9531-E938DDD5E6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2E-44AB-9531-E938DDD5E604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14625</c:v>
                      </c:pt>
                      <c:pt idx="3">
                        <c:v>7800</c:v>
                      </c:pt>
                      <c:pt idx="4">
                        <c:v>0</c:v>
                      </c:pt>
                      <c:pt idx="5">
                        <c:v>14625</c:v>
                      </c:pt>
                      <c:pt idx="6">
                        <c:v>7800</c:v>
                      </c:pt>
                      <c:pt idx="7">
                        <c:v>0</c:v>
                      </c:pt>
                      <c:pt idx="8">
                        <c:v>14625</c:v>
                      </c:pt>
                      <c:pt idx="9">
                        <c:v>7800</c:v>
                      </c:pt>
                      <c:pt idx="10">
                        <c:v>0</c:v>
                      </c:pt>
                      <c:pt idx="11">
                        <c:v>14625</c:v>
                      </c:pt>
                      <c:pt idx="12">
                        <c:v>7800</c:v>
                      </c:pt>
                      <c:pt idx="13">
                        <c:v>0</c:v>
                      </c:pt>
                      <c:pt idx="14">
                        <c:v>14625</c:v>
                      </c:pt>
                      <c:pt idx="15">
                        <c:v>7800</c:v>
                      </c:pt>
                      <c:pt idx="16">
                        <c:v>0</c:v>
                      </c:pt>
                      <c:pt idx="17">
                        <c:v>14625</c:v>
                      </c:pt>
                      <c:pt idx="18">
                        <c:v>7800</c:v>
                      </c:pt>
                      <c:pt idx="19">
                        <c:v>0</c:v>
                      </c:pt>
                      <c:pt idx="20">
                        <c:v>14625</c:v>
                      </c:pt>
                      <c:pt idx="21">
                        <c:v>7800</c:v>
                      </c:pt>
                      <c:pt idx="22">
                        <c:v>0</c:v>
                      </c:pt>
                      <c:pt idx="23">
                        <c:v>14625</c:v>
                      </c:pt>
                      <c:pt idx="24">
                        <c:v>7800</c:v>
                      </c:pt>
                      <c:pt idx="25">
                        <c:v>0</c:v>
                      </c:pt>
                      <c:pt idx="26">
                        <c:v>14625</c:v>
                      </c:pt>
                      <c:pt idx="27">
                        <c:v>7800</c:v>
                      </c:pt>
                      <c:pt idx="28">
                        <c:v>0</c:v>
                      </c:pt>
                      <c:pt idx="29">
                        <c:v>14625</c:v>
                      </c:pt>
                      <c:pt idx="30">
                        <c:v>7800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2E-44AB-9531-E938DDD5E604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2E-44AB-9531-E938DDD5E60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HS1 (R)'!$J$31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HS1 (R)'!$J$32:$J$62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210</c:v>
                </c:pt>
                <c:pt idx="2">
                  <c:v>225</c:v>
                </c:pt>
                <c:pt idx="3">
                  <c:v>240</c:v>
                </c:pt>
                <c:pt idx="4">
                  <c:v>255</c:v>
                </c:pt>
                <c:pt idx="5">
                  <c:v>270</c:v>
                </c:pt>
                <c:pt idx="6">
                  <c:v>285</c:v>
                </c:pt>
                <c:pt idx="7">
                  <c:v>300</c:v>
                </c:pt>
                <c:pt idx="8">
                  <c:v>315</c:v>
                </c:pt>
                <c:pt idx="9">
                  <c:v>330</c:v>
                </c:pt>
                <c:pt idx="10">
                  <c:v>345</c:v>
                </c:pt>
                <c:pt idx="11">
                  <c:v>360</c:v>
                </c:pt>
                <c:pt idx="12">
                  <c:v>375</c:v>
                </c:pt>
                <c:pt idx="13">
                  <c:v>390</c:v>
                </c:pt>
                <c:pt idx="14">
                  <c:v>405</c:v>
                </c:pt>
                <c:pt idx="15">
                  <c:v>420</c:v>
                </c:pt>
                <c:pt idx="16">
                  <c:v>435</c:v>
                </c:pt>
                <c:pt idx="17">
                  <c:v>450</c:v>
                </c:pt>
                <c:pt idx="18">
                  <c:v>465</c:v>
                </c:pt>
                <c:pt idx="19">
                  <c:v>480</c:v>
                </c:pt>
                <c:pt idx="20">
                  <c:v>495</c:v>
                </c:pt>
                <c:pt idx="21">
                  <c:v>510</c:v>
                </c:pt>
                <c:pt idx="22">
                  <c:v>525</c:v>
                </c:pt>
                <c:pt idx="23">
                  <c:v>540</c:v>
                </c:pt>
                <c:pt idx="24">
                  <c:v>555</c:v>
                </c:pt>
                <c:pt idx="25">
                  <c:v>570</c:v>
                </c:pt>
                <c:pt idx="26">
                  <c:v>585</c:v>
                </c:pt>
                <c:pt idx="27">
                  <c:v>600</c:v>
                </c:pt>
                <c:pt idx="28">
                  <c:v>615</c:v>
                </c:pt>
                <c:pt idx="29">
                  <c:v>630</c:v>
                </c:pt>
                <c:pt idx="3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E-44AB-9531-E938DDD5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Selayang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HS2'!$E$31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5850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F35-A091-F5E41C74A8BC}"/>
            </c:ext>
          </c:extLst>
        </c:ser>
        <c:ser>
          <c:idx val="1"/>
          <c:order val="1"/>
          <c:tx>
            <c:strRef>
              <c:f>'Inv Simulation - HS2'!$F$31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975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975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975</c:v>
                </c:pt>
                <c:pt idx="20">
                  <c:v>0</c:v>
                </c:pt>
                <c:pt idx="21">
                  <c:v>975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F35-A091-F5E41C74A8BC}"/>
            </c:ext>
          </c:extLst>
        </c:ser>
        <c:ser>
          <c:idx val="10"/>
          <c:order val="5"/>
          <c:tx>
            <c:strRef>
              <c:f>'Inv Simulation - HS2'!$H$31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HS2'!$H$32:$H$62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1-4F35-A091-F5E41C74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'Inv Simulation - HS2'!$O$31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HS2'!$O$32:$O$62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611-4F35-A091-F5E41C74A8B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11-4F35-A091-F5E41C74A8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HS2'!$G$31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HS2'!$G$32:$G$62</c:f>
              <c:numCache>
                <c:formatCode>_-* #,##0_-;\-* #,##0_-;_-* "-"??_-;_-@_-</c:formatCode>
                <c:ptCount val="31"/>
                <c:pt idx="0" formatCode="General">
                  <c:v>3900</c:v>
                </c:pt>
                <c:pt idx="1">
                  <c:v>2925</c:v>
                </c:pt>
                <c:pt idx="2">
                  <c:v>2925</c:v>
                </c:pt>
                <c:pt idx="3">
                  <c:v>2925</c:v>
                </c:pt>
                <c:pt idx="4">
                  <c:v>7800</c:v>
                </c:pt>
                <c:pt idx="5">
                  <c:v>7800</c:v>
                </c:pt>
                <c:pt idx="6">
                  <c:v>6825</c:v>
                </c:pt>
                <c:pt idx="7">
                  <c:v>6825</c:v>
                </c:pt>
                <c:pt idx="8">
                  <c:v>6825</c:v>
                </c:pt>
                <c:pt idx="9">
                  <c:v>5850</c:v>
                </c:pt>
                <c:pt idx="10">
                  <c:v>5850</c:v>
                </c:pt>
                <c:pt idx="11">
                  <c:v>4875</c:v>
                </c:pt>
                <c:pt idx="12">
                  <c:v>4875</c:v>
                </c:pt>
                <c:pt idx="13">
                  <c:v>4875</c:v>
                </c:pt>
                <c:pt idx="14">
                  <c:v>3900</c:v>
                </c:pt>
                <c:pt idx="15">
                  <c:v>3900</c:v>
                </c:pt>
                <c:pt idx="16">
                  <c:v>2925</c:v>
                </c:pt>
                <c:pt idx="17">
                  <c:v>2925</c:v>
                </c:pt>
                <c:pt idx="18">
                  <c:v>2925</c:v>
                </c:pt>
                <c:pt idx="19">
                  <c:v>7800</c:v>
                </c:pt>
                <c:pt idx="20">
                  <c:v>7800</c:v>
                </c:pt>
                <c:pt idx="21">
                  <c:v>6825</c:v>
                </c:pt>
                <c:pt idx="22">
                  <c:v>6825</c:v>
                </c:pt>
                <c:pt idx="23">
                  <c:v>6825</c:v>
                </c:pt>
                <c:pt idx="24">
                  <c:v>5850</c:v>
                </c:pt>
                <c:pt idx="25">
                  <c:v>5850</c:v>
                </c:pt>
                <c:pt idx="26">
                  <c:v>4875</c:v>
                </c:pt>
                <c:pt idx="27">
                  <c:v>4875</c:v>
                </c:pt>
                <c:pt idx="28">
                  <c:v>4875</c:v>
                </c:pt>
                <c:pt idx="29">
                  <c:v>3900</c:v>
                </c:pt>
                <c:pt idx="30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1-4F35-A091-F5E41C74A8BC}"/>
            </c:ext>
          </c:extLst>
        </c:ser>
        <c:ser>
          <c:idx val="3"/>
          <c:order val="3"/>
          <c:tx>
            <c:strRef>
              <c:f>'Inv Simulation - HS2'!$L$31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HS2'!$L$32:$L$62</c:f>
              <c:numCache>
                <c:formatCode>_-* #,##0_-;\-* #,##0_-;_-* "-"??_-;_-@_-</c:formatCode>
                <c:ptCount val="31"/>
                <c:pt idx="0">
                  <c:v>2925</c:v>
                </c:pt>
                <c:pt idx="1">
                  <c:v>2925</c:v>
                </c:pt>
                <c:pt idx="2">
                  <c:v>2925</c:v>
                </c:pt>
                <c:pt idx="3">
                  <c:v>2925</c:v>
                </c:pt>
                <c:pt idx="4">
                  <c:v>2925</c:v>
                </c:pt>
                <c:pt idx="5">
                  <c:v>2925</c:v>
                </c:pt>
                <c:pt idx="6">
                  <c:v>2925</c:v>
                </c:pt>
                <c:pt idx="7">
                  <c:v>2925</c:v>
                </c:pt>
                <c:pt idx="8">
                  <c:v>2925</c:v>
                </c:pt>
                <c:pt idx="9">
                  <c:v>2925</c:v>
                </c:pt>
                <c:pt idx="10">
                  <c:v>2925</c:v>
                </c:pt>
                <c:pt idx="11">
                  <c:v>2925</c:v>
                </c:pt>
                <c:pt idx="12">
                  <c:v>2925</c:v>
                </c:pt>
                <c:pt idx="13">
                  <c:v>2925</c:v>
                </c:pt>
                <c:pt idx="14">
                  <c:v>2925</c:v>
                </c:pt>
                <c:pt idx="15">
                  <c:v>2925</c:v>
                </c:pt>
                <c:pt idx="16">
                  <c:v>2925</c:v>
                </c:pt>
                <c:pt idx="17">
                  <c:v>2925</c:v>
                </c:pt>
                <c:pt idx="18">
                  <c:v>2925</c:v>
                </c:pt>
                <c:pt idx="19">
                  <c:v>2925</c:v>
                </c:pt>
                <c:pt idx="20">
                  <c:v>2925</c:v>
                </c:pt>
                <c:pt idx="21">
                  <c:v>2925</c:v>
                </c:pt>
                <c:pt idx="22">
                  <c:v>2925</c:v>
                </c:pt>
                <c:pt idx="23">
                  <c:v>2925</c:v>
                </c:pt>
                <c:pt idx="24">
                  <c:v>2925</c:v>
                </c:pt>
                <c:pt idx="25">
                  <c:v>2925</c:v>
                </c:pt>
                <c:pt idx="26">
                  <c:v>2925</c:v>
                </c:pt>
                <c:pt idx="27">
                  <c:v>2925</c:v>
                </c:pt>
                <c:pt idx="28">
                  <c:v>2925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11-4F35-A091-F5E41C74A8BC}"/>
            </c:ext>
          </c:extLst>
        </c:ser>
        <c:ser>
          <c:idx val="4"/>
          <c:order val="4"/>
          <c:tx>
            <c:strRef>
              <c:f>'Inv Simulation - HS2'!$M$31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HS2'!$M$32:$M$62</c:f>
              <c:numCache>
                <c:formatCode>_-* #,##0_-;\-* #,##0_-;_-* "-"??_-;_-@_-</c:formatCode>
                <c:ptCount val="31"/>
                <c:pt idx="0">
                  <c:v>14625</c:v>
                </c:pt>
                <c:pt idx="1">
                  <c:v>14625</c:v>
                </c:pt>
                <c:pt idx="2">
                  <c:v>14625</c:v>
                </c:pt>
                <c:pt idx="3">
                  <c:v>14625</c:v>
                </c:pt>
                <c:pt idx="4">
                  <c:v>14625</c:v>
                </c:pt>
                <c:pt idx="5">
                  <c:v>14625</c:v>
                </c:pt>
                <c:pt idx="6">
                  <c:v>14625</c:v>
                </c:pt>
                <c:pt idx="7">
                  <c:v>14625</c:v>
                </c:pt>
                <c:pt idx="8">
                  <c:v>14625</c:v>
                </c:pt>
                <c:pt idx="9">
                  <c:v>14625</c:v>
                </c:pt>
                <c:pt idx="10">
                  <c:v>14625</c:v>
                </c:pt>
                <c:pt idx="11">
                  <c:v>14625</c:v>
                </c:pt>
                <c:pt idx="12">
                  <c:v>14625</c:v>
                </c:pt>
                <c:pt idx="13">
                  <c:v>14625</c:v>
                </c:pt>
                <c:pt idx="14">
                  <c:v>14625</c:v>
                </c:pt>
                <c:pt idx="15">
                  <c:v>14625</c:v>
                </c:pt>
                <c:pt idx="16">
                  <c:v>14625</c:v>
                </c:pt>
                <c:pt idx="17">
                  <c:v>14625</c:v>
                </c:pt>
                <c:pt idx="18">
                  <c:v>14625</c:v>
                </c:pt>
                <c:pt idx="19">
                  <c:v>14625</c:v>
                </c:pt>
                <c:pt idx="20">
                  <c:v>14625</c:v>
                </c:pt>
                <c:pt idx="21">
                  <c:v>14625</c:v>
                </c:pt>
                <c:pt idx="22">
                  <c:v>14625</c:v>
                </c:pt>
                <c:pt idx="23">
                  <c:v>14625</c:v>
                </c:pt>
                <c:pt idx="24">
                  <c:v>14625</c:v>
                </c:pt>
                <c:pt idx="25">
                  <c:v>14625</c:v>
                </c:pt>
                <c:pt idx="26">
                  <c:v>14625</c:v>
                </c:pt>
                <c:pt idx="27">
                  <c:v>14625</c:v>
                </c:pt>
                <c:pt idx="28">
                  <c:v>14625</c:v>
                </c:pt>
                <c:pt idx="29">
                  <c:v>14625</c:v>
                </c:pt>
                <c:pt idx="30">
                  <c:v>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11-4F35-A091-F5E41C74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'Inv Simulation - HS2'!$I$31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HS2'!$I$32:$I$62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384</c:v>
                      </c:pt>
                      <c:pt idx="2">
                        <c:v>384</c:v>
                      </c:pt>
                      <c:pt idx="3">
                        <c:v>384</c:v>
                      </c:pt>
                      <c:pt idx="4">
                        <c:v>384</c:v>
                      </c:pt>
                      <c:pt idx="5">
                        <c:v>384</c:v>
                      </c:pt>
                      <c:pt idx="6">
                        <c:v>384</c:v>
                      </c:pt>
                      <c:pt idx="7">
                        <c:v>384</c:v>
                      </c:pt>
                      <c:pt idx="8">
                        <c:v>384</c:v>
                      </c:pt>
                      <c:pt idx="9">
                        <c:v>384</c:v>
                      </c:pt>
                      <c:pt idx="10">
                        <c:v>384</c:v>
                      </c:pt>
                      <c:pt idx="11">
                        <c:v>384</c:v>
                      </c:pt>
                      <c:pt idx="12">
                        <c:v>384</c:v>
                      </c:pt>
                      <c:pt idx="13">
                        <c:v>384</c:v>
                      </c:pt>
                      <c:pt idx="14">
                        <c:v>384</c:v>
                      </c:pt>
                      <c:pt idx="15">
                        <c:v>384</c:v>
                      </c:pt>
                      <c:pt idx="16">
                        <c:v>384</c:v>
                      </c:pt>
                      <c:pt idx="17">
                        <c:v>384</c:v>
                      </c:pt>
                      <c:pt idx="18">
                        <c:v>384</c:v>
                      </c:pt>
                      <c:pt idx="19">
                        <c:v>384</c:v>
                      </c:pt>
                      <c:pt idx="20">
                        <c:v>384</c:v>
                      </c:pt>
                      <c:pt idx="21">
                        <c:v>384</c:v>
                      </c:pt>
                      <c:pt idx="22">
                        <c:v>384</c:v>
                      </c:pt>
                      <c:pt idx="23">
                        <c:v>384</c:v>
                      </c:pt>
                      <c:pt idx="24">
                        <c:v>384</c:v>
                      </c:pt>
                      <c:pt idx="25">
                        <c:v>384</c:v>
                      </c:pt>
                      <c:pt idx="26">
                        <c:v>384</c:v>
                      </c:pt>
                      <c:pt idx="27">
                        <c:v>384</c:v>
                      </c:pt>
                      <c:pt idx="28">
                        <c:v>384</c:v>
                      </c:pt>
                      <c:pt idx="29">
                        <c:v>384</c:v>
                      </c:pt>
                      <c:pt idx="30">
                        <c:v>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611-4F35-A091-F5E41C74A8BC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786</c:v>
                      </c:pt>
                      <c:pt idx="2">
                        <c:v>402</c:v>
                      </c:pt>
                      <c:pt idx="3">
                        <c:v>18</c:v>
                      </c:pt>
                      <c:pt idx="4">
                        <c:v>609</c:v>
                      </c:pt>
                      <c:pt idx="5">
                        <c:v>225</c:v>
                      </c:pt>
                      <c:pt idx="6">
                        <c:v>816</c:v>
                      </c:pt>
                      <c:pt idx="7">
                        <c:v>432</c:v>
                      </c:pt>
                      <c:pt idx="8">
                        <c:v>48</c:v>
                      </c:pt>
                      <c:pt idx="9">
                        <c:v>639</c:v>
                      </c:pt>
                      <c:pt idx="10">
                        <c:v>255</c:v>
                      </c:pt>
                      <c:pt idx="11">
                        <c:v>846</c:v>
                      </c:pt>
                      <c:pt idx="12">
                        <c:v>462</c:v>
                      </c:pt>
                      <c:pt idx="13">
                        <c:v>78</c:v>
                      </c:pt>
                      <c:pt idx="14">
                        <c:v>669</c:v>
                      </c:pt>
                      <c:pt idx="15">
                        <c:v>285</c:v>
                      </c:pt>
                      <c:pt idx="16">
                        <c:v>876</c:v>
                      </c:pt>
                      <c:pt idx="17">
                        <c:v>492</c:v>
                      </c:pt>
                      <c:pt idx="18">
                        <c:v>108</c:v>
                      </c:pt>
                      <c:pt idx="19">
                        <c:v>699</c:v>
                      </c:pt>
                      <c:pt idx="20">
                        <c:v>315</c:v>
                      </c:pt>
                      <c:pt idx="21">
                        <c:v>906</c:v>
                      </c:pt>
                      <c:pt idx="22">
                        <c:v>522</c:v>
                      </c:pt>
                      <c:pt idx="23">
                        <c:v>138</c:v>
                      </c:pt>
                      <c:pt idx="24">
                        <c:v>729</c:v>
                      </c:pt>
                      <c:pt idx="25">
                        <c:v>345</c:v>
                      </c:pt>
                      <c:pt idx="26">
                        <c:v>936</c:v>
                      </c:pt>
                      <c:pt idx="27">
                        <c:v>552</c:v>
                      </c:pt>
                      <c:pt idx="28">
                        <c:v>168</c:v>
                      </c:pt>
                      <c:pt idx="29">
                        <c:v>759</c:v>
                      </c:pt>
                      <c:pt idx="30">
                        <c:v>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11-4F35-A091-F5E41C74A8BC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Selayang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HS2'!$F$31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975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975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975</c:v>
                </c:pt>
                <c:pt idx="20">
                  <c:v>0</c:v>
                </c:pt>
                <c:pt idx="21">
                  <c:v>975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B-42B3-B731-347929D831A6}"/>
            </c:ext>
          </c:extLst>
        </c:ser>
        <c:ser>
          <c:idx val="11"/>
          <c:order val="8"/>
          <c:tx>
            <c:strRef>
              <c:f>'Inv Simulation - HS2'!$I$31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HS2'!$I$32:$I$62</c:f>
              <c:numCache>
                <c:formatCode>_-* #,##0_-;\-* #,##0_-;_-* "-"??_-;_-@_-</c:formatCode>
                <c:ptCount val="31"/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DB-42B3-B731-347929D831A6}"/>
            </c:ext>
          </c:extLst>
        </c:ser>
        <c:ser>
          <c:idx val="7"/>
          <c:order val="10"/>
          <c:tx>
            <c:strRef>
              <c:f>'Inv Simulation - HS2'!$P$31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B-42B3-B731-347929D8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HS2'!$E$31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HS2'!$E$32:$E$62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5850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5850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DB-42B3-B731-347929D831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3900</c:v>
                      </c:pt>
                      <c:pt idx="1">
                        <c:v>2925</c:v>
                      </c:pt>
                      <c:pt idx="2">
                        <c:v>2925</c:v>
                      </c:pt>
                      <c:pt idx="3">
                        <c:v>2925</c:v>
                      </c:pt>
                      <c:pt idx="4">
                        <c:v>7800</c:v>
                      </c:pt>
                      <c:pt idx="5">
                        <c:v>7800</c:v>
                      </c:pt>
                      <c:pt idx="6">
                        <c:v>6825</c:v>
                      </c:pt>
                      <c:pt idx="7">
                        <c:v>6825</c:v>
                      </c:pt>
                      <c:pt idx="8">
                        <c:v>6825</c:v>
                      </c:pt>
                      <c:pt idx="9">
                        <c:v>5850</c:v>
                      </c:pt>
                      <c:pt idx="10">
                        <c:v>5850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3900</c:v>
                      </c:pt>
                      <c:pt idx="15">
                        <c:v>3900</c:v>
                      </c:pt>
                      <c:pt idx="16">
                        <c:v>2925</c:v>
                      </c:pt>
                      <c:pt idx="17">
                        <c:v>2925</c:v>
                      </c:pt>
                      <c:pt idx="18">
                        <c:v>2925</c:v>
                      </c:pt>
                      <c:pt idx="19">
                        <c:v>7800</c:v>
                      </c:pt>
                      <c:pt idx="20">
                        <c:v>7800</c:v>
                      </c:pt>
                      <c:pt idx="21">
                        <c:v>6825</c:v>
                      </c:pt>
                      <c:pt idx="22">
                        <c:v>6825</c:v>
                      </c:pt>
                      <c:pt idx="23">
                        <c:v>6825</c:v>
                      </c:pt>
                      <c:pt idx="24">
                        <c:v>5850</c:v>
                      </c:pt>
                      <c:pt idx="25">
                        <c:v>5850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4875</c:v>
                      </c:pt>
                      <c:pt idx="29">
                        <c:v>3900</c:v>
                      </c:pt>
                      <c:pt idx="30">
                        <c:v>3900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B-42B3-B731-347929D831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2925</c:v>
                      </c:pt>
                      <c:pt idx="1">
                        <c:v>2925</c:v>
                      </c:pt>
                      <c:pt idx="2">
                        <c:v>2925</c:v>
                      </c:pt>
                      <c:pt idx="3">
                        <c:v>2925</c:v>
                      </c:pt>
                      <c:pt idx="4">
                        <c:v>2925</c:v>
                      </c:pt>
                      <c:pt idx="5">
                        <c:v>2925</c:v>
                      </c:pt>
                      <c:pt idx="6">
                        <c:v>2925</c:v>
                      </c:pt>
                      <c:pt idx="7">
                        <c:v>2925</c:v>
                      </c:pt>
                      <c:pt idx="8">
                        <c:v>2925</c:v>
                      </c:pt>
                      <c:pt idx="9">
                        <c:v>2925</c:v>
                      </c:pt>
                      <c:pt idx="10">
                        <c:v>2925</c:v>
                      </c:pt>
                      <c:pt idx="11">
                        <c:v>2925</c:v>
                      </c:pt>
                      <c:pt idx="12">
                        <c:v>2925</c:v>
                      </c:pt>
                      <c:pt idx="13">
                        <c:v>2925</c:v>
                      </c:pt>
                      <c:pt idx="14">
                        <c:v>2925</c:v>
                      </c:pt>
                      <c:pt idx="15">
                        <c:v>2925</c:v>
                      </c:pt>
                      <c:pt idx="16">
                        <c:v>2925</c:v>
                      </c:pt>
                      <c:pt idx="17">
                        <c:v>2925</c:v>
                      </c:pt>
                      <c:pt idx="18">
                        <c:v>2925</c:v>
                      </c:pt>
                      <c:pt idx="19">
                        <c:v>2925</c:v>
                      </c:pt>
                      <c:pt idx="20">
                        <c:v>2925</c:v>
                      </c:pt>
                      <c:pt idx="21">
                        <c:v>2925</c:v>
                      </c:pt>
                      <c:pt idx="22">
                        <c:v>2925</c:v>
                      </c:pt>
                      <c:pt idx="23">
                        <c:v>2925</c:v>
                      </c:pt>
                      <c:pt idx="24">
                        <c:v>2925</c:v>
                      </c:pt>
                      <c:pt idx="25">
                        <c:v>2925</c:v>
                      </c:pt>
                      <c:pt idx="26">
                        <c:v>2925</c:v>
                      </c:pt>
                      <c:pt idx="27">
                        <c:v>2925</c:v>
                      </c:pt>
                      <c:pt idx="28">
                        <c:v>2925</c:v>
                      </c:pt>
                      <c:pt idx="29">
                        <c:v>2925</c:v>
                      </c:pt>
                      <c:pt idx="30">
                        <c:v>2925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B-42B3-B731-347929D831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14625</c:v>
                      </c:pt>
                      <c:pt idx="1">
                        <c:v>14625</c:v>
                      </c:pt>
                      <c:pt idx="2">
                        <c:v>14625</c:v>
                      </c:pt>
                      <c:pt idx="3">
                        <c:v>14625</c:v>
                      </c:pt>
                      <c:pt idx="4">
                        <c:v>14625</c:v>
                      </c:pt>
                      <c:pt idx="5">
                        <c:v>14625</c:v>
                      </c:pt>
                      <c:pt idx="6">
                        <c:v>14625</c:v>
                      </c:pt>
                      <c:pt idx="7">
                        <c:v>14625</c:v>
                      </c:pt>
                      <c:pt idx="8">
                        <c:v>14625</c:v>
                      </c:pt>
                      <c:pt idx="9">
                        <c:v>14625</c:v>
                      </c:pt>
                      <c:pt idx="10">
                        <c:v>14625</c:v>
                      </c:pt>
                      <c:pt idx="11">
                        <c:v>14625</c:v>
                      </c:pt>
                      <c:pt idx="12">
                        <c:v>14625</c:v>
                      </c:pt>
                      <c:pt idx="13">
                        <c:v>14625</c:v>
                      </c:pt>
                      <c:pt idx="14">
                        <c:v>14625</c:v>
                      </c:pt>
                      <c:pt idx="15">
                        <c:v>14625</c:v>
                      </c:pt>
                      <c:pt idx="16">
                        <c:v>14625</c:v>
                      </c:pt>
                      <c:pt idx="17">
                        <c:v>14625</c:v>
                      </c:pt>
                      <c:pt idx="18">
                        <c:v>14625</c:v>
                      </c:pt>
                      <c:pt idx="19">
                        <c:v>14625</c:v>
                      </c:pt>
                      <c:pt idx="20">
                        <c:v>14625</c:v>
                      </c:pt>
                      <c:pt idx="21">
                        <c:v>14625</c:v>
                      </c:pt>
                      <c:pt idx="22">
                        <c:v>14625</c:v>
                      </c:pt>
                      <c:pt idx="23">
                        <c:v>14625</c:v>
                      </c:pt>
                      <c:pt idx="24">
                        <c:v>14625</c:v>
                      </c:pt>
                      <c:pt idx="25">
                        <c:v>14625</c:v>
                      </c:pt>
                      <c:pt idx="26">
                        <c:v>14625</c:v>
                      </c:pt>
                      <c:pt idx="27">
                        <c:v>14625</c:v>
                      </c:pt>
                      <c:pt idx="28">
                        <c:v>14625</c:v>
                      </c:pt>
                      <c:pt idx="29">
                        <c:v>14625</c:v>
                      </c:pt>
                      <c:pt idx="30">
                        <c:v>14625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DB-42B3-B731-347929D831A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4875</c:v>
                      </c:pt>
                      <c:pt idx="1">
                        <c:v>4875</c:v>
                      </c:pt>
                      <c:pt idx="2">
                        <c:v>4875</c:v>
                      </c:pt>
                      <c:pt idx="3">
                        <c:v>4875</c:v>
                      </c:pt>
                      <c:pt idx="4">
                        <c:v>4875</c:v>
                      </c:pt>
                      <c:pt idx="5">
                        <c:v>4875</c:v>
                      </c:pt>
                      <c:pt idx="6">
                        <c:v>4875</c:v>
                      </c:pt>
                      <c:pt idx="7">
                        <c:v>4875</c:v>
                      </c:pt>
                      <c:pt idx="8">
                        <c:v>4875</c:v>
                      </c:pt>
                      <c:pt idx="9">
                        <c:v>4875</c:v>
                      </c:pt>
                      <c:pt idx="10">
                        <c:v>4875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4875</c:v>
                      </c:pt>
                      <c:pt idx="16">
                        <c:v>4875</c:v>
                      </c:pt>
                      <c:pt idx="17">
                        <c:v>4875</c:v>
                      </c:pt>
                      <c:pt idx="18">
                        <c:v>4875</c:v>
                      </c:pt>
                      <c:pt idx="19">
                        <c:v>4875</c:v>
                      </c:pt>
                      <c:pt idx="20">
                        <c:v>4875</c:v>
                      </c:pt>
                      <c:pt idx="21">
                        <c:v>4875</c:v>
                      </c:pt>
                      <c:pt idx="22">
                        <c:v>4875</c:v>
                      </c:pt>
                      <c:pt idx="23">
                        <c:v>4875</c:v>
                      </c:pt>
                      <c:pt idx="24">
                        <c:v>4875</c:v>
                      </c:pt>
                      <c:pt idx="25">
                        <c:v>4875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4875</c:v>
                      </c:pt>
                      <c:pt idx="29">
                        <c:v>4875</c:v>
                      </c:pt>
                      <c:pt idx="30">
                        <c:v>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B-42B3-B731-347929D831A6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DB-42B3-B731-347929D831A6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DB-42B3-B731-347929D831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HS2'!$J$31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HS2'!$J$32:$J$62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786</c:v>
                </c:pt>
                <c:pt idx="2">
                  <c:v>402</c:v>
                </c:pt>
                <c:pt idx="3">
                  <c:v>18</c:v>
                </c:pt>
                <c:pt idx="4">
                  <c:v>609</c:v>
                </c:pt>
                <c:pt idx="5">
                  <c:v>225</c:v>
                </c:pt>
                <c:pt idx="6">
                  <c:v>816</c:v>
                </c:pt>
                <c:pt idx="7">
                  <c:v>432</c:v>
                </c:pt>
                <c:pt idx="8">
                  <c:v>48</c:v>
                </c:pt>
                <c:pt idx="9">
                  <c:v>639</c:v>
                </c:pt>
                <c:pt idx="10">
                  <c:v>255</c:v>
                </c:pt>
                <c:pt idx="11">
                  <c:v>846</c:v>
                </c:pt>
                <c:pt idx="12">
                  <c:v>462</c:v>
                </c:pt>
                <c:pt idx="13">
                  <c:v>78</c:v>
                </c:pt>
                <c:pt idx="14">
                  <c:v>669</c:v>
                </c:pt>
                <c:pt idx="15">
                  <c:v>285</c:v>
                </c:pt>
                <c:pt idx="16">
                  <c:v>876</c:v>
                </c:pt>
                <c:pt idx="17">
                  <c:v>492</c:v>
                </c:pt>
                <c:pt idx="18">
                  <c:v>108</c:v>
                </c:pt>
                <c:pt idx="19">
                  <c:v>699</c:v>
                </c:pt>
                <c:pt idx="20">
                  <c:v>315</c:v>
                </c:pt>
                <c:pt idx="21">
                  <c:v>906</c:v>
                </c:pt>
                <c:pt idx="22">
                  <c:v>522</c:v>
                </c:pt>
                <c:pt idx="23">
                  <c:v>138</c:v>
                </c:pt>
                <c:pt idx="24">
                  <c:v>729</c:v>
                </c:pt>
                <c:pt idx="25">
                  <c:v>345</c:v>
                </c:pt>
                <c:pt idx="26">
                  <c:v>936</c:v>
                </c:pt>
                <c:pt idx="27">
                  <c:v>552</c:v>
                </c:pt>
                <c:pt idx="28">
                  <c:v>168</c:v>
                </c:pt>
                <c:pt idx="29">
                  <c:v>759</c:v>
                </c:pt>
                <c:pt idx="30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B-42B3-B731-347929D8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Ampang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HS3'!$E$31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4875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C67-9608-B9035DEAC68D}"/>
            </c:ext>
          </c:extLst>
        </c:ser>
        <c:ser>
          <c:idx val="1"/>
          <c:order val="1"/>
          <c:tx>
            <c:strRef>
              <c:f>'Inv Simulation - HS3'!$F$31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F-4C67-9608-B9035DEAC68D}"/>
            </c:ext>
          </c:extLst>
        </c:ser>
        <c:ser>
          <c:idx val="10"/>
          <c:order val="5"/>
          <c:tx>
            <c:strRef>
              <c:f>'Inv Simulation - HS3'!$H$31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HS3'!$H$32:$H$62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F-4C67-9608-B9035DEA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'Inv Simulation - HS3'!$O$31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HS3'!$O$32:$O$62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DFF-4C67-9608-B9035DEAC6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FF-4C67-9608-B9035DEAC68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HS3'!$G$31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HS3'!$G$32:$G$62</c:f>
              <c:numCache>
                <c:formatCode>_-* #,##0_-;\-* #,##0_-;_-* "-"??_-;_-@_-</c:formatCode>
                <c:ptCount val="31"/>
                <c:pt idx="0" formatCode="General">
                  <c:v>2925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5850</c:v>
                </c:pt>
                <c:pt idx="7">
                  <c:v>5850</c:v>
                </c:pt>
                <c:pt idx="8">
                  <c:v>5850</c:v>
                </c:pt>
                <c:pt idx="9">
                  <c:v>5850</c:v>
                </c:pt>
                <c:pt idx="10">
                  <c:v>5850</c:v>
                </c:pt>
                <c:pt idx="11">
                  <c:v>4875</c:v>
                </c:pt>
                <c:pt idx="12">
                  <c:v>4875</c:v>
                </c:pt>
                <c:pt idx="13">
                  <c:v>4875</c:v>
                </c:pt>
                <c:pt idx="14">
                  <c:v>4875</c:v>
                </c:pt>
                <c:pt idx="15">
                  <c:v>3900</c:v>
                </c:pt>
                <c:pt idx="16">
                  <c:v>3900</c:v>
                </c:pt>
                <c:pt idx="17">
                  <c:v>3900</c:v>
                </c:pt>
                <c:pt idx="18">
                  <c:v>3900</c:v>
                </c:pt>
                <c:pt idx="19">
                  <c:v>3900</c:v>
                </c:pt>
                <c:pt idx="20">
                  <c:v>2925</c:v>
                </c:pt>
                <c:pt idx="21">
                  <c:v>2925</c:v>
                </c:pt>
                <c:pt idx="22">
                  <c:v>2925</c:v>
                </c:pt>
                <c:pt idx="23">
                  <c:v>2925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  <c:pt idx="29">
                  <c:v>5850</c:v>
                </c:pt>
                <c:pt idx="30">
                  <c:v>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F-4C67-9608-B9035DEAC68D}"/>
            </c:ext>
          </c:extLst>
        </c:ser>
        <c:ser>
          <c:idx val="3"/>
          <c:order val="3"/>
          <c:tx>
            <c:strRef>
              <c:f>'Inv Simulation - HS3'!$L$31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HS3'!$L$32:$L$62</c:f>
              <c:numCache>
                <c:formatCode>_-* #,##0_-;\-* #,##0_-;_-* "-"??_-;_-@_-</c:formatCode>
                <c:ptCount val="31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  <c:pt idx="29">
                  <c:v>1950</c:v>
                </c:pt>
                <c:pt idx="30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F-4C67-9608-B9035DEAC68D}"/>
            </c:ext>
          </c:extLst>
        </c:ser>
        <c:ser>
          <c:idx val="4"/>
          <c:order val="4"/>
          <c:tx>
            <c:strRef>
              <c:f>'Inv Simulation - HS3'!$M$31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HS3'!$M$32:$M$62</c:f>
              <c:numCache>
                <c:formatCode>_-* #,##0_-;\-* #,##0_-;_-* "-"??_-;_-@_-</c:formatCode>
                <c:ptCount val="31"/>
                <c:pt idx="0">
                  <c:v>9750</c:v>
                </c:pt>
                <c:pt idx="1">
                  <c:v>9750</c:v>
                </c:pt>
                <c:pt idx="2">
                  <c:v>9750</c:v>
                </c:pt>
                <c:pt idx="3">
                  <c:v>9750</c:v>
                </c:pt>
                <c:pt idx="4">
                  <c:v>9750</c:v>
                </c:pt>
                <c:pt idx="5">
                  <c:v>9750</c:v>
                </c:pt>
                <c:pt idx="6">
                  <c:v>9750</c:v>
                </c:pt>
                <c:pt idx="7">
                  <c:v>9750</c:v>
                </c:pt>
                <c:pt idx="8">
                  <c:v>9750</c:v>
                </c:pt>
                <c:pt idx="9">
                  <c:v>9750</c:v>
                </c:pt>
                <c:pt idx="10">
                  <c:v>9750</c:v>
                </c:pt>
                <c:pt idx="11">
                  <c:v>9750</c:v>
                </c:pt>
                <c:pt idx="12">
                  <c:v>9750</c:v>
                </c:pt>
                <c:pt idx="13">
                  <c:v>9750</c:v>
                </c:pt>
                <c:pt idx="14">
                  <c:v>9750</c:v>
                </c:pt>
                <c:pt idx="15">
                  <c:v>9750</c:v>
                </c:pt>
                <c:pt idx="16">
                  <c:v>9750</c:v>
                </c:pt>
                <c:pt idx="17">
                  <c:v>9750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9750</c:v>
                </c:pt>
                <c:pt idx="22">
                  <c:v>9750</c:v>
                </c:pt>
                <c:pt idx="23">
                  <c:v>9750</c:v>
                </c:pt>
                <c:pt idx="24">
                  <c:v>9750</c:v>
                </c:pt>
                <c:pt idx="25">
                  <c:v>9750</c:v>
                </c:pt>
                <c:pt idx="26">
                  <c:v>9750</c:v>
                </c:pt>
                <c:pt idx="27">
                  <c:v>9750</c:v>
                </c:pt>
                <c:pt idx="28">
                  <c:v>9750</c:v>
                </c:pt>
                <c:pt idx="29">
                  <c:v>9750</c:v>
                </c:pt>
                <c:pt idx="30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F-4C67-9608-B9035DEA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'Inv Simulation - HS3'!$I$31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HS3'!$I$32:$I$62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214.00000000000003</c:v>
                      </c:pt>
                      <c:pt idx="2">
                        <c:v>214.00000000000003</c:v>
                      </c:pt>
                      <c:pt idx="3">
                        <c:v>214.00000000000003</c:v>
                      </c:pt>
                      <c:pt idx="4">
                        <c:v>214.00000000000003</c:v>
                      </c:pt>
                      <c:pt idx="5">
                        <c:v>214.00000000000003</c:v>
                      </c:pt>
                      <c:pt idx="6">
                        <c:v>214.00000000000003</c:v>
                      </c:pt>
                      <c:pt idx="7">
                        <c:v>214.00000000000003</c:v>
                      </c:pt>
                      <c:pt idx="8">
                        <c:v>214.00000000000003</c:v>
                      </c:pt>
                      <c:pt idx="9">
                        <c:v>214.00000000000003</c:v>
                      </c:pt>
                      <c:pt idx="10">
                        <c:v>214.00000000000003</c:v>
                      </c:pt>
                      <c:pt idx="11">
                        <c:v>214.00000000000003</c:v>
                      </c:pt>
                      <c:pt idx="12">
                        <c:v>214.00000000000003</c:v>
                      </c:pt>
                      <c:pt idx="13">
                        <c:v>214.00000000000003</c:v>
                      </c:pt>
                      <c:pt idx="14">
                        <c:v>214.00000000000003</c:v>
                      </c:pt>
                      <c:pt idx="15">
                        <c:v>214.00000000000003</c:v>
                      </c:pt>
                      <c:pt idx="16">
                        <c:v>214.00000000000003</c:v>
                      </c:pt>
                      <c:pt idx="17">
                        <c:v>214.00000000000003</c:v>
                      </c:pt>
                      <c:pt idx="18">
                        <c:v>214.00000000000003</c:v>
                      </c:pt>
                      <c:pt idx="19">
                        <c:v>214.00000000000003</c:v>
                      </c:pt>
                      <c:pt idx="20">
                        <c:v>214.00000000000003</c:v>
                      </c:pt>
                      <c:pt idx="21">
                        <c:v>214.00000000000003</c:v>
                      </c:pt>
                      <c:pt idx="22">
                        <c:v>214.00000000000003</c:v>
                      </c:pt>
                      <c:pt idx="23">
                        <c:v>214.00000000000003</c:v>
                      </c:pt>
                      <c:pt idx="24">
                        <c:v>214.00000000000003</c:v>
                      </c:pt>
                      <c:pt idx="25">
                        <c:v>214.00000000000003</c:v>
                      </c:pt>
                      <c:pt idx="26">
                        <c:v>214.00000000000003</c:v>
                      </c:pt>
                      <c:pt idx="27">
                        <c:v>214.00000000000003</c:v>
                      </c:pt>
                      <c:pt idx="28">
                        <c:v>214.00000000000003</c:v>
                      </c:pt>
                      <c:pt idx="29">
                        <c:v>214.00000000000003</c:v>
                      </c:pt>
                      <c:pt idx="30">
                        <c:v>214.00000000000003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DFF-4C67-9608-B9035DEAC68D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956</c:v>
                      </c:pt>
                      <c:pt idx="2">
                        <c:v>742</c:v>
                      </c:pt>
                      <c:pt idx="3">
                        <c:v>528</c:v>
                      </c:pt>
                      <c:pt idx="4">
                        <c:v>314</c:v>
                      </c:pt>
                      <c:pt idx="5">
                        <c:v>99.999999999999972</c:v>
                      </c:pt>
                      <c:pt idx="6">
                        <c:v>861</c:v>
                      </c:pt>
                      <c:pt idx="7">
                        <c:v>647</c:v>
                      </c:pt>
                      <c:pt idx="8">
                        <c:v>433</c:v>
                      </c:pt>
                      <c:pt idx="9">
                        <c:v>218.99999999999997</c:v>
                      </c:pt>
                      <c:pt idx="10">
                        <c:v>4.9999999999999432</c:v>
                      </c:pt>
                      <c:pt idx="11">
                        <c:v>766</c:v>
                      </c:pt>
                      <c:pt idx="12">
                        <c:v>552</c:v>
                      </c:pt>
                      <c:pt idx="13">
                        <c:v>338</c:v>
                      </c:pt>
                      <c:pt idx="14">
                        <c:v>123.99999999999997</c:v>
                      </c:pt>
                      <c:pt idx="15">
                        <c:v>885</c:v>
                      </c:pt>
                      <c:pt idx="16">
                        <c:v>671</c:v>
                      </c:pt>
                      <c:pt idx="17">
                        <c:v>457</c:v>
                      </c:pt>
                      <c:pt idx="18">
                        <c:v>242.99999999999997</c:v>
                      </c:pt>
                      <c:pt idx="19">
                        <c:v>28.999999999999943</c:v>
                      </c:pt>
                      <c:pt idx="20">
                        <c:v>790</c:v>
                      </c:pt>
                      <c:pt idx="21">
                        <c:v>576</c:v>
                      </c:pt>
                      <c:pt idx="22">
                        <c:v>362</c:v>
                      </c:pt>
                      <c:pt idx="23">
                        <c:v>147.99999999999997</c:v>
                      </c:pt>
                      <c:pt idx="24">
                        <c:v>909</c:v>
                      </c:pt>
                      <c:pt idx="25">
                        <c:v>695</c:v>
                      </c:pt>
                      <c:pt idx="26">
                        <c:v>481</c:v>
                      </c:pt>
                      <c:pt idx="27">
                        <c:v>267</c:v>
                      </c:pt>
                      <c:pt idx="28">
                        <c:v>52.999999999999972</c:v>
                      </c:pt>
                      <c:pt idx="29">
                        <c:v>814</c:v>
                      </c:pt>
                      <c:pt idx="30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FF-4C67-9608-B9035DEAC68D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0.xml"/><Relationship Id="rId7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30</xdr:row>
      <xdr:rowOff>86139</xdr:rowOff>
    </xdr:from>
    <xdr:to>
      <xdr:col>5</xdr:col>
      <xdr:colOff>245165</xdr:colOff>
      <xdr:row>33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EEBDD25-3B18-45C7-A51F-DDAD35E28714}"/>
            </a:ext>
          </a:extLst>
        </xdr:cNvPr>
        <xdr:cNvCxnSpPr/>
      </xdr:nvCxnSpPr>
      <xdr:spPr>
        <a:xfrm flipH="1">
          <a:off x="4841240" y="6150389"/>
          <a:ext cx="1325" cy="479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26505</xdr:colOff>
      <xdr:row>12</xdr:row>
      <xdr:rowOff>92765</xdr:rowOff>
    </xdr:from>
    <xdr:to>
      <xdr:col>14</xdr:col>
      <xdr:colOff>602974</xdr:colOff>
      <xdr:row>12</xdr:row>
      <xdr:rowOff>99391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4F01487-A0D8-4A91-81E2-596939CD0A53}"/>
            </a:ext>
          </a:extLst>
        </xdr:cNvPr>
        <xdr:cNvCxnSpPr/>
      </xdr:nvCxnSpPr>
      <xdr:spPr>
        <a:xfrm flipV="1">
          <a:off x="13101155" y="2810565"/>
          <a:ext cx="576469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358875</xdr:colOff>
      <xdr:row>20</xdr:row>
      <xdr:rowOff>96891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F52D466-FCEF-4293-BF2D-0C89DF70F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2321317"/>
          <a:ext cx="3570705" cy="1507469"/>
        </a:xfrm>
        <a:prstGeom prst="rect">
          <a:avLst/>
        </a:prstGeom>
      </xdr:spPr>
    </xdr:pic>
    <xdr:clientData/>
  </xdr:twoCellAnchor>
  <xdr:twoCellAnchor>
    <xdr:from>
      <xdr:col>61</xdr:col>
      <xdr:colOff>64114</xdr:colOff>
      <xdr:row>55</xdr:row>
      <xdr:rowOff>98612</xdr:rowOff>
    </xdr:from>
    <xdr:to>
      <xdr:col>79</xdr:col>
      <xdr:colOff>340658</xdr:colOff>
      <xdr:row>83</xdr:row>
      <xdr:rowOff>259977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188C1F-54F7-41CE-9EE9-C2614AC1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110716</xdr:colOff>
      <xdr:row>83</xdr:row>
      <xdr:rowOff>374763</xdr:rowOff>
    </xdr:from>
    <xdr:to>
      <xdr:col>76</xdr:col>
      <xdr:colOff>357243</xdr:colOff>
      <xdr:row>113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CD54AB-0334-42B8-BDDB-A2FF19FE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6E889A8-BD4A-4B44-BA9F-396EBE0469FE}"/>
            </a:ext>
          </a:extLst>
        </xdr:cNvPr>
        <xdr:cNvCxnSpPr/>
      </xdr:nvCxnSpPr>
      <xdr:spPr>
        <a:xfrm flipV="1">
          <a:off x="36109836" y="6409317"/>
          <a:ext cx="1373841" cy="311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BB71DE7-95E7-44A4-95A1-D663C8E5DCE0}"/>
            </a:ext>
          </a:extLst>
        </xdr:cNvPr>
        <xdr:cNvCxnSpPr/>
      </xdr:nvCxnSpPr>
      <xdr:spPr>
        <a:xfrm>
          <a:off x="36065013" y="6868310"/>
          <a:ext cx="14365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645459</xdr:rowOff>
    </xdr:from>
    <xdr:to>
      <xdr:col>26</xdr:col>
      <xdr:colOff>35859</xdr:colOff>
      <xdr:row>31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76A02F2-DA13-4D0E-90D0-D72333096A88}"/>
            </a:ext>
          </a:extLst>
        </xdr:cNvPr>
        <xdr:cNvCxnSpPr/>
      </xdr:nvCxnSpPr>
      <xdr:spPr>
        <a:xfrm flipV="1">
          <a:off x="39585900" y="6299499"/>
          <a:ext cx="1293159" cy="55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4C1C1F0-A508-4353-8C9C-57468DF4D389}"/>
            </a:ext>
          </a:extLst>
        </xdr:cNvPr>
        <xdr:cNvCxnSpPr/>
      </xdr:nvCxnSpPr>
      <xdr:spPr>
        <a:xfrm>
          <a:off x="39631620" y="646176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DF32E85-A0B1-42BB-9DD2-2427990E8B4D}"/>
            </a:ext>
          </a:extLst>
        </xdr:cNvPr>
        <xdr:cNvCxnSpPr/>
      </xdr:nvCxnSpPr>
      <xdr:spPr>
        <a:xfrm>
          <a:off x="38229540" y="6940027"/>
          <a:ext cx="231916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02782D0-A7B5-4EB0-B612-EED31724A4C6}"/>
            </a:ext>
          </a:extLst>
        </xdr:cNvPr>
        <xdr:cNvCxnSpPr/>
      </xdr:nvCxnSpPr>
      <xdr:spPr>
        <a:xfrm>
          <a:off x="36082941" y="6931062"/>
          <a:ext cx="2209352" cy="611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662940</xdr:colOff>
      <xdr:row>16</xdr:row>
      <xdr:rowOff>137160</xdr:rowOff>
    </xdr:from>
    <xdr:to>
      <xdr:col>9</xdr:col>
      <xdr:colOff>1040130</xdr:colOff>
      <xdr:row>18</xdr:row>
      <xdr:rowOff>175260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6694C7E-B4F9-49AF-9E2C-618C90253DC3}"/>
            </a:ext>
          </a:extLst>
        </xdr:cNvPr>
        <xdr:cNvCxnSpPr/>
      </xdr:nvCxnSpPr>
      <xdr:spPr>
        <a:xfrm flipH="1">
          <a:off x="8945880" y="3147060"/>
          <a:ext cx="37719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17</xdr:row>
      <xdr:rowOff>30480</xdr:rowOff>
    </xdr:from>
    <xdr:to>
      <xdr:col>10</xdr:col>
      <xdr:colOff>891540</xdr:colOff>
      <xdr:row>18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C8CC31F-383E-4269-ACEF-2F0B28F7005F}"/>
            </a:ext>
          </a:extLst>
        </xdr:cNvPr>
        <xdr:cNvCxnSpPr/>
      </xdr:nvCxnSpPr>
      <xdr:spPr>
        <a:xfrm>
          <a:off x="9685020" y="3223260"/>
          <a:ext cx="5791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67</xdr:row>
      <xdr:rowOff>38100</xdr:rowOff>
    </xdr:from>
    <xdr:to>
      <xdr:col>34</xdr:col>
      <xdr:colOff>457200</xdr:colOff>
      <xdr:row>68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921D79-29C2-4456-B518-D57088C19C0C}"/>
            </a:ext>
          </a:extLst>
        </xdr:cNvPr>
        <xdr:cNvCxnSpPr/>
      </xdr:nvCxnSpPr>
      <xdr:spPr>
        <a:xfrm flipV="1">
          <a:off x="47221140" y="1393698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441249</xdr:colOff>
      <xdr:row>48</xdr:row>
      <xdr:rowOff>152807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5437534-547C-47ED-BCDA-F38066CC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4440" y="8313420"/>
          <a:ext cx="3005379" cy="1250087"/>
        </a:xfrm>
        <a:prstGeom prst="rect">
          <a:avLst/>
        </a:prstGeom>
      </xdr:spPr>
    </xdr:pic>
    <xdr:clientData/>
  </xdr:twoCellAnchor>
  <xdr:twoCellAnchor editAs="oneCell">
    <xdr:from>
      <xdr:col>51</xdr:col>
      <xdr:colOff>655320</xdr:colOff>
      <xdr:row>32</xdr:row>
      <xdr:rowOff>152400</xdr:rowOff>
    </xdr:from>
    <xdr:to>
      <xdr:col>57</xdr:col>
      <xdr:colOff>208485</xdr:colOff>
      <xdr:row>37</xdr:row>
      <xdr:rowOff>19963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A5D3A93-DCCC-4D96-9904-B306F0DD6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300400" y="6637020"/>
          <a:ext cx="4031820" cy="785773"/>
        </a:xfrm>
        <a:prstGeom prst="rect">
          <a:avLst/>
        </a:prstGeom>
      </xdr:spPr>
    </xdr:pic>
    <xdr:clientData/>
  </xdr:twoCellAnchor>
  <xdr:oneCellAnchor>
    <xdr:from>
      <xdr:col>63</xdr:col>
      <xdr:colOff>448236</xdr:colOff>
      <xdr:row>69</xdr:row>
      <xdr:rowOff>53789</xdr:rowOff>
    </xdr:from>
    <xdr:ext cx="306449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90E77-F7CC-4D5B-A42E-61857DD9656C}"/>
            </a:ext>
          </a:extLst>
        </xdr:cNvPr>
        <xdr:cNvSpPr txBox="1"/>
      </xdr:nvSpPr>
      <xdr:spPr>
        <a:xfrm>
          <a:off x="50292001" y="14101483"/>
          <a:ext cx="3064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Single Order:</a:t>
          </a:r>
          <a:r>
            <a:rPr lang="en-MY" sz="1100" baseline="0"/>
            <a:t> </a:t>
          </a:r>
          <a:r>
            <a:rPr lang="en-MY" sz="1100"/>
            <a:t>Set delivery date range, 25th to 27th</a:t>
          </a:r>
        </a:p>
      </xdr:txBody>
    </xdr:sp>
    <xdr:clientData/>
  </xdr:oneCellAnchor>
  <xdr:twoCellAnchor editAs="oneCell">
    <xdr:from>
      <xdr:col>69</xdr:col>
      <xdr:colOff>185250</xdr:colOff>
      <xdr:row>35</xdr:row>
      <xdr:rowOff>167640</xdr:rowOff>
    </xdr:from>
    <xdr:to>
      <xdr:col>76</xdr:col>
      <xdr:colOff>288934</xdr:colOff>
      <xdr:row>54</xdr:row>
      <xdr:rowOff>79512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2AE90B-FACD-4E93-BD0F-63F74E71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700510" y="7200900"/>
          <a:ext cx="4367074" cy="3470412"/>
        </a:xfrm>
        <a:prstGeom prst="rect">
          <a:avLst/>
        </a:prstGeom>
      </xdr:spPr>
    </xdr:pic>
    <xdr:clientData/>
  </xdr:twoCellAnchor>
  <xdr:twoCellAnchor editAs="oneCell">
    <xdr:from>
      <xdr:col>63</xdr:col>
      <xdr:colOff>495301</xdr:colOff>
      <xdr:row>38</xdr:row>
      <xdr:rowOff>144781</xdr:rowOff>
    </xdr:from>
    <xdr:to>
      <xdr:col>69</xdr:col>
      <xdr:colOff>93144</xdr:colOff>
      <xdr:row>49</xdr:row>
      <xdr:rowOff>15241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2CE217-AFC2-4AAC-B9C7-E8AF3182C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52961" y="7726681"/>
          <a:ext cx="3244013" cy="1874520"/>
        </a:xfrm>
        <a:prstGeom prst="rect">
          <a:avLst/>
        </a:prstGeom>
      </xdr:spPr>
    </xdr:pic>
    <xdr:clientData/>
  </xdr:twoCellAnchor>
  <xdr:twoCellAnchor editAs="oneCell">
    <xdr:from>
      <xdr:col>64</xdr:col>
      <xdr:colOff>495300</xdr:colOff>
      <xdr:row>30</xdr:row>
      <xdr:rowOff>419100</xdr:rowOff>
    </xdr:from>
    <xdr:to>
      <xdr:col>72</xdr:col>
      <xdr:colOff>17145</xdr:colOff>
      <xdr:row>33</xdr:row>
      <xdr:rowOff>94477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2FEC13-0DEE-42F5-929B-38FE67A4E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62560" y="6172200"/>
          <a:ext cx="4411980" cy="585967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0.17051</cdr:x>
      <cdr:y>0.53099</cdr:y>
    </cdr:from>
    <cdr:to>
      <cdr:x>0.18276</cdr:x>
      <cdr:y>0.67042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F3E9F59-CB01-4456-87A6-C28528CC24AE}"/>
            </a:ext>
          </a:extLst>
        </cdr:cNvPr>
        <cdr:cNvCxnSpPr/>
      </cdr:nvCxnSpPr>
      <cdr:spPr>
        <a:xfrm xmlns:a="http://schemas.openxmlformats.org/drawingml/2006/main" flipH="1">
          <a:off x="1872263" y="3379694"/>
          <a:ext cx="134470" cy="8875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0.18439</cdr:x>
      <cdr:y>0.51972</cdr:y>
    </cdr:from>
    <cdr:to>
      <cdr:x>0.2195</cdr:x>
      <cdr:y>0.60704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5C40947-6041-4764-97A6-11A2DD695804}"/>
            </a:ext>
          </a:extLst>
        </cdr:cNvPr>
        <cdr:cNvCxnSpPr/>
      </cdr:nvCxnSpPr>
      <cdr:spPr>
        <a:xfrm xmlns:a="http://schemas.openxmlformats.org/drawingml/2006/main">
          <a:off x="2024662" y="3307976"/>
          <a:ext cx="385483" cy="5558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95494</xdr:colOff>
      <xdr:row>21</xdr:row>
      <xdr:rowOff>40927</xdr:rowOff>
    </xdr:from>
    <xdr:to>
      <xdr:col>11</xdr:col>
      <xdr:colOff>758102</xdr:colOff>
      <xdr:row>26</xdr:row>
      <xdr:rowOff>71718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6DF97AC-9EF2-4F9F-83A7-2882EA4DA4A1}"/>
            </a:ext>
          </a:extLst>
        </xdr:cNvPr>
        <xdr:cNvSpPr/>
      </xdr:nvSpPr>
      <xdr:spPr>
        <a:xfrm>
          <a:off x="11540734" y="3264187"/>
          <a:ext cx="662608" cy="4041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11</xdr:col>
      <xdr:colOff>106252</xdr:colOff>
      <xdr:row>43</xdr:row>
      <xdr:rowOff>29720</xdr:rowOff>
    </xdr:from>
    <xdr:to>
      <xdr:col>11</xdr:col>
      <xdr:colOff>869576</xdr:colOff>
      <xdr:row>48</xdr:row>
      <xdr:rowOff>89647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A964EF45-5105-42B7-AD53-41323397AA8F}"/>
            </a:ext>
          </a:extLst>
        </xdr:cNvPr>
        <xdr:cNvSpPr/>
      </xdr:nvSpPr>
      <xdr:spPr>
        <a:xfrm>
          <a:off x="11551492" y="5904740"/>
          <a:ext cx="763324" cy="4333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461386</xdr:colOff>
      <xdr:row>143</xdr:row>
      <xdr:rowOff>109695</xdr:rowOff>
    </xdr:from>
    <xdr:to>
      <xdr:col>1</xdr:col>
      <xdr:colOff>1957388</xdr:colOff>
      <xdr:row>147</xdr:row>
      <xdr:rowOff>52753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20AAB05-22DC-447F-833F-2AE771F556D8}"/>
            </a:ext>
          </a:extLst>
        </xdr:cNvPr>
        <xdr:cNvSpPr/>
      </xdr:nvSpPr>
      <xdr:spPr>
        <a:xfrm>
          <a:off x="1070986" y="10152855"/>
          <a:ext cx="1496002" cy="5221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8</xdr:col>
      <xdr:colOff>60960</xdr:colOff>
      <xdr:row>1</xdr:row>
      <xdr:rowOff>152400</xdr:rowOff>
    </xdr:from>
    <xdr:to>
      <xdr:col>9</xdr:col>
      <xdr:colOff>198120</xdr:colOff>
      <xdr:row>3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0E587C9-59F8-4382-A1BC-FB8F016B1B4D}"/>
            </a:ext>
          </a:extLst>
        </xdr:cNvPr>
        <xdr:cNvCxnSpPr/>
      </xdr:nvCxnSpPr>
      <xdr:spPr>
        <a:xfrm flipV="1">
          <a:off x="944118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2</xdr:row>
      <xdr:rowOff>106680</xdr:rowOff>
    </xdr:from>
    <xdr:to>
      <xdr:col>9</xdr:col>
      <xdr:colOff>129540</xdr:colOff>
      <xdr:row>3</xdr:row>
      <xdr:rowOff>60960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691DD0C-10BE-4943-9C18-8FA6D5FB7C35}"/>
            </a:ext>
          </a:extLst>
        </xdr:cNvPr>
        <xdr:cNvCxnSpPr/>
      </xdr:nvCxnSpPr>
      <xdr:spPr>
        <a:xfrm flipV="1">
          <a:off x="950214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129540</xdr:colOff>
      <xdr:row>3</xdr:row>
      <xdr:rowOff>91440</xdr:rowOff>
    </xdr:from>
    <xdr:to>
      <xdr:col>9</xdr:col>
      <xdr:colOff>182880</xdr:colOff>
      <xdr:row>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475F4D9-1C91-42F2-8F8A-51DE2DD8A0E0}"/>
            </a:ext>
          </a:extLst>
        </xdr:cNvPr>
        <xdr:cNvCxnSpPr/>
      </xdr:nvCxnSpPr>
      <xdr:spPr>
        <a:xfrm flipV="1">
          <a:off x="950976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</xdr:colOff>
      <xdr:row>3</xdr:row>
      <xdr:rowOff>160020</xdr:rowOff>
    </xdr:from>
    <xdr:to>
      <xdr:col>9</xdr:col>
      <xdr:colOff>83820</xdr:colOff>
      <xdr:row>5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3856AC7-13B9-422E-8946-247560F734F5}"/>
            </a:ext>
          </a:extLst>
        </xdr:cNvPr>
        <xdr:cNvCxnSpPr/>
      </xdr:nvCxnSpPr>
      <xdr:spPr>
        <a:xfrm>
          <a:off x="947928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134</xdr:row>
      <xdr:rowOff>133350</xdr:rowOff>
    </xdr:from>
    <xdr:to>
      <xdr:col>11</xdr:col>
      <xdr:colOff>666750</xdr:colOff>
      <xdr:row>136</xdr:row>
      <xdr:rowOff>43815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5D080E86-CD11-4EED-A20C-4BD99FD441CF}"/>
            </a:ext>
          </a:extLst>
        </xdr:cNvPr>
        <xdr:cNvSpPr/>
      </xdr:nvSpPr>
      <xdr:spPr>
        <a:xfrm>
          <a:off x="11502390" y="9265920"/>
          <a:ext cx="609600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11</xdr:col>
      <xdr:colOff>57150</xdr:colOff>
      <xdr:row>110</xdr:row>
      <xdr:rowOff>133350</xdr:rowOff>
    </xdr:from>
    <xdr:to>
      <xdr:col>11</xdr:col>
      <xdr:colOff>666750</xdr:colOff>
      <xdr:row>112</xdr:row>
      <xdr:rowOff>43815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760669FF-084D-4493-9EE4-36C2E3EEB942}"/>
            </a:ext>
          </a:extLst>
        </xdr:cNvPr>
        <xdr:cNvSpPr/>
      </xdr:nvSpPr>
      <xdr:spPr>
        <a:xfrm>
          <a:off x="11502390" y="9265920"/>
          <a:ext cx="609600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11</xdr:col>
      <xdr:colOff>89166</xdr:colOff>
      <xdr:row>88</xdr:row>
      <xdr:rowOff>129508</xdr:rowOff>
    </xdr:from>
    <xdr:to>
      <xdr:col>11</xdr:col>
      <xdr:colOff>698766</xdr:colOff>
      <xdr:row>90</xdr:row>
      <xdr:rowOff>39973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6358D9F-ECBB-4E0B-A603-A5E68EC1DF88}"/>
            </a:ext>
          </a:extLst>
        </xdr:cNvPr>
        <xdr:cNvSpPr/>
      </xdr:nvSpPr>
      <xdr:spPr>
        <a:xfrm>
          <a:off x="11534406" y="9265920"/>
          <a:ext cx="609600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</xdr:col>
      <xdr:colOff>1730829</xdr:colOff>
      <xdr:row>127</xdr:row>
      <xdr:rowOff>163285</xdr:rowOff>
    </xdr:from>
    <xdr:to>
      <xdr:col>1</xdr:col>
      <xdr:colOff>2558143</xdr:colOff>
      <xdr:row>129</xdr:row>
      <xdr:rowOff>65314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510832AF-711F-4616-8EEE-7A2604F8F5C6}"/>
            </a:ext>
          </a:extLst>
        </xdr:cNvPr>
        <xdr:cNvSpPr/>
      </xdr:nvSpPr>
      <xdr:spPr>
        <a:xfrm>
          <a:off x="234042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10</xdr:col>
      <xdr:colOff>555914</xdr:colOff>
      <xdr:row>171</xdr:row>
      <xdr:rowOff>56255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9C9CAE-F80D-4A0A-9EB1-BCA7034D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880" y="14135100"/>
          <a:ext cx="4655474" cy="602990"/>
        </a:xfrm>
        <a:prstGeom prst="rect">
          <a:avLst/>
        </a:prstGeom>
      </xdr:spPr>
    </xdr:pic>
    <xdr:clientData/>
  </xdr:twoCellAnchor>
  <xdr:twoCellAnchor>
    <xdr:from>
      <xdr:col>20</xdr:col>
      <xdr:colOff>60960</xdr:colOff>
      <xdr:row>1</xdr:row>
      <xdr:rowOff>152400</xdr:rowOff>
    </xdr:from>
    <xdr:to>
      <xdr:col>21</xdr:col>
      <xdr:colOff>198120</xdr:colOff>
      <xdr:row>3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883BE2C-0CB8-4A38-BF60-622D694FCFA6}"/>
            </a:ext>
          </a:extLst>
        </xdr:cNvPr>
        <xdr:cNvCxnSpPr/>
      </xdr:nvCxnSpPr>
      <xdr:spPr>
        <a:xfrm flipV="1">
          <a:off x="2298192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121920</xdr:colOff>
      <xdr:row>2</xdr:row>
      <xdr:rowOff>106680</xdr:rowOff>
    </xdr:from>
    <xdr:to>
      <xdr:col>21</xdr:col>
      <xdr:colOff>129540</xdr:colOff>
      <xdr:row>3</xdr:row>
      <xdr:rowOff>60960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DD13953-9A13-4259-8653-06792448F660}"/>
            </a:ext>
          </a:extLst>
        </xdr:cNvPr>
        <xdr:cNvCxnSpPr/>
      </xdr:nvCxnSpPr>
      <xdr:spPr>
        <a:xfrm flipV="1">
          <a:off x="2304288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129540</xdr:colOff>
      <xdr:row>3</xdr:row>
      <xdr:rowOff>91440</xdr:rowOff>
    </xdr:from>
    <xdr:to>
      <xdr:col>21</xdr:col>
      <xdr:colOff>182880</xdr:colOff>
      <xdr:row>3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A9C57CC-A490-4678-89E3-D05A61DC828B}"/>
            </a:ext>
          </a:extLst>
        </xdr:cNvPr>
        <xdr:cNvCxnSpPr/>
      </xdr:nvCxnSpPr>
      <xdr:spPr>
        <a:xfrm flipV="1">
          <a:off x="2305050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</xdr:colOff>
      <xdr:row>3</xdr:row>
      <xdr:rowOff>160020</xdr:rowOff>
    </xdr:from>
    <xdr:to>
      <xdr:col>21</xdr:col>
      <xdr:colOff>83820</xdr:colOff>
      <xdr:row>5</xdr:row>
      <xdr:rowOff>60960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2B7C3B8-8D8C-4E9E-A61C-112CAF06058F}"/>
            </a:ext>
          </a:extLst>
        </xdr:cNvPr>
        <xdr:cNvCxnSpPr/>
      </xdr:nvCxnSpPr>
      <xdr:spPr>
        <a:xfrm>
          <a:off x="2302002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1730829</xdr:colOff>
      <xdr:row>127</xdr:row>
      <xdr:rowOff>163285</xdr:rowOff>
    </xdr:from>
    <xdr:to>
      <xdr:col>13</xdr:col>
      <xdr:colOff>2558143</xdr:colOff>
      <xdr:row>129</xdr:row>
      <xdr:rowOff>65314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C6CFDB8F-C031-4F04-A6EF-E35453548A8B}"/>
            </a:ext>
          </a:extLst>
        </xdr:cNvPr>
        <xdr:cNvSpPr/>
      </xdr:nvSpPr>
      <xdr:spPr>
        <a:xfrm>
          <a:off x="1517250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16</xdr:col>
      <xdr:colOff>0</xdr:colOff>
      <xdr:row>168</xdr:row>
      <xdr:rowOff>0</xdr:rowOff>
    </xdr:from>
    <xdr:ext cx="4651664" cy="597275"/>
    <xdr:pic>
      <xdr:nvPicPr>
        <xdr:cNvPr id="19" name="Picture 18">
          <a:extLst>
            <a:ext uri="{FF2B5EF4-FFF2-40B4-BE49-F238E27FC236}">
              <a16:creationId xmlns:a16="http://schemas.microsoft.com/office/drawing/2014/main" id="{60B336A3-49A8-40F5-9C36-1E675F25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00620" y="14135100"/>
          <a:ext cx="4651664" cy="597275"/>
        </a:xfrm>
        <a:prstGeom prst="rect">
          <a:avLst/>
        </a:prstGeom>
      </xdr:spPr>
    </xdr:pic>
    <xdr:clientData/>
  </xdr:oneCellAnchor>
  <xdr:twoCellAnchor>
    <xdr:from>
      <xdr:col>36</xdr:col>
      <xdr:colOff>461386</xdr:colOff>
      <xdr:row>143</xdr:row>
      <xdr:rowOff>109695</xdr:rowOff>
    </xdr:from>
    <xdr:to>
      <xdr:col>36</xdr:col>
      <xdr:colOff>1957388</xdr:colOff>
      <xdr:row>147</xdr:row>
      <xdr:rowOff>52753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1C6A9DDB-3810-4A77-BF31-D3E13CEFA563}"/>
            </a:ext>
          </a:extLst>
        </xdr:cNvPr>
        <xdr:cNvSpPr/>
      </xdr:nvSpPr>
      <xdr:spPr>
        <a:xfrm>
          <a:off x="38774746" y="10152855"/>
          <a:ext cx="1496002" cy="5221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43</xdr:col>
      <xdr:colOff>60960</xdr:colOff>
      <xdr:row>1</xdr:row>
      <xdr:rowOff>152400</xdr:rowOff>
    </xdr:from>
    <xdr:to>
      <xdr:col>44</xdr:col>
      <xdr:colOff>198120</xdr:colOff>
      <xdr:row>3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54FCA1C-E6E4-447C-B04B-468FB6922F7D}"/>
            </a:ext>
          </a:extLst>
        </xdr:cNvPr>
        <xdr:cNvCxnSpPr/>
      </xdr:nvCxnSpPr>
      <xdr:spPr>
        <a:xfrm flipV="1">
          <a:off x="4714494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121920</xdr:colOff>
      <xdr:row>2</xdr:row>
      <xdr:rowOff>106680</xdr:rowOff>
    </xdr:from>
    <xdr:to>
      <xdr:col>44</xdr:col>
      <xdr:colOff>129540</xdr:colOff>
      <xdr:row>3</xdr:row>
      <xdr:rowOff>60960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278120E-2C84-45DF-ADE9-89B38F86482A}"/>
            </a:ext>
          </a:extLst>
        </xdr:cNvPr>
        <xdr:cNvCxnSpPr/>
      </xdr:nvCxnSpPr>
      <xdr:spPr>
        <a:xfrm flipV="1">
          <a:off x="4720590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129540</xdr:colOff>
      <xdr:row>3</xdr:row>
      <xdr:rowOff>91440</xdr:rowOff>
    </xdr:from>
    <xdr:to>
      <xdr:col>44</xdr:col>
      <xdr:colOff>182880</xdr:colOff>
      <xdr:row>3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BBFC79F-8ED0-4989-BBC9-8B28CABBDFD0}"/>
            </a:ext>
          </a:extLst>
        </xdr:cNvPr>
        <xdr:cNvCxnSpPr/>
      </xdr:nvCxnSpPr>
      <xdr:spPr>
        <a:xfrm flipV="1">
          <a:off x="4721352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99060</xdr:colOff>
      <xdr:row>3</xdr:row>
      <xdr:rowOff>160020</xdr:rowOff>
    </xdr:from>
    <xdr:to>
      <xdr:col>44</xdr:col>
      <xdr:colOff>83820</xdr:colOff>
      <xdr:row>5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00383A9-883F-4D8C-A24D-DBA512DCFA2E}"/>
            </a:ext>
          </a:extLst>
        </xdr:cNvPr>
        <xdr:cNvCxnSpPr/>
      </xdr:nvCxnSpPr>
      <xdr:spPr>
        <a:xfrm>
          <a:off x="4718304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1730829</xdr:colOff>
      <xdr:row>127</xdr:row>
      <xdr:rowOff>163285</xdr:rowOff>
    </xdr:from>
    <xdr:to>
      <xdr:col>36</xdr:col>
      <xdr:colOff>2558143</xdr:colOff>
      <xdr:row>129</xdr:row>
      <xdr:rowOff>65314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54090ADC-6697-4952-93FB-E582C0347729}"/>
            </a:ext>
          </a:extLst>
        </xdr:cNvPr>
        <xdr:cNvSpPr/>
      </xdr:nvSpPr>
      <xdr:spPr>
        <a:xfrm>
          <a:off x="4004418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39</xdr:col>
      <xdr:colOff>0</xdr:colOff>
      <xdr:row>168</xdr:row>
      <xdr:rowOff>0</xdr:rowOff>
    </xdr:from>
    <xdr:ext cx="4651664" cy="597275"/>
    <xdr:pic>
      <xdr:nvPicPr>
        <xdr:cNvPr id="26" name="Picture 25">
          <a:extLst>
            <a:ext uri="{FF2B5EF4-FFF2-40B4-BE49-F238E27FC236}">
              <a16:creationId xmlns:a16="http://schemas.microsoft.com/office/drawing/2014/main" id="{B32979F2-886A-4C6D-BE05-B833C844B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63640" y="14135100"/>
          <a:ext cx="4651664" cy="597275"/>
        </a:xfrm>
        <a:prstGeom prst="rect">
          <a:avLst/>
        </a:prstGeom>
      </xdr:spPr>
    </xdr:pic>
    <xdr:clientData/>
  </xdr:oneCellAnchor>
  <xdr:twoCellAnchor>
    <xdr:from>
      <xdr:col>48</xdr:col>
      <xdr:colOff>461386</xdr:colOff>
      <xdr:row>143</xdr:row>
      <xdr:rowOff>109695</xdr:rowOff>
    </xdr:from>
    <xdr:to>
      <xdr:col>48</xdr:col>
      <xdr:colOff>1957388</xdr:colOff>
      <xdr:row>147</xdr:row>
      <xdr:rowOff>52753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9637237F-DE90-4644-BFF5-FE0102FB6F56}"/>
            </a:ext>
          </a:extLst>
        </xdr:cNvPr>
        <xdr:cNvSpPr/>
      </xdr:nvSpPr>
      <xdr:spPr>
        <a:xfrm>
          <a:off x="50608606" y="10152855"/>
          <a:ext cx="1496002" cy="5221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55</xdr:col>
      <xdr:colOff>60960</xdr:colOff>
      <xdr:row>1</xdr:row>
      <xdr:rowOff>152400</xdr:rowOff>
    </xdr:from>
    <xdr:to>
      <xdr:col>56</xdr:col>
      <xdr:colOff>198120</xdr:colOff>
      <xdr:row>3</xdr:row>
      <xdr:rowOff>38100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9819B0A-D28C-4066-9AED-4E0D5EC68926}"/>
            </a:ext>
          </a:extLst>
        </xdr:cNvPr>
        <xdr:cNvCxnSpPr/>
      </xdr:nvCxnSpPr>
      <xdr:spPr>
        <a:xfrm flipV="1">
          <a:off x="5897880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121920</xdr:colOff>
      <xdr:row>2</xdr:row>
      <xdr:rowOff>106680</xdr:rowOff>
    </xdr:from>
    <xdr:to>
      <xdr:col>56</xdr:col>
      <xdr:colOff>129540</xdr:colOff>
      <xdr:row>3</xdr:row>
      <xdr:rowOff>60960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9B240F6-68E1-4A2C-A3C5-9E28E108A5E4}"/>
            </a:ext>
          </a:extLst>
        </xdr:cNvPr>
        <xdr:cNvCxnSpPr/>
      </xdr:nvCxnSpPr>
      <xdr:spPr>
        <a:xfrm flipV="1">
          <a:off x="5903976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129540</xdr:colOff>
      <xdr:row>3</xdr:row>
      <xdr:rowOff>91440</xdr:rowOff>
    </xdr:from>
    <xdr:to>
      <xdr:col>56</xdr:col>
      <xdr:colOff>182880</xdr:colOff>
      <xdr:row>3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BB0E44E-91CA-4D0F-B048-5964FDD29E4A}"/>
            </a:ext>
          </a:extLst>
        </xdr:cNvPr>
        <xdr:cNvCxnSpPr/>
      </xdr:nvCxnSpPr>
      <xdr:spPr>
        <a:xfrm flipV="1">
          <a:off x="5904738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99060</xdr:colOff>
      <xdr:row>3</xdr:row>
      <xdr:rowOff>160020</xdr:rowOff>
    </xdr:from>
    <xdr:to>
      <xdr:col>56</xdr:col>
      <xdr:colOff>83820</xdr:colOff>
      <xdr:row>5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CE81D6E-F031-4221-80C6-39F31BD6C5B1}"/>
            </a:ext>
          </a:extLst>
        </xdr:cNvPr>
        <xdr:cNvCxnSpPr/>
      </xdr:nvCxnSpPr>
      <xdr:spPr>
        <a:xfrm>
          <a:off x="5901690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1730829</xdr:colOff>
      <xdr:row>127</xdr:row>
      <xdr:rowOff>163285</xdr:rowOff>
    </xdr:from>
    <xdr:to>
      <xdr:col>48</xdr:col>
      <xdr:colOff>2558143</xdr:colOff>
      <xdr:row>129</xdr:row>
      <xdr:rowOff>65314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B2A41780-F280-4265-9494-C59921CCD27A}"/>
            </a:ext>
          </a:extLst>
        </xdr:cNvPr>
        <xdr:cNvSpPr/>
      </xdr:nvSpPr>
      <xdr:spPr>
        <a:xfrm>
          <a:off x="5187804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51</xdr:col>
      <xdr:colOff>0</xdr:colOff>
      <xdr:row>168</xdr:row>
      <xdr:rowOff>0</xdr:rowOff>
    </xdr:from>
    <xdr:ext cx="4651664" cy="597275"/>
    <xdr:pic>
      <xdr:nvPicPr>
        <xdr:cNvPr id="33" name="Picture 32">
          <a:extLst>
            <a:ext uri="{FF2B5EF4-FFF2-40B4-BE49-F238E27FC236}">
              <a16:creationId xmlns:a16="http://schemas.microsoft.com/office/drawing/2014/main" id="{27639D50-BFF1-45D4-87BF-3A1327632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0" y="14135100"/>
          <a:ext cx="4651664" cy="597275"/>
        </a:xfrm>
        <a:prstGeom prst="rect">
          <a:avLst/>
        </a:prstGeom>
      </xdr:spPr>
    </xdr:pic>
    <xdr:clientData/>
  </xdr:oneCellAnchor>
  <xdr:twoCellAnchor>
    <xdr:from>
      <xdr:col>31</xdr:col>
      <xdr:colOff>60960</xdr:colOff>
      <xdr:row>1</xdr:row>
      <xdr:rowOff>152400</xdr:rowOff>
    </xdr:from>
    <xdr:to>
      <xdr:col>32</xdr:col>
      <xdr:colOff>198120</xdr:colOff>
      <xdr:row>3</xdr:row>
      <xdr:rowOff>38100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7BF06CA-11AC-48C6-85EF-7F563E93BCB2}"/>
            </a:ext>
          </a:extLst>
        </xdr:cNvPr>
        <xdr:cNvCxnSpPr/>
      </xdr:nvCxnSpPr>
      <xdr:spPr>
        <a:xfrm flipV="1">
          <a:off x="3502152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121920</xdr:colOff>
      <xdr:row>2</xdr:row>
      <xdr:rowOff>106680</xdr:rowOff>
    </xdr:from>
    <xdr:to>
      <xdr:col>32</xdr:col>
      <xdr:colOff>129540</xdr:colOff>
      <xdr:row>3</xdr:row>
      <xdr:rowOff>60960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196F158-1AE1-48F4-B2BD-9219BB35BAF2}"/>
            </a:ext>
          </a:extLst>
        </xdr:cNvPr>
        <xdr:cNvCxnSpPr/>
      </xdr:nvCxnSpPr>
      <xdr:spPr>
        <a:xfrm flipV="1">
          <a:off x="3508248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</xdr:row>
      <xdr:rowOff>91440</xdr:rowOff>
    </xdr:from>
    <xdr:to>
      <xdr:col>32</xdr:col>
      <xdr:colOff>182880</xdr:colOff>
      <xdr:row>3</xdr:row>
      <xdr:rowOff>114300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EA5888B-5A74-4879-9269-1751354A3B1B}"/>
            </a:ext>
          </a:extLst>
        </xdr:cNvPr>
        <xdr:cNvCxnSpPr/>
      </xdr:nvCxnSpPr>
      <xdr:spPr>
        <a:xfrm flipV="1">
          <a:off x="3509010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99060</xdr:colOff>
      <xdr:row>3</xdr:row>
      <xdr:rowOff>160020</xdr:rowOff>
    </xdr:from>
    <xdr:to>
      <xdr:col>32</xdr:col>
      <xdr:colOff>83820</xdr:colOff>
      <xdr:row>5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6504C10-791A-40CE-AA7E-2429C2570EBB}"/>
            </a:ext>
          </a:extLst>
        </xdr:cNvPr>
        <xdr:cNvCxnSpPr/>
      </xdr:nvCxnSpPr>
      <xdr:spPr>
        <a:xfrm>
          <a:off x="3505962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1730829</xdr:colOff>
      <xdr:row>127</xdr:row>
      <xdr:rowOff>163285</xdr:rowOff>
    </xdr:from>
    <xdr:to>
      <xdr:col>24</xdr:col>
      <xdr:colOff>2558143</xdr:colOff>
      <xdr:row>129</xdr:row>
      <xdr:rowOff>65314</xdr:rowOff>
    </xdr:to>
    <xdr:sp macro="" textlink="">
      <xdr:nvSpPr>
        <xdr:cNvPr id="38" name="Arrow: Right 37">
          <a:extLst>
            <a:ext uri="{FF2B5EF4-FFF2-40B4-BE49-F238E27FC236}">
              <a16:creationId xmlns:a16="http://schemas.microsoft.com/office/drawing/2014/main" id="{13BAA2C8-90BB-4532-AB5B-1D6DC6C235A0}"/>
            </a:ext>
          </a:extLst>
        </xdr:cNvPr>
        <xdr:cNvSpPr/>
      </xdr:nvSpPr>
      <xdr:spPr>
        <a:xfrm>
          <a:off x="2739498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27</xdr:col>
      <xdr:colOff>0</xdr:colOff>
      <xdr:row>168</xdr:row>
      <xdr:rowOff>0</xdr:rowOff>
    </xdr:from>
    <xdr:ext cx="4651664" cy="597275"/>
    <xdr:pic>
      <xdr:nvPicPr>
        <xdr:cNvPr id="39" name="Picture 38">
          <a:extLst>
            <a:ext uri="{FF2B5EF4-FFF2-40B4-BE49-F238E27FC236}">
              <a16:creationId xmlns:a16="http://schemas.microsoft.com/office/drawing/2014/main" id="{59676146-6DCD-48E1-B641-B8202489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40220" y="14135100"/>
          <a:ext cx="4651664" cy="59727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617220</xdr:colOff>
      <xdr:row>80</xdr:row>
      <xdr:rowOff>83820</xdr:rowOff>
    </xdr:from>
    <xdr:to>
      <xdr:col>26</xdr:col>
      <xdr:colOff>1043940</xdr:colOff>
      <xdr:row>80</xdr:row>
      <xdr:rowOff>83820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194DDB6-C976-4E6A-B651-7D437665932A}"/>
            </a:ext>
          </a:extLst>
        </xdr:cNvPr>
        <xdr:cNvCxnSpPr/>
      </xdr:nvCxnSpPr>
      <xdr:spPr>
        <a:xfrm>
          <a:off x="3459480" y="10614660"/>
          <a:ext cx="14249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350520</xdr:colOff>
      <xdr:row>81</xdr:row>
      <xdr:rowOff>68580</xdr:rowOff>
    </xdr:from>
    <xdr:to>
      <xdr:col>30</xdr:col>
      <xdr:colOff>449580</xdr:colOff>
      <xdr:row>85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DE08CDE-7329-4340-8B21-728828EE88DE}"/>
            </a:ext>
          </a:extLst>
        </xdr:cNvPr>
        <xdr:cNvCxnSpPr/>
      </xdr:nvCxnSpPr>
      <xdr:spPr>
        <a:xfrm>
          <a:off x="5715000" y="10782300"/>
          <a:ext cx="1036320" cy="82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251460</xdr:colOff>
      <xdr:row>86</xdr:row>
      <xdr:rowOff>175260</xdr:rowOff>
    </xdr:from>
    <xdr:to>
      <xdr:col>33</xdr:col>
      <xdr:colOff>320040</xdr:colOff>
      <xdr:row>90</xdr:row>
      <xdr:rowOff>160020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C3CAA9D-52A3-48B4-9F6D-92A174429DCD}"/>
            </a:ext>
          </a:extLst>
        </xdr:cNvPr>
        <xdr:cNvCxnSpPr/>
      </xdr:nvCxnSpPr>
      <xdr:spPr>
        <a:xfrm>
          <a:off x="6560820" y="8260080"/>
          <a:ext cx="128778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373380</xdr:colOff>
      <xdr:row>86</xdr:row>
      <xdr:rowOff>60960</xdr:rowOff>
    </xdr:from>
    <xdr:to>
      <xdr:col>33</xdr:col>
      <xdr:colOff>579120</xdr:colOff>
      <xdr:row>86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1C4044-29A5-4A99-A6C1-51E33CE7708E}"/>
            </a:ext>
          </a:extLst>
        </xdr:cNvPr>
        <xdr:cNvCxnSpPr/>
      </xdr:nvCxnSpPr>
      <xdr:spPr>
        <a:xfrm>
          <a:off x="7277100" y="11689080"/>
          <a:ext cx="1341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312420</xdr:colOff>
      <xdr:row>80</xdr:row>
      <xdr:rowOff>144780</xdr:rowOff>
    </xdr:from>
    <xdr:to>
      <xdr:col>31</xdr:col>
      <xdr:colOff>571500</xdr:colOff>
      <xdr:row>80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F037C5-EF70-4B28-B85D-3C155ECAFAF6}"/>
            </a:ext>
          </a:extLst>
        </xdr:cNvPr>
        <xdr:cNvCxnSpPr/>
      </xdr:nvCxnSpPr>
      <xdr:spPr>
        <a:xfrm flipV="1">
          <a:off x="6080760" y="10675620"/>
          <a:ext cx="13944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81</xdr:row>
      <xdr:rowOff>114300</xdr:rowOff>
    </xdr:from>
    <xdr:to>
      <xdr:col>28</xdr:col>
      <xdr:colOff>327660</xdr:colOff>
      <xdr:row>91</xdr:row>
      <xdr:rowOff>160020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15CA256-2686-4EBF-A75D-6C932C2582A2}"/>
            </a:ext>
          </a:extLst>
        </xdr:cNvPr>
        <xdr:cNvCxnSpPr/>
      </xdr:nvCxnSpPr>
      <xdr:spPr>
        <a:xfrm>
          <a:off x="5364480" y="10828020"/>
          <a:ext cx="327660" cy="1874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179294</xdr:colOff>
      <xdr:row>9</xdr:row>
      <xdr:rowOff>0</xdr:rowOff>
    </xdr:from>
    <xdr:to>
      <xdr:col>1</xdr:col>
      <xdr:colOff>403412</xdr:colOff>
      <xdr:row>11</xdr:row>
      <xdr:rowOff>134470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690B9350-2A44-4A76-95A7-00D6EBD16138}"/>
            </a:ext>
          </a:extLst>
        </xdr:cNvPr>
        <xdr:cNvSpPr/>
      </xdr:nvSpPr>
      <xdr:spPr>
        <a:xfrm>
          <a:off x="1362635" y="1667435"/>
          <a:ext cx="224118" cy="493059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95494</xdr:colOff>
      <xdr:row>20</xdr:row>
      <xdr:rowOff>40927</xdr:rowOff>
    </xdr:from>
    <xdr:to>
      <xdr:col>14</xdr:col>
      <xdr:colOff>758102</xdr:colOff>
      <xdr:row>25</xdr:row>
      <xdr:rowOff>71718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3FEF90C-9299-4DAC-BF82-02B4E36A130D}"/>
            </a:ext>
          </a:extLst>
        </xdr:cNvPr>
        <xdr:cNvSpPr/>
      </xdr:nvSpPr>
      <xdr:spPr>
        <a:xfrm>
          <a:off x="15084482" y="3241327"/>
          <a:ext cx="662608" cy="398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14</xdr:col>
      <xdr:colOff>106252</xdr:colOff>
      <xdr:row>42</xdr:row>
      <xdr:rowOff>92473</xdr:rowOff>
    </xdr:from>
    <xdr:to>
      <xdr:col>14</xdr:col>
      <xdr:colOff>768860</xdr:colOff>
      <xdr:row>44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D1AE5F56-31B5-4BDF-9C91-548F5ACA914E}"/>
            </a:ext>
          </a:extLst>
        </xdr:cNvPr>
        <xdr:cNvSpPr/>
      </xdr:nvSpPr>
      <xdr:spPr>
        <a:xfrm>
          <a:off x="13791772" y="122235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14</xdr:col>
      <xdr:colOff>57150</xdr:colOff>
      <xdr:row>65</xdr:row>
      <xdr:rowOff>133350</xdr:rowOff>
    </xdr:from>
    <xdr:to>
      <xdr:col>14</xdr:col>
      <xdr:colOff>666750</xdr:colOff>
      <xdr:row>67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16AC86FF-4AE3-472E-BCEE-4240500E7434}"/>
            </a:ext>
          </a:extLst>
        </xdr:cNvPr>
        <xdr:cNvSpPr/>
      </xdr:nvSpPr>
      <xdr:spPr>
        <a:xfrm>
          <a:off x="13742670" y="2073021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461386</xdr:colOff>
      <xdr:row>143</xdr:row>
      <xdr:rowOff>109695</xdr:rowOff>
    </xdr:from>
    <xdr:to>
      <xdr:col>1</xdr:col>
      <xdr:colOff>1957388</xdr:colOff>
      <xdr:row>147</xdr:row>
      <xdr:rowOff>52753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36AA5E8B-29DB-46B4-8B63-9FCD057AF1B8}"/>
            </a:ext>
          </a:extLst>
        </xdr:cNvPr>
        <xdr:cNvSpPr/>
      </xdr:nvSpPr>
      <xdr:spPr>
        <a:xfrm>
          <a:off x="1070986" y="19523110"/>
          <a:ext cx="1496002" cy="5233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0</xdr:col>
      <xdr:colOff>600635</xdr:colOff>
      <xdr:row>166</xdr:row>
      <xdr:rowOff>16008</xdr:rowOff>
    </xdr:from>
    <xdr:to>
      <xdr:col>2</xdr:col>
      <xdr:colOff>24165</xdr:colOff>
      <xdr:row>170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71767651-D398-49EC-AA7C-75E084512573}"/>
            </a:ext>
          </a:extLst>
        </xdr:cNvPr>
        <xdr:cNvSpPr/>
      </xdr:nvSpPr>
      <xdr:spPr>
        <a:xfrm>
          <a:off x="600635" y="30648408"/>
          <a:ext cx="2686683" cy="5756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8</xdr:col>
      <xdr:colOff>60960</xdr:colOff>
      <xdr:row>1</xdr:row>
      <xdr:rowOff>159027</xdr:rowOff>
    </xdr:from>
    <xdr:to>
      <xdr:col>8</xdr:col>
      <xdr:colOff>669235</xdr:colOff>
      <xdr:row>3</xdr:row>
      <xdr:rowOff>38101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28AEFF-B573-40AE-B7B6-79E7E94C4F8B}"/>
            </a:ext>
          </a:extLst>
        </xdr:cNvPr>
        <xdr:cNvCxnSpPr/>
      </xdr:nvCxnSpPr>
      <xdr:spPr>
        <a:xfrm flipV="1">
          <a:off x="9436873" y="424070"/>
          <a:ext cx="608275" cy="376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2</xdr:row>
      <xdr:rowOff>159026</xdr:rowOff>
    </xdr:from>
    <xdr:to>
      <xdr:col>8</xdr:col>
      <xdr:colOff>649357</xdr:colOff>
      <xdr:row>3</xdr:row>
      <xdr:rowOff>60961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1A890C0-2532-43F0-964C-91D38B053251}"/>
            </a:ext>
          </a:extLst>
        </xdr:cNvPr>
        <xdr:cNvCxnSpPr/>
      </xdr:nvCxnSpPr>
      <xdr:spPr>
        <a:xfrm flipV="1">
          <a:off x="9497833" y="689113"/>
          <a:ext cx="527437" cy="133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129540</xdr:colOff>
      <xdr:row>3</xdr:row>
      <xdr:rowOff>79513</xdr:rowOff>
    </xdr:from>
    <xdr:to>
      <xdr:col>8</xdr:col>
      <xdr:colOff>682487</xdr:colOff>
      <xdr:row>3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C6AC3C8-C8AA-439F-B73A-866E7FF484BA}"/>
            </a:ext>
          </a:extLst>
        </xdr:cNvPr>
        <xdr:cNvCxnSpPr/>
      </xdr:nvCxnSpPr>
      <xdr:spPr>
        <a:xfrm flipV="1">
          <a:off x="9505453" y="841513"/>
          <a:ext cx="552947" cy="34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</xdr:colOff>
      <xdr:row>3</xdr:row>
      <xdr:rowOff>160020</xdr:rowOff>
    </xdr:from>
    <xdr:to>
      <xdr:col>9</xdr:col>
      <xdr:colOff>79513</xdr:colOff>
      <xdr:row>4</xdr:row>
      <xdr:rowOff>132522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CE4DEE-72F3-45B3-B1E6-9826B4DD357D}"/>
            </a:ext>
          </a:extLst>
        </xdr:cNvPr>
        <xdr:cNvCxnSpPr/>
      </xdr:nvCxnSpPr>
      <xdr:spPr>
        <a:xfrm>
          <a:off x="9474973" y="922020"/>
          <a:ext cx="682818" cy="158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636105</xdr:colOff>
      <xdr:row>4</xdr:row>
      <xdr:rowOff>139148</xdr:rowOff>
    </xdr:from>
    <xdr:to>
      <xdr:col>11</xdr:col>
      <xdr:colOff>536713</xdr:colOff>
      <xdr:row>9</xdr:row>
      <xdr:rowOff>86140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0000F18-6733-4D64-B0C2-B888B6960111}"/>
            </a:ext>
          </a:extLst>
        </xdr:cNvPr>
        <xdr:cNvCxnSpPr/>
      </xdr:nvCxnSpPr>
      <xdr:spPr>
        <a:xfrm>
          <a:off x="10714383" y="1086678"/>
          <a:ext cx="1265582" cy="178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172279</xdr:rowOff>
    </xdr:from>
    <xdr:to>
      <xdr:col>11</xdr:col>
      <xdr:colOff>589722</xdr:colOff>
      <xdr:row>10</xdr:row>
      <xdr:rowOff>92765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696F0B5-1D60-4FEE-A112-150412D39EA3}"/>
            </a:ext>
          </a:extLst>
        </xdr:cNvPr>
        <xdr:cNvCxnSpPr/>
      </xdr:nvCxnSpPr>
      <xdr:spPr>
        <a:xfrm>
          <a:off x="10754139" y="1119809"/>
          <a:ext cx="1278835" cy="33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133</xdr:row>
      <xdr:rowOff>133350</xdr:rowOff>
    </xdr:from>
    <xdr:to>
      <xdr:col>14</xdr:col>
      <xdr:colOff>666750</xdr:colOff>
      <xdr:row>135</xdr:row>
      <xdr:rowOff>43815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B502AE6E-D763-4308-9CBA-F192F1127D85}"/>
            </a:ext>
          </a:extLst>
        </xdr:cNvPr>
        <xdr:cNvSpPr/>
      </xdr:nvSpPr>
      <xdr:spPr>
        <a:xfrm>
          <a:off x="15015210" y="1173861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14</xdr:col>
      <xdr:colOff>57150</xdr:colOff>
      <xdr:row>109</xdr:row>
      <xdr:rowOff>133350</xdr:rowOff>
    </xdr:from>
    <xdr:to>
      <xdr:col>14</xdr:col>
      <xdr:colOff>666750</xdr:colOff>
      <xdr:row>111</xdr:row>
      <xdr:rowOff>43815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806E9560-5F0F-4954-8060-99F4BED26B1D}"/>
            </a:ext>
          </a:extLst>
        </xdr:cNvPr>
        <xdr:cNvSpPr/>
      </xdr:nvSpPr>
      <xdr:spPr>
        <a:xfrm>
          <a:off x="15046138" y="15391279"/>
          <a:ext cx="609600" cy="278018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14</xdr:col>
      <xdr:colOff>89166</xdr:colOff>
      <xdr:row>87</xdr:row>
      <xdr:rowOff>129508</xdr:rowOff>
    </xdr:from>
    <xdr:to>
      <xdr:col>14</xdr:col>
      <xdr:colOff>698766</xdr:colOff>
      <xdr:row>89</xdr:row>
      <xdr:rowOff>39973</xdr:rowOff>
    </xdr:to>
    <xdr:sp macro="" textlink="">
      <xdr:nvSpPr>
        <xdr:cNvPr id="30" name="Arrow: Right 29">
          <a:extLst>
            <a:ext uri="{FF2B5EF4-FFF2-40B4-BE49-F238E27FC236}">
              <a16:creationId xmlns:a16="http://schemas.microsoft.com/office/drawing/2014/main" id="{D5C56F61-C46D-4B93-A049-43BFD65FA1F2}"/>
            </a:ext>
          </a:extLst>
        </xdr:cNvPr>
        <xdr:cNvSpPr/>
      </xdr:nvSpPr>
      <xdr:spPr>
        <a:xfrm>
          <a:off x="15035252" y="15848479"/>
          <a:ext cx="609600" cy="29146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</xdr:col>
      <xdr:colOff>1730829</xdr:colOff>
      <xdr:row>126</xdr:row>
      <xdr:rowOff>163285</xdr:rowOff>
    </xdr:from>
    <xdr:to>
      <xdr:col>1</xdr:col>
      <xdr:colOff>2558143</xdr:colOff>
      <xdr:row>128</xdr:row>
      <xdr:rowOff>65314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46CFE888-598D-4EF8-A06E-7AF5749081E3}"/>
            </a:ext>
          </a:extLst>
        </xdr:cNvPr>
        <xdr:cNvSpPr/>
      </xdr:nvSpPr>
      <xdr:spPr>
        <a:xfrm>
          <a:off x="2340429" y="23055942"/>
          <a:ext cx="827314" cy="283029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30</xdr:row>
      <xdr:rowOff>86139</xdr:rowOff>
    </xdr:from>
    <xdr:to>
      <xdr:col>5</xdr:col>
      <xdr:colOff>245165</xdr:colOff>
      <xdr:row>33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9A0F42D-21AF-4128-B61A-C63F7F4CF806}"/>
            </a:ext>
          </a:extLst>
        </xdr:cNvPr>
        <xdr:cNvCxnSpPr/>
      </xdr:nvCxnSpPr>
      <xdr:spPr>
        <a:xfrm flipH="1">
          <a:off x="4299005" y="4558748"/>
          <a:ext cx="1325" cy="4770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26505</xdr:colOff>
      <xdr:row>12</xdr:row>
      <xdr:rowOff>92765</xdr:rowOff>
    </xdr:from>
    <xdr:to>
      <xdr:col>15</xdr:col>
      <xdr:colOff>602974</xdr:colOff>
      <xdr:row>12</xdr:row>
      <xdr:rowOff>99391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7A342DA-515B-4327-A9C8-FDDA8BDDDC79}"/>
            </a:ext>
          </a:extLst>
        </xdr:cNvPr>
        <xdr:cNvCxnSpPr/>
      </xdr:nvCxnSpPr>
      <xdr:spPr>
        <a:xfrm flipV="1">
          <a:off x="11025809" y="2504661"/>
          <a:ext cx="576469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32</xdr:row>
      <xdr:rowOff>22860</xdr:rowOff>
    </xdr:from>
    <xdr:to>
      <xdr:col>4</xdr:col>
      <xdr:colOff>91440</xdr:colOff>
      <xdr:row>33</xdr:row>
      <xdr:rowOff>160020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3336F2F-1873-4736-8E5E-6A397C4619D4}"/>
            </a:ext>
          </a:extLst>
        </xdr:cNvPr>
        <xdr:cNvSpPr/>
      </xdr:nvSpPr>
      <xdr:spPr>
        <a:xfrm>
          <a:off x="2476500" y="5829300"/>
          <a:ext cx="213360" cy="327660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64114</xdr:colOff>
      <xdr:row>55</xdr:row>
      <xdr:rowOff>98612</xdr:rowOff>
    </xdr:from>
    <xdr:to>
      <xdr:col>79</xdr:col>
      <xdr:colOff>340658</xdr:colOff>
      <xdr:row>83</xdr:row>
      <xdr:rowOff>259977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C6AFF-6A18-4A61-963B-B4EF5B86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110716</xdr:colOff>
      <xdr:row>83</xdr:row>
      <xdr:rowOff>374763</xdr:rowOff>
    </xdr:from>
    <xdr:to>
      <xdr:col>76</xdr:col>
      <xdr:colOff>357243</xdr:colOff>
      <xdr:row>113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FAF82-DF45-4A9C-8851-4611F55B5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DEEE183-A8BC-4A30-A249-815E0059D18E}"/>
            </a:ext>
          </a:extLst>
        </xdr:cNvPr>
        <xdr:cNvCxnSpPr/>
      </xdr:nvCxnSpPr>
      <xdr:spPr>
        <a:xfrm flipV="1">
          <a:off x="18691786" y="6330577"/>
          <a:ext cx="1392891" cy="314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B598C99-3E3F-41E4-912C-931679702330}"/>
            </a:ext>
          </a:extLst>
        </xdr:cNvPr>
        <xdr:cNvCxnSpPr/>
      </xdr:nvCxnSpPr>
      <xdr:spPr>
        <a:xfrm>
          <a:off x="18646963" y="6793380"/>
          <a:ext cx="145564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645459</xdr:rowOff>
    </xdr:from>
    <xdr:to>
      <xdr:col>26</xdr:col>
      <xdr:colOff>35859</xdr:colOff>
      <xdr:row>31</xdr:row>
      <xdr:rowOff>53340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CA7FA2D-540C-4A9F-A968-E5B9D8D01FB5}"/>
            </a:ext>
          </a:extLst>
        </xdr:cNvPr>
        <xdr:cNvCxnSpPr/>
      </xdr:nvCxnSpPr>
      <xdr:spPr>
        <a:xfrm flipV="1">
          <a:off x="22233890" y="6220759"/>
          <a:ext cx="1316019" cy="55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1C67D11-B62F-4236-BC27-9DCBC2561739}"/>
            </a:ext>
          </a:extLst>
        </xdr:cNvPr>
        <xdr:cNvCxnSpPr/>
      </xdr:nvCxnSpPr>
      <xdr:spPr>
        <a:xfrm>
          <a:off x="22279610" y="6383020"/>
          <a:ext cx="1234440" cy="113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5E086EB-3572-48C0-9991-56658780A8D4}"/>
            </a:ext>
          </a:extLst>
        </xdr:cNvPr>
        <xdr:cNvCxnSpPr/>
      </xdr:nvCxnSpPr>
      <xdr:spPr>
        <a:xfrm>
          <a:off x="20847050" y="6865097"/>
          <a:ext cx="236107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FD9660-050C-48D9-A19E-F915DEEE09AE}"/>
            </a:ext>
          </a:extLst>
        </xdr:cNvPr>
        <xdr:cNvCxnSpPr/>
      </xdr:nvCxnSpPr>
      <xdr:spPr>
        <a:xfrm>
          <a:off x="18664891" y="6856132"/>
          <a:ext cx="2244912" cy="615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662940</xdr:colOff>
      <xdr:row>16</xdr:row>
      <xdr:rowOff>137160</xdr:rowOff>
    </xdr:from>
    <xdr:to>
      <xdr:col>4</xdr:col>
      <xdr:colOff>1040130</xdr:colOff>
      <xdr:row>18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9F0DB40-1EAE-4CA0-A3B8-53B0DDBB22D3}"/>
            </a:ext>
          </a:extLst>
        </xdr:cNvPr>
        <xdr:cNvCxnSpPr/>
      </xdr:nvCxnSpPr>
      <xdr:spPr>
        <a:xfrm flipH="1">
          <a:off x="9089390" y="3070860"/>
          <a:ext cx="37719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69</xdr:row>
      <xdr:rowOff>38100</xdr:rowOff>
    </xdr:from>
    <xdr:to>
      <xdr:col>34</xdr:col>
      <xdr:colOff>457200</xdr:colOff>
      <xdr:row>70</xdr:row>
      <xdr:rowOff>137160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9CF56CE-229D-45D5-90E3-FD8A164E1C29}"/>
            </a:ext>
          </a:extLst>
        </xdr:cNvPr>
        <xdr:cNvCxnSpPr/>
      </xdr:nvCxnSpPr>
      <xdr:spPr>
        <a:xfrm flipV="1">
          <a:off x="29965650" y="13906500"/>
          <a:ext cx="0" cy="283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445059</xdr:colOff>
      <xdr:row>48</xdr:row>
      <xdr:rowOff>152807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D69E5F1-98E4-48D6-99C5-4D79D864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62300" y="8248650"/>
          <a:ext cx="3048559" cy="1257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655320</xdr:colOff>
      <xdr:row>32</xdr:row>
      <xdr:rowOff>152400</xdr:rowOff>
    </xdr:from>
    <xdr:to>
      <xdr:col>64</xdr:col>
      <xdr:colOff>229961</xdr:colOff>
      <xdr:row>37</xdr:row>
      <xdr:rowOff>23773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8578B7-00AE-4883-A2B3-D97FAC4A5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7620" y="6559550"/>
          <a:ext cx="4100400" cy="792123"/>
        </a:xfrm>
        <a:prstGeom prst="rect">
          <a:avLst/>
        </a:prstGeom>
      </xdr:spPr>
    </xdr:pic>
    <xdr:clientData/>
  </xdr:twoCellAnchor>
  <xdr:oneCellAnchor>
    <xdr:from>
      <xdr:col>63</xdr:col>
      <xdr:colOff>448236</xdr:colOff>
      <xdr:row>69</xdr:row>
      <xdr:rowOff>53789</xdr:rowOff>
    </xdr:from>
    <xdr:ext cx="3064493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93AB24-EB1F-470F-AE0D-61C283E4A623}"/>
            </a:ext>
          </a:extLst>
        </xdr:cNvPr>
        <xdr:cNvSpPr txBox="1"/>
      </xdr:nvSpPr>
      <xdr:spPr>
        <a:xfrm>
          <a:off x="51419686" y="14290489"/>
          <a:ext cx="3064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Single Order:</a:t>
          </a:r>
          <a:r>
            <a:rPr lang="en-MY" sz="1100" baseline="0"/>
            <a:t> </a:t>
          </a:r>
          <a:r>
            <a:rPr lang="en-MY" sz="1100"/>
            <a:t>Set delivery date range, 25th to 27th</a:t>
          </a:r>
        </a:p>
      </xdr:txBody>
    </xdr:sp>
    <xdr:clientData/>
  </xdr:oneCellAnchor>
  <xdr:twoCellAnchor editAs="oneCell">
    <xdr:from>
      <xdr:col>64</xdr:col>
      <xdr:colOff>495300</xdr:colOff>
      <xdr:row>30</xdr:row>
      <xdr:rowOff>419100</xdr:rowOff>
    </xdr:from>
    <xdr:to>
      <xdr:col>72</xdr:col>
      <xdr:colOff>30480</xdr:colOff>
      <xdr:row>33</xdr:row>
      <xdr:rowOff>90667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2B39A20-D5FA-4AAE-A7EF-775DB3D14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076350" y="6089650"/>
          <a:ext cx="4411980" cy="592317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0.17051</cdr:x>
      <cdr:y>0.53099</cdr:y>
    </cdr:from>
    <cdr:to>
      <cdr:x>0.18276</cdr:x>
      <cdr:y>0.67042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F3E9F59-CB01-4456-87A6-C28528CC24AE}"/>
            </a:ext>
          </a:extLst>
        </cdr:cNvPr>
        <cdr:cNvCxnSpPr/>
      </cdr:nvCxnSpPr>
      <cdr:spPr>
        <a:xfrm xmlns:a="http://schemas.openxmlformats.org/drawingml/2006/main" flipH="1">
          <a:off x="1872263" y="3379694"/>
          <a:ext cx="134470" cy="8875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0.18439</cdr:x>
      <cdr:y>0.51972</cdr:y>
    </cdr:from>
    <cdr:to>
      <cdr:x>0.2195</cdr:x>
      <cdr:y>0.60704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5C40947-6041-4764-97A6-11A2DD695804}"/>
            </a:ext>
          </a:extLst>
        </cdr:cNvPr>
        <cdr:cNvCxnSpPr/>
      </cdr:nvCxnSpPr>
      <cdr:spPr>
        <a:xfrm xmlns:a="http://schemas.openxmlformats.org/drawingml/2006/main">
          <a:off x="2024662" y="3307976"/>
          <a:ext cx="385483" cy="5558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362686</xdr:colOff>
      <xdr:row>20</xdr:row>
      <xdr:rowOff>93081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35B830-9490-4675-A158-0C1048F53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2321317"/>
          <a:ext cx="3570705" cy="1507469"/>
        </a:xfrm>
        <a:prstGeom prst="rect">
          <a:avLst/>
        </a:prstGeom>
      </xdr:spPr>
    </xdr:pic>
    <xdr:clientData/>
  </xdr:twoCellAnchor>
  <xdr:twoCellAnchor>
    <xdr:from>
      <xdr:col>63</xdr:col>
      <xdr:colOff>451392</xdr:colOff>
      <xdr:row>53</xdr:row>
      <xdr:rowOff>83820</xdr:rowOff>
    </xdr:from>
    <xdr:to>
      <xdr:col>78</xdr:col>
      <xdr:colOff>274320</xdr:colOff>
      <xdr:row>77</xdr:row>
      <xdr:rowOff>30031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A92678-1FCA-4995-8C0E-0E527D297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165846</xdr:colOff>
      <xdr:row>77</xdr:row>
      <xdr:rowOff>144780</xdr:rowOff>
    </xdr:from>
    <xdr:to>
      <xdr:col>74</xdr:col>
      <xdr:colOff>15240</xdr:colOff>
      <xdr:row>101</xdr:row>
      <xdr:rowOff>75303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A0845C-A6F2-4A48-A85E-967985B40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A3CE919-1821-4D04-9838-12F4B51A0462}"/>
            </a:ext>
          </a:extLst>
        </xdr:cNvPr>
        <xdr:cNvCxnSpPr/>
      </xdr:nvCxnSpPr>
      <xdr:spPr>
        <a:xfrm flipV="1">
          <a:off x="36109836" y="6409317"/>
          <a:ext cx="1373841" cy="311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5850B53-E7E6-41A7-AADB-F5759CC707CC}"/>
            </a:ext>
          </a:extLst>
        </xdr:cNvPr>
        <xdr:cNvCxnSpPr/>
      </xdr:nvCxnSpPr>
      <xdr:spPr>
        <a:xfrm>
          <a:off x="36065013" y="6868310"/>
          <a:ext cx="14365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472440</xdr:rowOff>
    </xdr:from>
    <xdr:to>
      <xdr:col>26</xdr:col>
      <xdr:colOff>0</xdr:colOff>
      <xdr:row>31</xdr:row>
      <xdr:rowOff>53341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92529CF-9405-40F2-A776-DE7F3B0C7159}"/>
            </a:ext>
          </a:extLst>
        </xdr:cNvPr>
        <xdr:cNvCxnSpPr/>
      </xdr:nvCxnSpPr>
      <xdr:spPr>
        <a:xfrm flipV="1">
          <a:off x="21899880" y="6225540"/>
          <a:ext cx="1257300" cy="1295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F31A06A-0FBB-4C26-9322-BFFD50D98B49}"/>
            </a:ext>
          </a:extLst>
        </xdr:cNvPr>
        <xdr:cNvCxnSpPr/>
      </xdr:nvCxnSpPr>
      <xdr:spPr>
        <a:xfrm>
          <a:off x="39631620" y="646176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8E81307-2396-4877-B28E-AC8A41D3C113}"/>
            </a:ext>
          </a:extLst>
        </xdr:cNvPr>
        <xdr:cNvCxnSpPr/>
      </xdr:nvCxnSpPr>
      <xdr:spPr>
        <a:xfrm>
          <a:off x="38229540" y="6940027"/>
          <a:ext cx="231916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40B5D2A-93E3-4B9A-AB19-7A0BEF302275}"/>
            </a:ext>
          </a:extLst>
        </xdr:cNvPr>
        <xdr:cNvCxnSpPr/>
      </xdr:nvCxnSpPr>
      <xdr:spPr>
        <a:xfrm>
          <a:off x="36082941" y="6931062"/>
          <a:ext cx="2209352" cy="611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682487</xdr:colOff>
      <xdr:row>17</xdr:row>
      <xdr:rowOff>46383</xdr:rowOff>
    </xdr:from>
    <xdr:to>
      <xdr:col>9</xdr:col>
      <xdr:colOff>689114</xdr:colOff>
      <xdr:row>21</xdr:row>
      <xdr:rowOff>6627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C730F7F-1518-47A2-9A57-812DD4C931B8}"/>
            </a:ext>
          </a:extLst>
        </xdr:cNvPr>
        <xdr:cNvCxnSpPr/>
      </xdr:nvCxnSpPr>
      <xdr:spPr>
        <a:xfrm flipH="1" flipV="1">
          <a:off x="9018104" y="3279913"/>
          <a:ext cx="6627" cy="7023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67</xdr:row>
      <xdr:rowOff>38100</xdr:rowOff>
    </xdr:from>
    <xdr:to>
      <xdr:col>34</xdr:col>
      <xdr:colOff>457200</xdr:colOff>
      <xdr:row>68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9F959A4-3DFF-4262-8042-35255666219B}"/>
            </a:ext>
          </a:extLst>
        </xdr:cNvPr>
        <xdr:cNvCxnSpPr/>
      </xdr:nvCxnSpPr>
      <xdr:spPr>
        <a:xfrm flipV="1">
          <a:off x="47221140" y="1393698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437439</xdr:colOff>
      <xdr:row>48</xdr:row>
      <xdr:rowOff>152807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8A8B533-F8FC-405E-815B-CB206109F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4440" y="8313420"/>
          <a:ext cx="3005379" cy="1250087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42</xdr:row>
      <xdr:rowOff>0</xdr:rowOff>
    </xdr:from>
    <xdr:to>
      <xdr:col>61</xdr:col>
      <xdr:colOff>248490</xdr:colOff>
      <xdr:row>46</xdr:row>
      <xdr:rowOff>54253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B758141-F74A-47D0-B996-0D0B7BF9D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49760" y="8313420"/>
          <a:ext cx="4031819" cy="785773"/>
        </a:xfrm>
        <a:prstGeom prst="rect">
          <a:avLst/>
        </a:prstGeom>
      </xdr:spPr>
    </xdr:pic>
    <xdr:clientData/>
  </xdr:twoCellAnchor>
  <xdr:twoCellAnchor>
    <xdr:from>
      <xdr:col>8</xdr:col>
      <xdr:colOff>589724</xdr:colOff>
      <xdr:row>17</xdr:row>
      <xdr:rowOff>39757</xdr:rowOff>
    </xdr:from>
    <xdr:to>
      <xdr:col>9</xdr:col>
      <xdr:colOff>430696</xdr:colOff>
      <xdr:row>18</xdr:row>
      <xdr:rowOff>165653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9FE2A23-AEF7-4A1A-B752-D4C3B9EDBBC8}"/>
            </a:ext>
          </a:extLst>
        </xdr:cNvPr>
        <xdr:cNvCxnSpPr/>
      </xdr:nvCxnSpPr>
      <xdr:spPr>
        <a:xfrm flipV="1">
          <a:off x="8004315" y="3273287"/>
          <a:ext cx="761998" cy="3114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1000540</xdr:colOff>
      <xdr:row>17</xdr:row>
      <xdr:rowOff>152400</xdr:rowOff>
    </xdr:from>
    <xdr:to>
      <xdr:col>11</xdr:col>
      <xdr:colOff>145774</xdr:colOff>
      <xdr:row>23</xdr:row>
      <xdr:rowOff>86140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C96374C-DCAE-48B3-80A8-8284025461A6}"/>
            </a:ext>
          </a:extLst>
        </xdr:cNvPr>
        <xdr:cNvCxnSpPr/>
      </xdr:nvCxnSpPr>
      <xdr:spPr>
        <a:xfrm flipV="1">
          <a:off x="10422836" y="3385930"/>
          <a:ext cx="351181" cy="1046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417444</xdr:colOff>
      <xdr:row>17</xdr:row>
      <xdr:rowOff>112644</xdr:rowOff>
    </xdr:from>
    <xdr:to>
      <xdr:col>12</xdr:col>
      <xdr:colOff>119271</xdr:colOff>
      <xdr:row>20</xdr:row>
      <xdr:rowOff>165652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FE5ECD9-638D-490F-8CB9-027FAD7CBD67}"/>
            </a:ext>
          </a:extLst>
        </xdr:cNvPr>
        <xdr:cNvCxnSpPr/>
      </xdr:nvCxnSpPr>
      <xdr:spPr>
        <a:xfrm flipH="1" flipV="1">
          <a:off x="11045687" y="3346174"/>
          <a:ext cx="443949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362686</xdr:colOff>
      <xdr:row>20</xdr:row>
      <xdr:rowOff>87366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9A644-F505-48B2-9BA2-E424A6613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5940" y="2321317"/>
          <a:ext cx="3570706" cy="1507469"/>
        </a:xfrm>
        <a:prstGeom prst="rect">
          <a:avLst/>
        </a:prstGeom>
      </xdr:spPr>
    </xdr:pic>
    <xdr:clientData/>
  </xdr:twoCellAnchor>
  <xdr:twoCellAnchor>
    <xdr:from>
      <xdr:col>16</xdr:col>
      <xdr:colOff>833717</xdr:colOff>
      <xdr:row>28</xdr:row>
      <xdr:rowOff>8965</xdr:rowOff>
    </xdr:from>
    <xdr:to>
      <xdr:col>34</xdr:col>
      <xdr:colOff>8964</xdr:colOff>
      <xdr:row>55</xdr:row>
      <xdr:rowOff>233083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92D70-6B72-4E5C-BFF7-55970526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57</xdr:row>
      <xdr:rowOff>89238</xdr:rowOff>
    </xdr:from>
    <xdr:to>
      <xdr:col>30</xdr:col>
      <xdr:colOff>449580</xdr:colOff>
      <xdr:row>79</xdr:row>
      <xdr:rowOff>541020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9EA6-F628-4BA3-8DCD-909E23078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295836</xdr:colOff>
      <xdr:row>31</xdr:row>
      <xdr:rowOff>107577</xdr:rowOff>
    </xdr:from>
    <xdr:to>
      <xdr:col>33</xdr:col>
      <xdr:colOff>564777</xdr:colOff>
      <xdr:row>33</xdr:row>
      <xdr:rowOff>53788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ACCE99F-0C49-4000-9EAF-1C91420C7DCA}"/>
            </a:ext>
          </a:extLst>
        </xdr:cNvPr>
        <xdr:cNvCxnSpPr/>
      </xdr:nvCxnSpPr>
      <xdr:spPr>
        <a:xfrm flipV="1">
          <a:off x="25929516" y="6409317"/>
          <a:ext cx="1373841" cy="311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251013</xdr:colOff>
      <xdr:row>34</xdr:row>
      <xdr:rowOff>17930</xdr:rowOff>
    </xdr:from>
    <xdr:to>
      <xdr:col>33</xdr:col>
      <xdr:colOff>582706</xdr:colOff>
      <xdr:row>34</xdr:row>
      <xdr:rowOff>89647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1B5E1DC-F499-4A7D-AB01-BA15AB2CF7D2}"/>
            </a:ext>
          </a:extLst>
        </xdr:cNvPr>
        <xdr:cNvCxnSpPr/>
      </xdr:nvCxnSpPr>
      <xdr:spPr>
        <a:xfrm>
          <a:off x="25884693" y="6868310"/>
          <a:ext cx="14365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205740</xdr:colOff>
      <xdr:row>30</xdr:row>
      <xdr:rowOff>645459</xdr:rowOff>
    </xdr:from>
    <xdr:to>
      <xdr:col>38</xdr:col>
      <xdr:colOff>35859</xdr:colOff>
      <xdr:row>31</xdr:row>
      <xdr:rowOff>53340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B46AE82-3B45-4E5C-BBF9-8E131F1F5AEE}"/>
            </a:ext>
          </a:extLst>
        </xdr:cNvPr>
        <xdr:cNvCxnSpPr/>
      </xdr:nvCxnSpPr>
      <xdr:spPr>
        <a:xfrm flipV="1">
          <a:off x="29405580" y="6299499"/>
          <a:ext cx="1293159" cy="55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251460</xdr:colOff>
      <xdr:row>31</xdr:row>
      <xdr:rowOff>160020</xdr:rowOff>
    </xdr:from>
    <xdr:to>
      <xdr:col>38</xdr:col>
      <xdr:colOff>0</xdr:colOff>
      <xdr:row>32</xdr:row>
      <xdr:rowOff>89647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D51DAC-AE9A-40C2-9409-B17DCE4A1255}"/>
            </a:ext>
          </a:extLst>
        </xdr:cNvPr>
        <xdr:cNvCxnSpPr/>
      </xdr:nvCxnSpPr>
      <xdr:spPr>
        <a:xfrm>
          <a:off x="29451300" y="646176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34</xdr:row>
      <xdr:rowOff>89647</xdr:rowOff>
    </xdr:from>
    <xdr:to>
      <xdr:col>37</xdr:col>
      <xdr:colOff>475129</xdr:colOff>
      <xdr:row>34</xdr:row>
      <xdr:rowOff>107577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B9CC10-DAC2-43A3-ABBE-07DA76594A40}"/>
            </a:ext>
          </a:extLst>
        </xdr:cNvPr>
        <xdr:cNvCxnSpPr/>
      </xdr:nvCxnSpPr>
      <xdr:spPr>
        <a:xfrm>
          <a:off x="28049220" y="6940027"/>
          <a:ext cx="231916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268941</xdr:colOff>
      <xdr:row>34</xdr:row>
      <xdr:rowOff>80682</xdr:rowOff>
    </xdr:from>
    <xdr:to>
      <xdr:col>34</xdr:col>
      <xdr:colOff>519953</xdr:colOff>
      <xdr:row>37</xdr:row>
      <xdr:rowOff>143435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7B0DEA1-FD0F-423D-A21F-CB1C4E7F54E4}"/>
            </a:ext>
          </a:extLst>
        </xdr:cNvPr>
        <xdr:cNvCxnSpPr/>
      </xdr:nvCxnSpPr>
      <xdr:spPr>
        <a:xfrm>
          <a:off x="25902621" y="6931062"/>
          <a:ext cx="2209352" cy="611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662940</xdr:colOff>
      <xdr:row>16</xdr:row>
      <xdr:rowOff>137160</xdr:rowOff>
    </xdr:from>
    <xdr:to>
      <xdr:col>9</xdr:col>
      <xdr:colOff>1040130</xdr:colOff>
      <xdr:row>18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4447821-65C2-49A1-88E8-4818CEE2285C}"/>
            </a:ext>
          </a:extLst>
        </xdr:cNvPr>
        <xdr:cNvCxnSpPr/>
      </xdr:nvCxnSpPr>
      <xdr:spPr>
        <a:xfrm flipH="1">
          <a:off x="8999220" y="3147060"/>
          <a:ext cx="37719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17</xdr:row>
      <xdr:rowOff>30480</xdr:rowOff>
    </xdr:from>
    <xdr:to>
      <xdr:col>10</xdr:col>
      <xdr:colOff>891540</xdr:colOff>
      <xdr:row>18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8334202-090E-4ED0-B01D-40DEE92C8BA5}"/>
            </a:ext>
          </a:extLst>
        </xdr:cNvPr>
        <xdr:cNvCxnSpPr/>
      </xdr:nvCxnSpPr>
      <xdr:spPr>
        <a:xfrm>
          <a:off x="9738360" y="3223260"/>
          <a:ext cx="5791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457200</xdr:colOff>
      <xdr:row>67</xdr:row>
      <xdr:rowOff>38100</xdr:rowOff>
    </xdr:from>
    <xdr:to>
      <xdr:col>46</xdr:col>
      <xdr:colOff>457200</xdr:colOff>
      <xdr:row>68</xdr:row>
      <xdr:rowOff>137160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796955-17DF-4F3E-AA5E-64C4EA022127}"/>
            </a:ext>
          </a:extLst>
        </xdr:cNvPr>
        <xdr:cNvCxnSpPr/>
      </xdr:nvCxnSpPr>
      <xdr:spPr>
        <a:xfrm flipV="1">
          <a:off x="37040820" y="1393698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63</xdr:col>
      <xdr:colOff>0</xdr:colOff>
      <xdr:row>42</xdr:row>
      <xdr:rowOff>0</xdr:rowOff>
    </xdr:from>
    <xdr:to>
      <xdr:col>66</xdr:col>
      <xdr:colOff>445058</xdr:colOff>
      <xdr:row>48</xdr:row>
      <xdr:rowOff>152807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5D90816-208C-4FD9-9B33-3CC887F4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04120" y="8313420"/>
          <a:ext cx="3005379" cy="1250087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42</xdr:row>
      <xdr:rowOff>0</xdr:rowOff>
    </xdr:from>
    <xdr:to>
      <xdr:col>73</xdr:col>
      <xdr:colOff>237060</xdr:colOff>
      <xdr:row>46</xdr:row>
      <xdr:rowOff>54253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22FB9-095E-4811-88C6-9D16C5BF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69440" y="8313420"/>
          <a:ext cx="4031820" cy="785773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0.14046</cdr:x>
      <cdr:y>0.3213</cdr:y>
    </cdr:from>
    <cdr:to>
      <cdr:x>0.17319</cdr:x>
      <cdr:y>0.42249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E15CFA8-EC6B-41DF-BD81-C99CED4001A7}"/>
            </a:ext>
          </a:extLst>
        </cdr:cNvPr>
        <cdr:cNvCxnSpPr/>
      </cdr:nvCxnSpPr>
      <cdr:spPr>
        <a:xfrm xmlns:a="http://schemas.openxmlformats.org/drawingml/2006/main" flipH="1">
          <a:off x="1677570" y="1998739"/>
          <a:ext cx="390939" cy="6294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362685</xdr:colOff>
      <xdr:row>20</xdr:row>
      <xdr:rowOff>93081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3E1BD-6B83-4409-855D-B6901974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10160" y="2321317"/>
          <a:ext cx="3570705" cy="1507469"/>
        </a:xfrm>
        <a:prstGeom prst="rect">
          <a:avLst/>
        </a:prstGeom>
      </xdr:spPr>
    </xdr:pic>
    <xdr:clientData/>
  </xdr:twoCellAnchor>
  <xdr:twoCellAnchor>
    <xdr:from>
      <xdr:col>61</xdr:col>
      <xdr:colOff>73078</xdr:colOff>
      <xdr:row>55</xdr:row>
      <xdr:rowOff>62752</xdr:rowOff>
    </xdr:from>
    <xdr:to>
      <xdr:col>81</xdr:col>
      <xdr:colOff>35856</xdr:colOff>
      <xdr:row>93</xdr:row>
      <xdr:rowOff>98610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9248ED4-96E7-4EE8-AB46-5D89954BC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129988</xdr:colOff>
      <xdr:row>94</xdr:row>
      <xdr:rowOff>62343</xdr:rowOff>
    </xdr:from>
    <xdr:to>
      <xdr:col>74</xdr:col>
      <xdr:colOff>350967</xdr:colOff>
      <xdr:row>121</xdr:row>
      <xdr:rowOff>75303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E0EFE42-7A88-42BD-9D2E-64C86B37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159598A-9894-457B-A753-5D54A17483B4}"/>
            </a:ext>
          </a:extLst>
        </xdr:cNvPr>
        <xdr:cNvCxnSpPr/>
      </xdr:nvCxnSpPr>
      <xdr:spPr>
        <a:xfrm flipV="1">
          <a:off x="34254142" y="6499412"/>
          <a:ext cx="878541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F7349B5-BD49-4548-ABB5-A3058FED9DA3}"/>
            </a:ext>
          </a:extLst>
        </xdr:cNvPr>
        <xdr:cNvCxnSpPr/>
      </xdr:nvCxnSpPr>
      <xdr:spPr>
        <a:xfrm>
          <a:off x="34209319" y="6947648"/>
          <a:ext cx="9412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645459</xdr:rowOff>
    </xdr:from>
    <xdr:to>
      <xdr:col>26</xdr:col>
      <xdr:colOff>35859</xdr:colOff>
      <xdr:row>31</xdr:row>
      <xdr:rowOff>53340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B9D00418-7AAE-4EDB-B057-E7736DE9D85A}"/>
            </a:ext>
          </a:extLst>
        </xdr:cNvPr>
        <xdr:cNvCxnSpPr/>
      </xdr:nvCxnSpPr>
      <xdr:spPr>
        <a:xfrm flipV="1">
          <a:off x="39204900" y="6398559"/>
          <a:ext cx="1293159" cy="139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ACAD9FC-B6FC-4CCE-BE6F-CAA1483D98BC}"/>
            </a:ext>
          </a:extLst>
        </xdr:cNvPr>
        <xdr:cNvCxnSpPr/>
      </xdr:nvCxnSpPr>
      <xdr:spPr>
        <a:xfrm>
          <a:off x="39250620" y="664464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8B43BB0F-6CC7-420F-8C43-314E608E4178}"/>
            </a:ext>
          </a:extLst>
        </xdr:cNvPr>
        <xdr:cNvCxnSpPr/>
      </xdr:nvCxnSpPr>
      <xdr:spPr>
        <a:xfrm>
          <a:off x="35634706" y="7019365"/>
          <a:ext cx="184672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F49D9F47-2078-4DC6-B8B7-FAF076CA3C2A}"/>
            </a:ext>
          </a:extLst>
        </xdr:cNvPr>
        <xdr:cNvCxnSpPr/>
      </xdr:nvCxnSpPr>
      <xdr:spPr>
        <a:xfrm>
          <a:off x="34227247" y="7010400"/>
          <a:ext cx="1470212" cy="600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662940</xdr:colOff>
      <xdr:row>16</xdr:row>
      <xdr:rowOff>137160</xdr:rowOff>
    </xdr:from>
    <xdr:to>
      <xdr:col>9</xdr:col>
      <xdr:colOff>1040130</xdr:colOff>
      <xdr:row>18</xdr:row>
      <xdr:rowOff>175260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13A85C7D-7735-48BF-8E4F-019FC71039A2}"/>
            </a:ext>
          </a:extLst>
        </xdr:cNvPr>
        <xdr:cNvCxnSpPr/>
      </xdr:nvCxnSpPr>
      <xdr:spPr>
        <a:xfrm flipH="1">
          <a:off x="7879080" y="3329940"/>
          <a:ext cx="37719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17</xdr:row>
      <xdr:rowOff>30480</xdr:rowOff>
    </xdr:from>
    <xdr:to>
      <xdr:col>10</xdr:col>
      <xdr:colOff>891540</xdr:colOff>
      <xdr:row>18</xdr:row>
      <xdr:rowOff>152400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EC72DDD4-1BE3-4EB9-BE17-31BB7954EAAC}"/>
            </a:ext>
          </a:extLst>
        </xdr:cNvPr>
        <xdr:cNvCxnSpPr/>
      </xdr:nvCxnSpPr>
      <xdr:spPr>
        <a:xfrm>
          <a:off x="8580120" y="3406140"/>
          <a:ext cx="5791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67</xdr:row>
      <xdr:rowOff>38100</xdr:rowOff>
    </xdr:from>
    <xdr:to>
      <xdr:col>34</xdr:col>
      <xdr:colOff>457200</xdr:colOff>
      <xdr:row>68</xdr:row>
      <xdr:rowOff>137160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47CCA1C-70A0-461C-B0A6-3029E01BC497}"/>
            </a:ext>
          </a:extLst>
        </xdr:cNvPr>
        <xdr:cNvCxnSpPr/>
      </xdr:nvCxnSpPr>
      <xdr:spPr>
        <a:xfrm flipV="1">
          <a:off x="47175420" y="1394460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437439</xdr:colOff>
      <xdr:row>48</xdr:row>
      <xdr:rowOff>152807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3F740A-3AC6-434B-96EF-B64407DA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49129" y="8175812"/>
          <a:ext cx="3000000" cy="1228571"/>
        </a:xfrm>
        <a:prstGeom prst="rect">
          <a:avLst/>
        </a:prstGeom>
      </xdr:spPr>
    </xdr:pic>
    <xdr:clientData/>
  </xdr:twoCellAnchor>
  <xdr:twoCellAnchor editAs="oneCell">
    <xdr:from>
      <xdr:col>66</xdr:col>
      <xdr:colOff>313764</xdr:colOff>
      <xdr:row>43</xdr:row>
      <xdr:rowOff>0</xdr:rowOff>
    </xdr:from>
    <xdr:to>
      <xdr:col>73</xdr:col>
      <xdr:colOff>96089</xdr:colOff>
      <xdr:row>47</xdr:row>
      <xdr:rowOff>54253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458C33E-D155-40E8-BC0B-4A2ED1EED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986329" y="8355106"/>
          <a:ext cx="4038095" cy="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P_vacc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_v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1"/>
      <sheetName val="DC2"/>
      <sheetName val="DC3"/>
      <sheetName val="Supplier1"/>
      <sheetName val="Supplier2"/>
      <sheetName val="DRP simul YY"/>
      <sheetName val="Selection"/>
    </sheetNames>
    <sheetDataSet>
      <sheetData sheetId="0"/>
      <sheetData sheetId="1">
        <row r="11">
          <cell r="C11">
            <v>30</v>
          </cell>
        </row>
      </sheetData>
      <sheetData sheetId="2">
        <row r="2">
          <cell r="C2" t="str">
            <v>Value</v>
          </cell>
        </row>
        <row r="3">
          <cell r="C3">
            <v>20</v>
          </cell>
        </row>
        <row r="4">
          <cell r="C4">
            <v>10</v>
          </cell>
        </row>
        <row r="5">
          <cell r="C5">
            <v>20</v>
          </cell>
        </row>
      </sheetData>
      <sheetData sheetId="3">
        <row r="8">
          <cell r="C8">
            <v>30</v>
          </cell>
        </row>
        <row r="11">
          <cell r="C11" t="str">
            <v>Yes</v>
          </cell>
        </row>
      </sheetData>
      <sheetData sheetId="4">
        <row r="11">
          <cell r="C11" t="str">
            <v>No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H_Sourcing plan_1_4_9a"/>
      <sheetName val="Indv Hosp fcast_2_10"/>
      <sheetName val="Forecast_Consolidated_3_9b"/>
      <sheetName val="Indv supp plan_7_8"/>
      <sheetName val="DRP-Push"/>
      <sheetName val="DRP Pull"/>
      <sheetName val="Supplier DRP"/>
      <sheetName val="Scheduling"/>
      <sheetName val="Inv Simulation - HS1"/>
      <sheetName val="Inv Simulation - HS1 (R)"/>
      <sheetName val="Inv Simulation - HS2"/>
      <sheetName val="TruckSchedule"/>
      <sheetName val="Inv Simulation - HS3"/>
      <sheetName val="TruckScheduling"/>
      <sheetName val="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C28">
            <v>69</v>
          </cell>
          <cell r="O28">
            <v>16</v>
          </cell>
          <cell r="Z28"/>
        </row>
        <row r="29">
          <cell r="C29">
            <v>5</v>
          </cell>
          <cell r="O29">
            <v>0</v>
          </cell>
          <cell r="Z29"/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416BC-1E4E-4B3D-9A10-5E842D2AE078}" name="Table145" displayName="Table145" ref="C31:Q63" totalsRowCount="1" headerRowDxfId="224" dataDxfId="223">
  <autoFilter ref="C31:Q62" xr:uid="{AAA1F109-7BCE-4CC5-ACD5-CDDCAF394FE9}"/>
  <tableColumns count="15">
    <tableColumn id="1" xr3:uid="{5BADC1E0-8927-42D6-A3B8-A74858B6E203}" name="Day" dataDxfId="222" totalsRowDxfId="221" dataCellStyle="60% - Accent6"/>
    <tableColumn id="17" xr3:uid="{EB7DD310-AFF1-4253-9534-C32457BDB79D}" name="Replenishment based on Pharmaniaga" dataDxfId="220" totalsRowDxfId="219" dataCellStyle="60% - Accent6"/>
    <tableColumn id="2" xr3:uid="{C81811B3-B051-453F-8D39-5E015192D6F8}" name="Replenishment_x000a_(vials)" totalsRowFunction="custom" dataDxfId="218" totalsRowDxfId="217">
      <calculatedColumnFormula>IF(G31&lt; $F$29, $F$28, 0)</calculatedColumnFormula>
      <totalsRowFormula>SUM(Table145[Replenishment
(vials)])+SUM(Table145[Problematic 
Vaccine 
Quantity])</totalsRowFormula>
    </tableColumn>
    <tableColumn id="3" xr3:uid="{D9405C74-5624-44F5-BD7F-4DEAD87DBF13}" name="ULT Consumption_x000a_(vials)" dataDxfId="216" totalsRowDxfId="215"/>
    <tableColumn id="4" xr3:uid="{BE2DB308-0211-45DF-A721-73DF4CB51502}" name="ULT Ending Inventory _x000a_(-75 deg C) (vials)" dataDxfId="214" totalsRowDxfId="213">
      <calculatedColumnFormula>E32+G31-F32</calculatedColumnFormula>
    </tableColumn>
    <tableColumn id="13" xr3:uid="{F65C56DF-0E5F-4A7D-ADDE-067DE0D05A86}" name="Outbound 20 clinics_x000a_(vials)" dataDxfId="212" totalsRowDxfId="211"/>
    <tableColumn id="15" xr3:uid="{6B704BAE-72B5-4D31-8526-DA07CB42C042}" name="Daily Vaccination_x000a_(vials)" dataDxfId="210" totalsRowDxfId="209"/>
    <tableColumn id="14" xr3:uid="{448C7EE6-595C-4EB5-AD31-AC55F9FCC90C}" name="Thawed Ending Inventory_x000a_(2-8 deg C) (vials)" dataDxfId="208" totalsRowDxfId="207">
      <calculatedColumnFormula>J31+Table145[[#This Row],[ULT Consumption
(vials)]]-Table145[[#This Row],[Daily Vaccination
(vials)]]</calculatedColumnFormula>
    </tableColumn>
    <tableColumn id="16" xr3:uid="{5179F229-C6AD-47FE-BB44-639C91120983}" name="Total Ending Inventory _x000a_(ULT and thawed)" dataDxfId="206" totalsRowDxfId="205">
      <calculatedColumnFormula>Table145[[#This Row],[ULT Ending Inventory 
(-75 deg C) (vials)]]+Table145[[#This Row],[Thawed Ending Inventory
(2-8 deg C) (vials)]]</calculatedColumnFormula>
    </tableColumn>
    <tableColumn id="5" xr3:uid="{7306A4F5-D988-4BC8-9B7A-202DD279319B}" name="Safety _x000a_Stock" dataDxfId="204" totalsRowDxfId="203">
      <calculatedColumnFormula>$F$27</calculatedColumnFormula>
    </tableColumn>
    <tableColumn id="6" xr3:uid="{F464AC78-2070-48C2-B7AB-F2004939E8DC}" name="Maximum _x000a_Inventory" dataDxfId="202" totalsRowDxfId="201">
      <calculatedColumnFormula>$F$26</calculatedColumnFormula>
    </tableColumn>
    <tableColumn id="7" xr3:uid="{829AD3B2-6C2C-4A44-8C3A-7355B8F31D1F}" name="Reordering _x000a_point" dataDxfId="200" totalsRowDxfId="199">
      <calculatedColumnFormula>$F$29</calculatedColumnFormula>
    </tableColumn>
    <tableColumn id="11" xr3:uid="{5CBA0649-FE2A-4AF5-B0E8-7A2DD2B95AC3}" name="Problematic Vaccine _x000a_Exist?" dataDxfId="198" totalsRowDxfId="197">
      <calculatedColumnFormula>IF(Table145[[#This Row],[Problematic 
Vaccine 
Quantity]]&gt;0, "YES","NO")</calculatedColumnFormula>
    </tableColumn>
    <tableColumn id="8" xr3:uid="{D6E2B77F-B75C-48BC-BC51-3735F028BA42}" name="Problematic _x000a_Vaccine _x000a_Quantity" dataDxfId="196" totalsRowDxfId="195"/>
    <tableColumn id="10" xr3:uid="{EC01281C-FB19-4F46-B0EA-DBBFE368AD28}" name="Number of people vaccinated" dataDxfId="194" totalsRowDxfId="193">
      <calculatedColumnFormula>Table145[[#This Row],[ULT Consumption
(vials)]]*5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70C3C-7A6D-4CD4-BBD7-B211E1AC4DDF}" name="Table13" displayName="Table13" ref="C31:Q63" totalsRowCount="1" headerRowDxfId="192" dataDxfId="191">
  <autoFilter ref="C31:Q62" xr:uid="{AAA1F109-7BCE-4CC5-ACD5-CDDCAF394FE9}"/>
  <tableColumns count="15">
    <tableColumn id="1" xr3:uid="{C776B842-885C-453B-BDA2-69BD13431B81}" name="Day" dataDxfId="190" totalsRowDxfId="189" dataCellStyle="60% - Accent6"/>
    <tableColumn id="17" xr3:uid="{038A6669-7432-446E-B11A-D4E0CA6ACDAE}" name="Replenishment based on Pharmaniaga" dataDxfId="188" totalsRowDxfId="187" dataCellStyle="60% - Accent6"/>
    <tableColumn id="2" xr3:uid="{3467B02D-A25A-45A4-AA72-17B6FCD9A4B3}" name="Replenishment_x000a_(vials)" totalsRowFunction="custom" dataDxfId="186" totalsRowDxfId="185">
      <calculatedColumnFormula>IF(G31&lt; $F$29, $F$28, 0)</calculatedColumnFormula>
      <totalsRowFormula>SUM(Table13[Replenishment
(vials)])+SUM(Table13[Problematic 
Vaccine 
Quantity])</totalsRowFormula>
    </tableColumn>
    <tableColumn id="3" xr3:uid="{69670416-02C1-4930-844E-2B768C69AAC1}" name="ULT Consumption_x000a_(vials)" dataDxfId="184" totalsRowDxfId="183"/>
    <tableColumn id="4" xr3:uid="{5033E403-DE97-4800-836A-6B2E10BFA59F}" name="ULT Ending Inventory _x000a_(-75 deg C) (vials)" dataDxfId="182" totalsRowDxfId="181">
      <calculatedColumnFormula>E32+G31-F32</calculatedColumnFormula>
    </tableColumn>
    <tableColumn id="13" xr3:uid="{AE3A2F8D-704B-4681-9531-C7CEA574C78D}" name="Outbound 20 clinics_x000a_(vials)" dataDxfId="180" totalsRowDxfId="179"/>
    <tableColumn id="15" xr3:uid="{FCC763CE-7214-477C-94D9-279AF354B073}" name="Daily Vaccination_x000a_(vials)" dataDxfId="178" totalsRowDxfId="177"/>
    <tableColumn id="14" xr3:uid="{FBAE0D64-5EEA-4CBE-BD4B-0476D878DC35}" name="Thawed Ending Inventory_x000a_(2-8 deg C) (vials)" dataDxfId="176" totalsRowDxfId="175">
      <calculatedColumnFormula>J31+Table13[[#This Row],[ULT Consumption
(vials)]]-Table13[[#This Row],[Daily Vaccination
(vials)]]</calculatedColumnFormula>
    </tableColumn>
    <tableColumn id="16" xr3:uid="{6171BDBE-C056-46A7-9109-4C9A491782AB}" name="Total Ending Inventory _x000a_(ULT and thawed)" dataDxfId="174" totalsRowDxfId="173">
      <calculatedColumnFormula>Table13[[#This Row],[ULT Ending Inventory 
(-75 deg C) (vials)]]+Table13[[#This Row],[Thawed Ending Inventory
(2-8 deg C) (vials)]]</calculatedColumnFormula>
    </tableColumn>
    <tableColumn id="5" xr3:uid="{4D2FDA44-B00C-405B-833E-D1A02A4CFED6}" name="Safety _x000a_Stock" dataDxfId="172" totalsRowDxfId="171">
      <calculatedColumnFormula>$F$27</calculatedColumnFormula>
    </tableColumn>
    <tableColumn id="6" xr3:uid="{26A0DD5A-BFD9-475D-8D5C-338E43C62EE1}" name="Maximum _x000a_Inventory" dataDxfId="170" totalsRowDxfId="169">
      <calculatedColumnFormula>$F$26</calculatedColumnFormula>
    </tableColumn>
    <tableColumn id="7" xr3:uid="{439BEA2E-43D9-4001-9B86-FE11348ADC86}" name="Reordering _x000a_point" dataDxfId="168" totalsRowDxfId="167">
      <calculatedColumnFormula>$F$29</calculatedColumnFormula>
    </tableColumn>
    <tableColumn id="11" xr3:uid="{277CD432-3567-48AA-A9FE-970DB4BF4244}" name="Problematic Vaccine _x000a_Exist?" dataDxfId="166" totalsRowDxfId="165">
      <calculatedColumnFormula>IF(Table13[[#This Row],[Problematic 
Vaccine 
Quantity]]&gt;0, "YES","NO")</calculatedColumnFormula>
    </tableColumn>
    <tableColumn id="8" xr3:uid="{07853F19-5779-4289-B512-EEA2F894F2DE}" name="Problematic _x000a_Vaccine _x000a_Quantity" dataDxfId="164" totalsRowDxfId="163"/>
    <tableColumn id="10" xr3:uid="{2DB8CCDD-D164-4DC4-8943-00E3BA11934B}" name="Number of people vaccinated" dataDxfId="162" totalsRowDxfId="161">
      <calculatedColumnFormula>Table13[[#This Row],[ULT Consumption
(vials)]]*5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C28FD-C6FF-408D-B426-6491BCA194DF}" name="Table136" displayName="Table136" ref="C31:Q63" totalsRowCount="1" headerRowDxfId="160" dataDxfId="159">
  <autoFilter ref="C31:Q62" xr:uid="{AAA1F109-7BCE-4CC5-ACD5-CDDCAF394FE9}"/>
  <tableColumns count="15">
    <tableColumn id="1" xr3:uid="{87F80527-460B-4C22-8E1E-A39AD0688DF2}" name="Day" dataDxfId="158" totalsRowDxfId="157" dataCellStyle="60% - Accent6"/>
    <tableColumn id="17" xr3:uid="{5C4C3BA8-E7E2-440C-8754-6A1562B6301A}" name="Replenishment based on Pharmaniaga" dataDxfId="156" totalsRowDxfId="155" dataCellStyle="60% - Accent6">
      <calculatedColumnFormula>BR57*$I$26</calculatedColumnFormula>
    </tableColumn>
    <tableColumn id="2" xr3:uid="{23B2F0F4-B0EC-4CBC-A524-51505D931BAE}" name="Replenishment_x000a_(vials)" totalsRowFunction="custom" dataDxfId="154" totalsRowDxfId="153">
      <calculatedColumnFormula>IF(G31&lt; $F$29, $F$28, 0)</calculatedColumnFormula>
      <totalsRowFormula>SUM(Table136[Replenishment
(vials)])+SUM(Table136[Problematic 
Vaccine 
Quantity])</totalsRowFormula>
    </tableColumn>
    <tableColumn id="3" xr3:uid="{81433E17-3A4F-4AA9-905B-71E298A8254F}" name="ULT Consumption_x000a_(vials)" dataDxfId="152" totalsRowDxfId="151"/>
    <tableColumn id="4" xr3:uid="{8321DBCB-E79E-4B7E-9231-D38230ED6B2F}" name="ULT Ending Inventory _x000a_(-75 deg C) (vials)" dataDxfId="150" totalsRowDxfId="149">
      <calculatedColumnFormula>E32+G31-F32</calculatedColumnFormula>
    </tableColumn>
    <tableColumn id="13" xr3:uid="{628E9EDB-7C2F-4530-AB3B-CAD7EE65F988}" name="Outbound 20 clinics_x000a_(vials)" dataDxfId="148" totalsRowDxfId="147"/>
    <tableColumn id="15" xr3:uid="{70BC0B17-D092-47CC-B0F1-E6E41D7D3C9E}" name="Daily Vaccination_x000a_(vials)" dataDxfId="146" totalsRowDxfId="145"/>
    <tableColumn id="14" xr3:uid="{178F269B-1439-4DDB-93E1-DE722283C0FF}" name="Thawed Ending Inventory_x000a_(2-8 deg C) (vials)" dataDxfId="144" totalsRowDxfId="143">
      <calculatedColumnFormula>J31+Table136[[#This Row],[ULT Consumption
(vials)]]-Table136[[#This Row],[Daily Vaccination
(vials)]]</calculatedColumnFormula>
    </tableColumn>
    <tableColumn id="16" xr3:uid="{35012384-DB7D-4EA0-A706-B172A2E07502}" name="Total Ending Inventory _x000a_(ULT and thawed)" dataDxfId="142" totalsRowDxfId="141">
      <calculatedColumnFormula>Table136[[#This Row],[ULT Ending Inventory 
(-75 deg C) (vials)]]+Table136[[#This Row],[Thawed Ending Inventory
(2-8 deg C) (vials)]]</calculatedColumnFormula>
    </tableColumn>
    <tableColumn id="5" xr3:uid="{2C29B6D1-EA8C-4308-AA76-9E6C5BE96230}" name="Safety _x000a_Stock" dataDxfId="140" totalsRowDxfId="139">
      <calculatedColumnFormula>$F$27</calculatedColumnFormula>
    </tableColumn>
    <tableColumn id="6" xr3:uid="{1D37F780-FEF3-46E4-B684-7563EF78A7BA}" name="Maximum _x000a_Inventory" dataDxfId="138" totalsRowDxfId="137">
      <calculatedColumnFormula>$F$26</calculatedColumnFormula>
    </tableColumn>
    <tableColumn id="7" xr3:uid="{ADFDE2A9-CC0C-4274-AA0B-38621239D9FC}" name="Reordering _x000a_point" dataDxfId="136" totalsRowDxfId="135">
      <calculatedColumnFormula>$F$29</calculatedColumnFormula>
    </tableColumn>
    <tableColumn id="11" xr3:uid="{21A80DEC-ECD6-418B-91D8-3918C580E13B}" name="Problematic Vaccine _x000a_Exist?" dataDxfId="134" totalsRowDxfId="133">
      <calculatedColumnFormula>IF(Table136[[#This Row],[Problematic 
Vaccine 
Quantity]]&gt;0, "YES","NO")</calculatedColumnFormula>
    </tableColumn>
    <tableColumn id="8" xr3:uid="{5DF63D4E-3F5A-4C7D-BF7E-E9963B163E37}" name="Problematic _x000a_Vaccine _x000a_Quantity" dataDxfId="132" totalsRowDxfId="131"/>
    <tableColumn id="10" xr3:uid="{96B33393-4B3B-404B-9AEF-C0E51407D92C}" name="Number of people vaccinated" dataDxfId="130" totalsRowDxfId="129">
      <calculatedColumnFormula>Table136[[#This Row],[ULT Consumption
(vials)]]*5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881B5-3BF7-4B11-927E-5841E9DC181A}" name="Table1" displayName="Table1" ref="C31:Q63" totalsRowCount="1" headerRowDxfId="128" dataDxfId="127">
  <autoFilter ref="C31:Q62" xr:uid="{AAA1F109-7BCE-4CC5-ACD5-CDDCAF394FE9}"/>
  <tableColumns count="15">
    <tableColumn id="1" xr3:uid="{63EA510D-7B8C-4369-82B0-8A2FC1F3ABB3}" name="Day" dataDxfId="126" totalsRowDxfId="125" dataCellStyle="60% - Accent6"/>
    <tableColumn id="17" xr3:uid="{15047948-50AC-4EF5-BCB4-2B7F1C1B1C08}" name="Replenishment based on Pharmaniaga" dataDxfId="124" totalsRowDxfId="123" dataCellStyle="60% - Accent6"/>
    <tableColumn id="2" xr3:uid="{25D53F82-0A24-449A-BA4F-9653A74F0722}" name="Replenishment_x000a_(vials)" totalsRowFunction="custom" dataDxfId="122" totalsRowDxfId="121">
      <calculatedColumnFormula>IF(G31&lt; $F$29, $F$28, 0)</calculatedColumnFormula>
      <totalsRowFormula>SUM(Table1[Replenishment
(vials)])+SUM(Table1[Problematic 
Vaccine 
Quantity])</totalsRowFormula>
    </tableColumn>
    <tableColumn id="3" xr3:uid="{31FCC393-F582-40E6-A40A-C1CAAAC75FA4}" name="ULT Consumption_x000a_(vials)" dataDxfId="120" totalsRowDxfId="119"/>
    <tableColumn id="4" xr3:uid="{1E62582B-11FF-4BED-A28F-2DC32751CBF0}" name="ULT Ending Inventory _x000a_(-75 deg C) (vials)" dataDxfId="118" totalsRowDxfId="117">
      <calculatedColumnFormula>E32+G31-F32</calculatedColumnFormula>
    </tableColumn>
    <tableColumn id="13" xr3:uid="{2E54E631-B27F-4A09-B49E-68F99DD1CA6F}" name="Outbound 20 clinics_x000a_(vials)" dataDxfId="116" totalsRowDxfId="115"/>
    <tableColumn id="15" xr3:uid="{859DB7C0-8428-48AE-8270-768BB1A8D275}" name="Daily Vaccination_x000a_(vials)" dataDxfId="114" totalsRowDxfId="113"/>
    <tableColumn id="14" xr3:uid="{888C502E-8779-4F5B-8756-8C8D427A49D2}" name="Thawed Ending Inventory_x000a_(2-8 deg C) (vials)" dataDxfId="112" totalsRowDxfId="111">
      <calculatedColumnFormula>J31+Table1[[#This Row],[ULT Consumption
(vials)]]-Table1[[#This Row],[Daily Vaccination
(vials)]]</calculatedColumnFormula>
    </tableColumn>
    <tableColumn id="16" xr3:uid="{94E14CB1-DB33-4B67-B221-FCA721C13460}" name="Total Ending Inventory _x000a_(ULT and thawed)" dataDxfId="110" totalsRowDxfId="109">
      <calculatedColumnFormula>Table1[[#This Row],[ULT Ending Inventory 
(-75 deg C) (vials)]]+Table1[[#This Row],[Thawed Ending Inventory
(2-8 deg C) (vials)]]</calculatedColumnFormula>
    </tableColumn>
    <tableColumn id="5" xr3:uid="{C069085D-B104-471A-A8DF-6196A3BE21A4}" name="Safety _x000a_Stock" dataDxfId="108" totalsRowDxfId="107">
      <calculatedColumnFormula>$F$27</calculatedColumnFormula>
    </tableColumn>
    <tableColumn id="6" xr3:uid="{8C97CAAF-D557-4BD3-A369-90075ED23071}" name="Maximum _x000a_Inventory" dataDxfId="106" totalsRowDxfId="105">
      <calculatedColumnFormula>$F$26</calculatedColumnFormula>
    </tableColumn>
    <tableColumn id="7" xr3:uid="{F633379C-55F3-417E-9D0E-C59024C2DFC7}" name="Reordering _x000a_point" dataDxfId="104" totalsRowDxfId="103">
      <calculatedColumnFormula>$F$29</calculatedColumnFormula>
    </tableColumn>
    <tableColumn id="11" xr3:uid="{F57C3B55-745C-4C53-82AF-F0E620C26D7E}" name="Problematic Vaccine _x000a_Exist?" dataDxfId="102" totalsRowDxfId="101"/>
    <tableColumn id="8" xr3:uid="{FAA7FC07-EEFB-4BD5-8CFC-3EE19F9B85B6}" name="Problematic _x000a_Vaccine _x000a_Quantity" dataDxfId="100" totalsRowDxfId="99"/>
    <tableColumn id="10" xr3:uid="{05B24B6C-6CCB-4E12-A4EB-F6FFBE53F103}" name="Number of people vaccinated" dataDxfId="98" totalsRowDxfId="97">
      <calculatedColumnFormula>Table1[[#This Row],[ULT Consumption
(vials)]]*5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DAF5A6-BC50-4EA0-95A9-E37CF85A0452}" name="Table14" displayName="Table14" ref="C31:Q63" totalsRowCount="1" headerRowDxfId="96" dataDxfId="95">
  <autoFilter ref="C31:Q62" xr:uid="{AAA1F109-7BCE-4CC5-ACD5-CDDCAF394FE9}"/>
  <tableColumns count="15">
    <tableColumn id="1" xr3:uid="{AE66AD4A-9D8F-4910-AC53-59E97AFBD6CA}" name="Day" dataDxfId="94" totalsRowDxfId="93" dataCellStyle="60% - Accent6"/>
    <tableColumn id="17" xr3:uid="{5526A0F3-1B61-4313-8DB7-165BBCF3C846}" name="Replenishment based on Pharmaniaga" dataDxfId="92" totalsRowDxfId="91" dataCellStyle="60% - Accent6"/>
    <tableColumn id="2" xr3:uid="{B0C0B559-271F-4DE0-AB1F-8459A655700C}" name="Replenishment_x000a_(vials)" totalsRowFunction="custom" dataDxfId="90" totalsRowDxfId="89">
      <calculatedColumnFormula>IF(G31&lt; $F$29, $F$28, 0)</calculatedColumnFormula>
      <totalsRowFormula>SUM(Table14[Replenishment
(vials)])+SUM(Table14[Problematic 
Vaccine 
Quantity])</totalsRowFormula>
    </tableColumn>
    <tableColumn id="3" xr3:uid="{FAC1A7D9-2DC7-4635-A520-7FF643EB7727}" name="ULT Consumption_x000a_(vials)" dataDxfId="88" totalsRowDxfId="87"/>
    <tableColumn id="4" xr3:uid="{EBB5A051-0D89-41A7-9AA2-571FBF06D9B2}" name="ULT Ending Inventory _x000a_(-75 deg C) (vials)" dataDxfId="86" totalsRowDxfId="85">
      <calculatedColumnFormula>E32+G31-F32</calculatedColumnFormula>
    </tableColumn>
    <tableColumn id="13" xr3:uid="{6333CB0A-A3A6-4331-BCC3-1487FB80B1ED}" name="Outbound 20 clinics_x000a_(vials)" dataDxfId="84" totalsRowDxfId="83"/>
    <tableColumn id="15" xr3:uid="{C201FDD6-1FD0-4365-B209-C1CB16EB1859}" name="Daily Vaccination_x000a_(vials)" dataDxfId="82" totalsRowDxfId="81"/>
    <tableColumn id="14" xr3:uid="{E53BF595-1409-40FB-838F-72E4E98C8545}" name="Thawed Ending Inventory_x000a_(2-8 deg C) (vials)" dataDxfId="80" totalsRowDxfId="79">
      <calculatedColumnFormula>J31+Table14[[#This Row],[ULT Consumption
(vials)]]-Table14[[#This Row],[Daily Vaccination
(vials)]]</calculatedColumnFormula>
    </tableColumn>
    <tableColumn id="16" xr3:uid="{521A7F60-31B7-479B-9F40-0DBC129F3CCA}" name="Total Ending Inventory _x000a_(ULT and thawed)" dataDxfId="78" totalsRowDxfId="77">
      <calculatedColumnFormula>Table14[[#This Row],[ULT Ending Inventory 
(-75 deg C) (vials)]]+Table14[[#This Row],[Thawed Ending Inventory
(2-8 deg C) (vials)]]</calculatedColumnFormula>
    </tableColumn>
    <tableColumn id="5" xr3:uid="{BBF008BA-D88F-4EB8-BFD8-290D1AA6BE56}" name="Safety _x000a_Stock" dataDxfId="76" totalsRowDxfId="75">
      <calculatedColumnFormula>$F$27</calculatedColumnFormula>
    </tableColumn>
    <tableColumn id="6" xr3:uid="{E2D375DC-9B7F-44CA-8411-17DC7721E722}" name="Maximum _x000a_Inventory" dataDxfId="74" totalsRowDxfId="73">
      <calculatedColumnFormula>$F$26</calculatedColumnFormula>
    </tableColumn>
    <tableColumn id="7" xr3:uid="{E687308E-8EB2-48F6-8FD2-C778E82FC16D}" name="Reordering _x000a_point" dataDxfId="72" totalsRowDxfId="71">
      <calculatedColumnFormula>$F$29</calculatedColumnFormula>
    </tableColumn>
    <tableColumn id="11" xr3:uid="{BC4802CA-CF48-470E-91D9-3853971A0CBF}" name="Problematic Vaccine _x000a_Exist?" dataDxfId="70" totalsRowDxfId="69">
      <calculatedColumnFormula>IF(Table14[[#This Row],[Problematic 
Vaccine 
Quantity]]&gt;0, "YES","NO")</calculatedColumnFormula>
    </tableColumn>
    <tableColumn id="8" xr3:uid="{C992B7CA-D8C2-4875-8FF4-4EA80958A4ED}" name="Problematic _x000a_Vaccine _x000a_Quantity" dataDxfId="68" totalsRowDxfId="67"/>
    <tableColumn id="10" xr3:uid="{00B7B56E-3324-4C59-88AA-39C0B7667E71}" name="Number of people vaccinated" dataDxfId="66" totalsRowDxfId="65">
      <calculatedColumnFormula>Table14[[#This Row],[ULT Consumption
(vials)]]*5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5422-300E-4984-847C-1BE42558174E}">
  <sheetPr>
    <tabColor theme="5" tint="0.39997558519241921"/>
  </sheetPr>
  <dimension ref="A1:U62"/>
  <sheetViews>
    <sheetView topLeftCell="B1" workbookViewId="0">
      <selection activeCell="N14" sqref="N14"/>
    </sheetView>
  </sheetViews>
  <sheetFormatPr defaultRowHeight="14.4" x14ac:dyDescent="0.3"/>
  <cols>
    <col min="2" max="2" width="18.77734375" customWidth="1"/>
    <col min="3" max="3" width="6.88671875" customWidth="1"/>
    <col min="4" max="4" width="14.44140625" bestFit="1" customWidth="1"/>
    <col min="5" max="5" width="9.5546875" customWidth="1"/>
    <col min="6" max="6" width="8.88671875" style="767" bestFit="1" customWidth="1"/>
    <col min="7" max="7" width="9.77734375" style="767" bestFit="1" customWidth="1"/>
    <col min="8" max="8" width="8.88671875" style="767" bestFit="1" customWidth="1"/>
    <col min="9" max="9" width="8.88671875" style="16" customWidth="1"/>
    <col min="10" max="10" width="7.21875" style="16" customWidth="1"/>
    <col min="11" max="11" width="11.44140625" style="16" customWidth="1"/>
    <col min="12" max="12" width="15.21875" style="16" bestFit="1" customWidth="1"/>
    <col min="13" max="13" width="8.77734375" style="16" bestFit="1" customWidth="1"/>
    <col min="14" max="14" width="13.33203125" style="667" bestFit="1" customWidth="1"/>
    <col min="15" max="15" width="3.44140625" customWidth="1"/>
    <col min="16" max="16" width="15.77734375" style="667" customWidth="1"/>
    <col min="17" max="17" width="16.44140625" customWidth="1"/>
    <col min="18" max="18" width="12.5546875" customWidth="1"/>
    <col min="19" max="19" width="10.6640625" customWidth="1"/>
    <col min="20" max="21" width="9.21875" customWidth="1"/>
    <col min="22" max="29" width="8.77734375" customWidth="1"/>
  </cols>
  <sheetData>
    <row r="1" spans="1:21" ht="21" x14ac:dyDescent="0.4">
      <c r="A1" s="152" t="s">
        <v>234</v>
      </c>
    </row>
    <row r="2" spans="1:21" x14ac:dyDescent="0.3">
      <c r="J2">
        <v>15</v>
      </c>
      <c r="K2" t="s">
        <v>483</v>
      </c>
    </row>
    <row r="3" spans="1:21" x14ac:dyDescent="0.3">
      <c r="A3" s="26" t="s">
        <v>238</v>
      </c>
      <c r="J3">
        <v>8</v>
      </c>
      <c r="K3" t="s">
        <v>482</v>
      </c>
      <c r="N3" s="668"/>
    </row>
    <row r="4" spans="1:21" ht="43.2" x14ac:dyDescent="0.3">
      <c r="J4"/>
      <c r="K4"/>
      <c r="P4" s="676" t="s">
        <v>710</v>
      </c>
      <c r="Q4" s="676" t="s">
        <v>711</v>
      </c>
      <c r="R4" s="676" t="s">
        <v>712</v>
      </c>
    </row>
    <row r="5" spans="1:21" ht="43.2" x14ac:dyDescent="0.3">
      <c r="A5" t="s">
        <v>57</v>
      </c>
      <c r="B5" t="s">
        <v>224</v>
      </c>
      <c r="D5" s="20" t="s">
        <v>68</v>
      </c>
      <c r="E5" s="5" t="s">
        <v>693</v>
      </c>
      <c r="F5" s="768" t="s">
        <v>17</v>
      </c>
      <c r="G5" s="768" t="s">
        <v>18</v>
      </c>
      <c r="H5" s="768" t="s">
        <v>19</v>
      </c>
      <c r="I5" s="17"/>
      <c r="J5" s="17" t="s">
        <v>683</v>
      </c>
      <c r="K5" t="s">
        <v>485</v>
      </c>
      <c r="L5" s="17" t="s">
        <v>707</v>
      </c>
      <c r="M5" s="17"/>
      <c r="N5" s="667" t="s">
        <v>708</v>
      </c>
      <c r="P5" s="676" t="s">
        <v>709</v>
      </c>
      <c r="Q5" s="676" t="s">
        <v>709</v>
      </c>
      <c r="R5" s="676" t="s">
        <v>709</v>
      </c>
    </row>
    <row r="6" spans="1:21" x14ac:dyDescent="0.3">
      <c r="D6" t="s">
        <v>67</v>
      </c>
      <c r="E6" s="84">
        <f>L6</f>
        <v>76800</v>
      </c>
      <c r="F6" s="769">
        <f>L6</f>
        <v>76800</v>
      </c>
      <c r="G6" s="769">
        <f>F6</f>
        <v>76800</v>
      </c>
      <c r="H6" s="769">
        <f>G6</f>
        <v>76800</v>
      </c>
      <c r="I6" s="44"/>
      <c r="J6" s="44">
        <v>80</v>
      </c>
      <c r="K6" s="44">
        <f>J6*$J$3*60/$J$2</f>
        <v>2560</v>
      </c>
      <c r="L6" s="44">
        <f>K6*30</f>
        <v>76800</v>
      </c>
      <c r="M6" s="673"/>
      <c r="N6" s="667">
        <f>L6/5/975</f>
        <v>15.753846153846155</v>
      </c>
      <c r="P6" s="667">
        <f>N6/5</f>
        <v>3.1507692307692308</v>
      </c>
      <c r="Q6" s="667">
        <f>N6/6</f>
        <v>2.6256410256410256</v>
      </c>
      <c r="R6" s="667">
        <f>N6/7</f>
        <v>2.2505494505494505</v>
      </c>
    </row>
    <row r="7" spans="1:21" x14ac:dyDescent="0.3">
      <c r="B7" t="s">
        <v>688</v>
      </c>
      <c r="C7">
        <v>25</v>
      </c>
      <c r="E7" s="84">
        <f>L7</f>
        <v>48000</v>
      </c>
      <c r="F7" s="770">
        <f>L7</f>
        <v>48000</v>
      </c>
      <c r="G7" s="771">
        <f>F7</f>
        <v>48000</v>
      </c>
      <c r="H7" s="767">
        <f>G7</f>
        <v>48000</v>
      </c>
      <c r="J7" s="16">
        <v>2</v>
      </c>
      <c r="K7" s="44">
        <f>J7*$J$3*60/$J$2</f>
        <v>64</v>
      </c>
      <c r="L7" s="44">
        <f>K7*30*C7</f>
        <v>48000</v>
      </c>
      <c r="M7" s="673"/>
      <c r="N7" s="667">
        <f>L7/5/975</f>
        <v>9.8461538461538467</v>
      </c>
    </row>
    <row r="8" spans="1:21" ht="15" thickBot="1" x14ac:dyDescent="0.35">
      <c r="B8" t="s">
        <v>66</v>
      </c>
      <c r="C8">
        <f>30*K7/5/975</f>
        <v>0.39384615384615385</v>
      </c>
      <c r="F8" s="772">
        <f>F6+F7</f>
        <v>124800</v>
      </c>
      <c r="G8" s="772">
        <f>G6+G7</f>
        <v>124800</v>
      </c>
      <c r="H8" s="772">
        <f>H6+H7</f>
        <v>124800</v>
      </c>
      <c r="L8" s="44">
        <f>L6+L7</f>
        <v>124800</v>
      </c>
      <c r="M8" s="673"/>
    </row>
    <row r="9" spans="1:21" ht="15" thickTop="1" x14ac:dyDescent="0.3">
      <c r="M9" s="673"/>
    </row>
    <row r="10" spans="1:21" x14ac:dyDescent="0.3">
      <c r="A10" t="s">
        <v>57</v>
      </c>
      <c r="B10" t="s">
        <v>225</v>
      </c>
      <c r="D10" s="20" t="s">
        <v>68</v>
      </c>
      <c r="E10" s="5" t="s">
        <v>693</v>
      </c>
      <c r="F10" s="768" t="s">
        <v>17</v>
      </c>
      <c r="G10" s="768" t="s">
        <v>18</v>
      </c>
      <c r="H10" s="768" t="s">
        <v>19</v>
      </c>
      <c r="I10" s="17"/>
      <c r="L10" s="17"/>
      <c r="M10" s="674"/>
    </row>
    <row r="11" spans="1:21" x14ac:dyDescent="0.3">
      <c r="D11" t="s">
        <v>67</v>
      </c>
      <c r="E11" s="43">
        <f>F11</f>
        <v>57600</v>
      </c>
      <c r="F11" s="769">
        <f>L11</f>
        <v>57600</v>
      </c>
      <c r="G11" s="769">
        <f>L11</f>
        <v>57600</v>
      </c>
      <c r="H11" s="769">
        <f>G11</f>
        <v>57600</v>
      </c>
      <c r="I11" s="44"/>
      <c r="J11" s="17">
        <v>60</v>
      </c>
      <c r="K11" s="17">
        <f>J11*$J$3*60/$J$2</f>
        <v>1920</v>
      </c>
      <c r="L11" s="44">
        <f>K11*30</f>
        <v>57600</v>
      </c>
      <c r="M11" s="673"/>
      <c r="N11" s="667">
        <f>L11/5/975</f>
        <v>11.815384615384616</v>
      </c>
      <c r="P11" s="667">
        <f>N11/5</f>
        <v>2.3630769230769233</v>
      </c>
      <c r="Q11" s="667">
        <f t="shared" ref="Q11:Q41" si="0">N11/6</f>
        <v>1.9692307692307693</v>
      </c>
      <c r="R11" s="667">
        <f t="shared" ref="R11:R41" si="1">N11/7</f>
        <v>1.6879120879120879</v>
      </c>
    </row>
    <row r="12" spans="1:21" x14ac:dyDescent="0.3">
      <c r="M12" s="673"/>
      <c r="Q12" s="667"/>
      <c r="R12" s="667"/>
    </row>
    <row r="13" spans="1:21" x14ac:dyDescent="0.3">
      <c r="A13" t="s">
        <v>57</v>
      </c>
      <c r="B13" t="s">
        <v>223</v>
      </c>
      <c r="D13" s="20" t="s">
        <v>68</v>
      </c>
      <c r="E13" s="5" t="s">
        <v>693</v>
      </c>
      <c r="F13" s="768" t="s">
        <v>17</v>
      </c>
      <c r="G13" s="768" t="s">
        <v>18</v>
      </c>
      <c r="H13" s="768" t="s">
        <v>19</v>
      </c>
      <c r="I13" s="17"/>
      <c r="L13" s="17"/>
      <c r="M13" s="674"/>
      <c r="Q13" s="667"/>
      <c r="R13" s="667"/>
      <c r="S13" s="17"/>
      <c r="T13" s="17"/>
      <c r="U13" s="17"/>
    </row>
    <row r="14" spans="1:21" x14ac:dyDescent="0.3">
      <c r="D14" t="s">
        <v>67</v>
      </c>
      <c r="E14" s="43">
        <f>F14</f>
        <v>57600</v>
      </c>
      <c r="F14" s="769">
        <f>L14</f>
        <v>57600</v>
      </c>
      <c r="G14" s="769">
        <f>L14</f>
        <v>57600</v>
      </c>
      <c r="H14" s="769">
        <f>L14</f>
        <v>57600</v>
      </c>
      <c r="I14" s="44"/>
      <c r="J14" s="17">
        <v>60</v>
      </c>
      <c r="K14" s="17">
        <f>J14*$J$3*60/$J$2</f>
        <v>1920</v>
      </c>
      <c r="L14" s="44">
        <f>K14*30</f>
        <v>57600</v>
      </c>
      <c r="M14" s="734">
        <f>Forecast_Consolidated_3_9b!F23</f>
        <v>32100.000000000004</v>
      </c>
      <c r="N14" s="667">
        <f>L14/5/975</f>
        <v>11.815384615384616</v>
      </c>
      <c r="P14" s="667">
        <f>N14/5</f>
        <v>2.3630769230769233</v>
      </c>
      <c r="Q14" s="667">
        <f t="shared" si="0"/>
        <v>1.9692307692307693</v>
      </c>
      <c r="R14" s="667">
        <f t="shared" si="1"/>
        <v>1.6879120879120879</v>
      </c>
      <c r="S14" s="44"/>
      <c r="T14" s="44"/>
      <c r="U14" s="44"/>
    </row>
    <row r="15" spans="1:21" x14ac:dyDescent="0.3">
      <c r="A15" s="21"/>
      <c r="B15" s="21"/>
      <c r="C15" s="21"/>
      <c r="D15" s="21"/>
      <c r="E15" s="21"/>
      <c r="F15" s="773"/>
      <c r="G15" s="773"/>
      <c r="H15" s="773"/>
      <c r="I15" s="95"/>
      <c r="J15" s="95"/>
      <c r="K15" s="95"/>
      <c r="L15" s="95"/>
      <c r="M15" s="675">
        <f>M14/30</f>
        <v>1070.0000000000002</v>
      </c>
      <c r="P15" s="667">
        <f>P14+P11+P6</f>
        <v>7.8769230769230774</v>
      </c>
      <c r="Q15" s="667"/>
      <c r="R15" s="667"/>
    </row>
    <row r="16" spans="1:21" x14ac:dyDescent="0.3">
      <c r="A16" t="s">
        <v>60</v>
      </c>
      <c r="B16" t="s">
        <v>226</v>
      </c>
      <c r="D16" s="20" t="s">
        <v>68</v>
      </c>
      <c r="E16" s="5" t="s">
        <v>693</v>
      </c>
      <c r="F16" s="768" t="s">
        <v>17</v>
      </c>
      <c r="G16" s="768" t="s">
        <v>18</v>
      </c>
      <c r="H16" s="768" t="s">
        <v>19</v>
      </c>
      <c r="I16" s="17"/>
      <c r="J16" s="17"/>
      <c r="K16" s="17"/>
      <c r="L16" s="17"/>
      <c r="M16" s="674"/>
      <c r="Q16" s="667"/>
      <c r="R16" s="667"/>
    </row>
    <row r="17" spans="1:21" x14ac:dyDescent="0.3">
      <c r="D17" t="s">
        <v>67</v>
      </c>
      <c r="E17" s="43">
        <f>F17</f>
        <v>28800</v>
      </c>
      <c r="F17" s="769">
        <f>L17</f>
        <v>28800</v>
      </c>
      <c r="G17" s="769">
        <f>L17</f>
        <v>28800</v>
      </c>
      <c r="H17" s="769">
        <f>L17</f>
        <v>28800</v>
      </c>
      <c r="I17" s="44"/>
      <c r="J17" s="44">
        <v>30</v>
      </c>
      <c r="K17" s="17">
        <f>J17*$J$3*60/$J$2</f>
        <v>960</v>
      </c>
      <c r="L17" s="44">
        <f>K17*30</f>
        <v>28800</v>
      </c>
      <c r="M17" s="673"/>
      <c r="N17" s="667">
        <f>L17/5/975</f>
        <v>5.907692307692308</v>
      </c>
      <c r="P17" s="667">
        <f>N17/5</f>
        <v>1.1815384615384616</v>
      </c>
      <c r="Q17" s="667">
        <f t="shared" si="0"/>
        <v>0.98461538461538467</v>
      </c>
      <c r="R17" s="667">
        <f t="shared" si="1"/>
        <v>0.84395604395604396</v>
      </c>
    </row>
    <row r="18" spans="1:21" x14ac:dyDescent="0.3">
      <c r="M18" s="673"/>
      <c r="Q18" s="667"/>
      <c r="R18" s="667"/>
    </row>
    <row r="19" spans="1:21" x14ac:dyDescent="0.3">
      <c r="A19" t="s">
        <v>60</v>
      </c>
      <c r="B19" t="s">
        <v>227</v>
      </c>
      <c r="D19" s="20" t="s">
        <v>68</v>
      </c>
      <c r="E19" s="5" t="s">
        <v>693</v>
      </c>
      <c r="F19" s="768" t="s">
        <v>17</v>
      </c>
      <c r="G19" s="768" t="s">
        <v>18</v>
      </c>
      <c r="H19" s="768" t="s">
        <v>19</v>
      </c>
      <c r="I19" s="17"/>
      <c r="L19" s="17"/>
      <c r="M19" s="674"/>
      <c r="Q19" s="667"/>
      <c r="R19" s="667"/>
      <c r="S19" s="17"/>
      <c r="T19" s="17"/>
      <c r="U19" s="17"/>
    </row>
    <row r="20" spans="1:21" x14ac:dyDescent="0.3">
      <c r="D20" t="s">
        <v>67</v>
      </c>
      <c r="E20" s="43">
        <f>F20</f>
        <v>19200</v>
      </c>
      <c r="F20" s="769">
        <f>L20</f>
        <v>19200</v>
      </c>
      <c r="G20" s="769">
        <f>F20</f>
        <v>19200</v>
      </c>
      <c r="H20" s="769">
        <f>G20</f>
        <v>19200</v>
      </c>
      <c r="I20" s="44"/>
      <c r="J20" s="17">
        <v>20</v>
      </c>
      <c r="K20" s="17">
        <f>J20*$J$3*60/$J$2</f>
        <v>640</v>
      </c>
      <c r="L20" s="44">
        <f>K20*30</f>
        <v>19200</v>
      </c>
      <c r="M20" s="673"/>
      <c r="N20" s="667">
        <f>L20/5/975</f>
        <v>3.9384615384615387</v>
      </c>
      <c r="P20" s="667">
        <f>N20/5</f>
        <v>0.78769230769230769</v>
      </c>
      <c r="Q20" s="667">
        <f t="shared" si="0"/>
        <v>0.65641025641025641</v>
      </c>
      <c r="R20" s="667">
        <f t="shared" si="1"/>
        <v>0.56263736263736264</v>
      </c>
      <c r="S20" s="44"/>
      <c r="T20" s="44"/>
      <c r="U20" s="44"/>
    </row>
    <row r="21" spans="1:21" x14ac:dyDescent="0.3">
      <c r="M21" s="673"/>
      <c r="Q21" s="667"/>
      <c r="R21" s="667"/>
    </row>
    <row r="22" spans="1:21" x14ac:dyDescent="0.3">
      <c r="A22" t="s">
        <v>218</v>
      </c>
      <c r="B22" s="732" t="s">
        <v>232</v>
      </c>
      <c r="D22" s="20" t="s">
        <v>68</v>
      </c>
      <c r="E22" s="5" t="s">
        <v>693</v>
      </c>
      <c r="F22" s="768" t="s">
        <v>17</v>
      </c>
      <c r="G22" s="768" t="s">
        <v>18</v>
      </c>
      <c r="H22" s="768" t="s">
        <v>19</v>
      </c>
      <c r="I22" s="17"/>
      <c r="L22" s="17"/>
      <c r="M22" s="674"/>
      <c r="Q22" s="667"/>
      <c r="R22" s="667"/>
      <c r="S22" s="17"/>
      <c r="T22" s="17"/>
      <c r="U22" s="17"/>
    </row>
    <row r="23" spans="1:21" x14ac:dyDescent="0.3">
      <c r="D23" t="s">
        <v>67</v>
      </c>
      <c r="E23" s="43">
        <f>F23</f>
        <v>28800</v>
      </c>
      <c r="F23" s="769">
        <f>L23</f>
        <v>28800</v>
      </c>
      <c r="G23" s="769">
        <f>F23</f>
        <v>28800</v>
      </c>
      <c r="H23" s="769">
        <f>G23</f>
        <v>28800</v>
      </c>
      <c r="I23" s="44"/>
      <c r="J23" s="733">
        <v>30</v>
      </c>
      <c r="K23" s="17">
        <f>J23*$J$3*60/$J$2</f>
        <v>960</v>
      </c>
      <c r="L23" s="44">
        <f>K23*30</f>
        <v>28800</v>
      </c>
      <c r="M23" s="734">
        <v>16050</v>
      </c>
      <c r="N23" s="667">
        <f>L23/5/975</f>
        <v>5.907692307692308</v>
      </c>
      <c r="P23" s="667">
        <f>N23/5</f>
        <v>1.1815384615384616</v>
      </c>
      <c r="Q23" s="667">
        <f t="shared" si="0"/>
        <v>0.98461538461538467</v>
      </c>
      <c r="R23" s="667">
        <f t="shared" si="1"/>
        <v>0.84395604395604396</v>
      </c>
      <c r="S23" s="44"/>
      <c r="T23" s="44"/>
      <c r="U23" s="44"/>
    </row>
    <row r="24" spans="1:21" x14ac:dyDescent="0.3">
      <c r="A24" s="21"/>
      <c r="B24" s="21"/>
      <c r="C24" s="21"/>
      <c r="D24" s="21"/>
      <c r="E24" s="21"/>
      <c r="F24" s="773"/>
      <c r="G24" s="773"/>
      <c r="H24" s="773"/>
      <c r="I24" s="95"/>
      <c r="J24" s="95"/>
      <c r="K24" s="95"/>
      <c r="L24" s="95"/>
      <c r="M24" s="675">
        <f>M23/5/975</f>
        <v>3.2923076923076922</v>
      </c>
      <c r="P24" s="667">
        <f>P15+P23+P20+P17</f>
        <v>11.027692307692309</v>
      </c>
      <c r="Q24" s="667"/>
      <c r="R24" s="667"/>
    </row>
    <row r="25" spans="1:21" x14ac:dyDescent="0.3">
      <c r="A25" t="s">
        <v>59</v>
      </c>
      <c r="B25" t="s">
        <v>337</v>
      </c>
      <c r="D25" s="20" t="s">
        <v>68</v>
      </c>
      <c r="E25" s="5" t="s">
        <v>693</v>
      </c>
      <c r="F25" s="768" t="s">
        <v>17</v>
      </c>
      <c r="G25" s="768" t="s">
        <v>18</v>
      </c>
      <c r="H25" s="768" t="s">
        <v>19</v>
      </c>
      <c r="I25" s="17"/>
      <c r="L25" s="17"/>
      <c r="M25" s="674">
        <f>M23/30</f>
        <v>535</v>
      </c>
      <c r="Q25" s="667"/>
      <c r="R25" s="667"/>
    </row>
    <row r="26" spans="1:21" x14ac:dyDescent="0.3">
      <c r="D26" t="s">
        <v>67</v>
      </c>
      <c r="E26" s="43">
        <f>F26</f>
        <v>28800</v>
      </c>
      <c r="F26" s="769">
        <f>L26</f>
        <v>28800</v>
      </c>
      <c r="G26" s="769">
        <f>F26</f>
        <v>28800</v>
      </c>
      <c r="H26" s="769">
        <f>G26</f>
        <v>28800</v>
      </c>
      <c r="I26" s="44"/>
      <c r="J26" s="17">
        <v>30</v>
      </c>
      <c r="K26" s="17">
        <f>J26*$J$3*60/$J$2</f>
        <v>960</v>
      </c>
      <c r="L26" s="44">
        <f>K26*30</f>
        <v>28800</v>
      </c>
      <c r="M26" s="673"/>
      <c r="N26" s="667">
        <f>L26/5/975</f>
        <v>5.907692307692308</v>
      </c>
      <c r="P26" s="667">
        <f>N26/5</f>
        <v>1.1815384615384616</v>
      </c>
      <c r="Q26" s="667">
        <f t="shared" si="0"/>
        <v>0.98461538461538467</v>
      </c>
      <c r="R26" s="667">
        <f t="shared" si="1"/>
        <v>0.84395604395604396</v>
      </c>
    </row>
    <row r="27" spans="1:21" x14ac:dyDescent="0.3">
      <c r="M27" s="673"/>
      <c r="Q27" s="667"/>
      <c r="R27" s="667"/>
    </row>
    <row r="28" spans="1:21" x14ac:dyDescent="0.3">
      <c r="A28" t="s">
        <v>59</v>
      </c>
      <c r="B28" t="s">
        <v>233</v>
      </c>
      <c r="D28" s="20" t="s">
        <v>68</v>
      </c>
      <c r="E28" s="5" t="s">
        <v>693</v>
      </c>
      <c r="F28" s="768" t="s">
        <v>17</v>
      </c>
      <c r="G28" s="768" t="s">
        <v>18</v>
      </c>
      <c r="H28" s="768" t="s">
        <v>19</v>
      </c>
      <c r="I28" s="17"/>
      <c r="L28" s="17"/>
      <c r="M28" s="674"/>
      <c r="Q28" s="667"/>
      <c r="R28" s="667"/>
    </row>
    <row r="29" spans="1:21" x14ac:dyDescent="0.3">
      <c r="D29" t="s">
        <v>67</v>
      </c>
      <c r="E29" s="43">
        <f>F29</f>
        <v>19200</v>
      </c>
      <c r="F29" s="769">
        <f>L29</f>
        <v>19200</v>
      </c>
      <c r="G29" s="769">
        <f>F29</f>
        <v>19200</v>
      </c>
      <c r="H29" s="769">
        <f>G29</f>
        <v>19200</v>
      </c>
      <c r="I29" s="44"/>
      <c r="J29" s="17">
        <v>20</v>
      </c>
      <c r="K29" s="17">
        <f>J29*$J$3*60/$J$2</f>
        <v>640</v>
      </c>
      <c r="L29" s="44">
        <f>K29*30</f>
        <v>19200</v>
      </c>
      <c r="M29" s="673"/>
      <c r="N29" s="667">
        <f>L29/5/975</f>
        <v>3.9384615384615387</v>
      </c>
      <c r="P29" s="667">
        <f>N29/5</f>
        <v>0.78769230769230769</v>
      </c>
      <c r="Q29" s="667">
        <f t="shared" si="0"/>
        <v>0.65641025641025641</v>
      </c>
      <c r="R29" s="667">
        <f t="shared" si="1"/>
        <v>0.56263736263736264</v>
      </c>
    </row>
    <row r="30" spans="1:21" x14ac:dyDescent="0.3">
      <c r="M30" s="673"/>
      <c r="Q30" s="667"/>
      <c r="R30" s="667"/>
    </row>
    <row r="31" spans="1:21" x14ac:dyDescent="0.3">
      <c r="A31" t="s">
        <v>59</v>
      </c>
      <c r="B31" s="732" t="s">
        <v>228</v>
      </c>
      <c r="D31" s="20" t="s">
        <v>68</v>
      </c>
      <c r="E31" s="5" t="s">
        <v>693</v>
      </c>
      <c r="F31" s="768" t="s">
        <v>17</v>
      </c>
      <c r="G31" s="768" t="s">
        <v>18</v>
      </c>
      <c r="H31" s="768" t="s">
        <v>19</v>
      </c>
      <c r="I31" s="17"/>
      <c r="L31" s="17"/>
      <c r="M31" s="674"/>
      <c r="Q31" s="667"/>
      <c r="R31" s="667"/>
      <c r="S31" s="17"/>
      <c r="T31" s="17"/>
      <c r="U31" s="17"/>
    </row>
    <row r="32" spans="1:21" x14ac:dyDescent="0.3">
      <c r="D32" t="s">
        <v>67</v>
      </c>
      <c r="E32" s="43">
        <f>F32</f>
        <v>9600</v>
      </c>
      <c r="F32" s="769">
        <f>L32</f>
        <v>9600</v>
      </c>
      <c r="G32" s="769">
        <f>F32</f>
        <v>9600</v>
      </c>
      <c r="H32" s="769">
        <f>G32</f>
        <v>9600</v>
      </c>
      <c r="I32" s="44"/>
      <c r="J32" s="733">
        <v>10</v>
      </c>
      <c r="K32" s="17">
        <f>J32*$J$3*60/$J$2</f>
        <v>320</v>
      </c>
      <c r="L32" s="44">
        <f>K32*30</f>
        <v>9600</v>
      </c>
      <c r="M32" s="673"/>
      <c r="N32" s="667">
        <f>L32/5/975</f>
        <v>1.9692307692307693</v>
      </c>
      <c r="P32" s="667">
        <f>N32/5</f>
        <v>0.39384615384615385</v>
      </c>
      <c r="Q32" s="667">
        <f t="shared" si="0"/>
        <v>0.3282051282051282</v>
      </c>
      <c r="R32" s="667">
        <f t="shared" si="1"/>
        <v>0.28131868131868132</v>
      </c>
      <c r="S32" s="67"/>
      <c r="T32" s="67"/>
      <c r="U32" s="67"/>
    </row>
    <row r="33" spans="1:21" x14ac:dyDescent="0.3">
      <c r="A33" s="21"/>
      <c r="B33" s="21"/>
      <c r="C33" s="21"/>
      <c r="D33" s="21"/>
      <c r="E33" s="21"/>
      <c r="F33" s="773"/>
      <c r="G33" s="773"/>
      <c r="H33" s="773"/>
      <c r="I33" s="95"/>
      <c r="J33" s="95"/>
      <c r="K33" s="95"/>
      <c r="L33" s="95"/>
      <c r="M33" s="675"/>
      <c r="Q33" s="667"/>
      <c r="R33" s="667"/>
    </row>
    <row r="34" spans="1:21" x14ac:dyDescent="0.3">
      <c r="A34" t="s">
        <v>65</v>
      </c>
      <c r="B34" t="s">
        <v>229</v>
      </c>
      <c r="D34" s="20" t="s">
        <v>68</v>
      </c>
      <c r="E34" s="5" t="s">
        <v>693</v>
      </c>
      <c r="F34" s="768" t="s">
        <v>17</v>
      </c>
      <c r="G34" s="768" t="s">
        <v>18</v>
      </c>
      <c r="H34" s="768" t="s">
        <v>19</v>
      </c>
      <c r="I34" s="17"/>
      <c r="L34" s="17"/>
      <c r="M34" s="674"/>
      <c r="Q34" s="667"/>
      <c r="R34" s="667"/>
    </row>
    <row r="35" spans="1:21" x14ac:dyDescent="0.3">
      <c r="D35" t="s">
        <v>67</v>
      </c>
      <c r="E35" s="43">
        <f>F35</f>
        <v>14400</v>
      </c>
      <c r="F35" s="769">
        <f>L35</f>
        <v>14400</v>
      </c>
      <c r="G35" s="769">
        <f>F35</f>
        <v>14400</v>
      </c>
      <c r="H35" s="769">
        <f>G35</f>
        <v>14400</v>
      </c>
      <c r="I35" s="44"/>
      <c r="J35" s="17">
        <v>15</v>
      </c>
      <c r="K35" s="17">
        <f>J35*$J$3*60/$J$2</f>
        <v>480</v>
      </c>
      <c r="L35" s="44">
        <f>K35*30</f>
        <v>14400</v>
      </c>
      <c r="M35" s="673"/>
      <c r="N35" s="667">
        <f>L35/5/975</f>
        <v>2.953846153846154</v>
      </c>
      <c r="P35" s="667">
        <f>N35/5</f>
        <v>0.59076923076923082</v>
      </c>
      <c r="Q35" s="667">
        <f t="shared" si="0"/>
        <v>0.49230769230769234</v>
      </c>
      <c r="R35" s="667">
        <f t="shared" si="1"/>
        <v>0.42197802197802198</v>
      </c>
    </row>
    <row r="36" spans="1:21" x14ac:dyDescent="0.3">
      <c r="M36" s="673"/>
      <c r="Q36" s="667"/>
      <c r="R36" s="667"/>
    </row>
    <row r="37" spans="1:21" x14ac:dyDescent="0.3">
      <c r="A37" t="s">
        <v>65</v>
      </c>
      <c r="B37" t="s">
        <v>230</v>
      </c>
      <c r="D37" s="20" t="s">
        <v>68</v>
      </c>
      <c r="E37" s="5" t="s">
        <v>693</v>
      </c>
      <c r="F37" s="768" t="s">
        <v>17</v>
      </c>
      <c r="G37" s="768" t="s">
        <v>18</v>
      </c>
      <c r="H37" s="768" t="s">
        <v>19</v>
      </c>
      <c r="I37" s="17"/>
      <c r="J37" s="17"/>
      <c r="K37" s="17"/>
      <c r="L37" s="17"/>
      <c r="M37" s="674"/>
      <c r="Q37" s="667"/>
      <c r="R37" s="667"/>
    </row>
    <row r="38" spans="1:21" x14ac:dyDescent="0.3">
      <c r="D38" t="s">
        <v>67</v>
      </c>
      <c r="E38" s="43">
        <f>F38</f>
        <v>9600</v>
      </c>
      <c r="F38" s="769">
        <f>L38</f>
        <v>9600</v>
      </c>
      <c r="G38" s="769">
        <f>F38</f>
        <v>9600</v>
      </c>
      <c r="H38" s="769">
        <f>G38</f>
        <v>9600</v>
      </c>
      <c r="I38" s="44"/>
      <c r="J38" s="639">
        <v>10</v>
      </c>
      <c r="K38" s="17">
        <f>J38*$J$3*60/$J$2</f>
        <v>320</v>
      </c>
      <c r="L38" s="44">
        <f>K38*30</f>
        <v>9600</v>
      </c>
      <c r="M38" s="673"/>
      <c r="N38" s="667">
        <f>L38/5/975</f>
        <v>1.9692307692307693</v>
      </c>
      <c r="P38" s="667">
        <f>N38/5</f>
        <v>0.39384615384615385</v>
      </c>
      <c r="Q38" s="667">
        <f t="shared" si="0"/>
        <v>0.3282051282051282</v>
      </c>
      <c r="R38" s="667">
        <f t="shared" si="1"/>
        <v>0.28131868131868132</v>
      </c>
    </row>
    <row r="39" spans="1:21" x14ac:dyDescent="0.3">
      <c r="M39" s="673"/>
      <c r="Q39" s="667"/>
      <c r="R39" s="667"/>
    </row>
    <row r="40" spans="1:21" x14ac:dyDescent="0.3">
      <c r="A40" t="s">
        <v>65</v>
      </c>
      <c r="B40" t="s">
        <v>231</v>
      </c>
      <c r="D40" s="20" t="s">
        <v>68</v>
      </c>
      <c r="E40" s="5" t="s">
        <v>693</v>
      </c>
      <c r="F40" s="768" t="s">
        <v>17</v>
      </c>
      <c r="G40" s="768" t="s">
        <v>18</v>
      </c>
      <c r="H40" s="768" t="s">
        <v>19</v>
      </c>
      <c r="I40" s="17"/>
      <c r="L40" s="17"/>
      <c r="M40" s="674"/>
      <c r="Q40" s="667"/>
      <c r="R40" s="667"/>
      <c r="S40" s="17"/>
      <c r="T40" s="17"/>
      <c r="U40" s="17"/>
    </row>
    <row r="41" spans="1:21" x14ac:dyDescent="0.3">
      <c r="D41" t="s">
        <v>67</v>
      </c>
      <c r="E41" s="43">
        <f>F41</f>
        <v>9600</v>
      </c>
      <c r="F41" s="769">
        <f>L41</f>
        <v>9600</v>
      </c>
      <c r="G41" s="769">
        <f>F41</f>
        <v>9600</v>
      </c>
      <c r="H41" s="769">
        <f>G41</f>
        <v>9600</v>
      </c>
      <c r="I41" s="44"/>
      <c r="J41" s="17">
        <v>10</v>
      </c>
      <c r="K41" s="17">
        <f>J41*$J$3*60/$J$2</f>
        <v>320</v>
      </c>
      <c r="L41" s="44">
        <f>K41*30</f>
        <v>9600</v>
      </c>
      <c r="M41" s="673"/>
      <c r="N41" s="667">
        <f>L41/5/975</f>
        <v>1.9692307692307693</v>
      </c>
      <c r="P41" s="667">
        <f>N41/5</f>
        <v>0.39384615384615385</v>
      </c>
      <c r="Q41" s="667">
        <f t="shared" si="0"/>
        <v>0.3282051282051282</v>
      </c>
      <c r="R41" s="667">
        <f t="shared" si="1"/>
        <v>0.28131868131868132</v>
      </c>
      <c r="S41" s="44"/>
      <c r="T41" s="44"/>
      <c r="U41" s="44"/>
    </row>
    <row r="42" spans="1:21" x14ac:dyDescent="0.3">
      <c r="E42" s="43"/>
      <c r="F42" s="769"/>
      <c r="G42" s="769"/>
      <c r="H42" s="769"/>
      <c r="I42" s="44"/>
      <c r="J42" s="17"/>
      <c r="K42" s="17"/>
      <c r="L42" s="44"/>
      <c r="M42" s="673"/>
      <c r="S42" s="44"/>
      <c r="T42" s="44"/>
      <c r="U42" s="44"/>
    </row>
    <row r="43" spans="1:21" x14ac:dyDescent="0.3">
      <c r="E43" s="43"/>
      <c r="F43" s="769"/>
      <c r="G43" s="769"/>
      <c r="H43" s="769"/>
      <c r="I43" s="44"/>
      <c r="J43" s="17"/>
      <c r="K43" s="17"/>
      <c r="L43" s="44">
        <f>SUM(L8:L41)</f>
        <v>408000</v>
      </c>
      <c r="M43" s="673"/>
      <c r="S43" s="44"/>
      <c r="T43" s="44"/>
      <c r="U43" s="44"/>
    </row>
    <row r="44" spans="1:21" x14ac:dyDescent="0.3">
      <c r="A44" t="s">
        <v>700</v>
      </c>
      <c r="B44" t="s">
        <v>701</v>
      </c>
      <c r="D44" s="20" t="s">
        <v>68</v>
      </c>
      <c r="E44" s="5" t="s">
        <v>693</v>
      </c>
      <c r="F44" s="768" t="s">
        <v>17</v>
      </c>
      <c r="G44" s="768" t="s">
        <v>18</v>
      </c>
      <c r="H44" s="768" t="s">
        <v>19</v>
      </c>
      <c r="I44" s="17"/>
      <c r="M44" s="673"/>
      <c r="S44" s="44"/>
      <c r="T44" s="44"/>
      <c r="U44" s="44"/>
    </row>
    <row r="45" spans="1:21" x14ac:dyDescent="0.3">
      <c r="D45" t="s">
        <v>67</v>
      </c>
      <c r="E45" s="43">
        <v>0</v>
      </c>
      <c r="F45" s="769">
        <v>0</v>
      </c>
      <c r="G45" s="769">
        <v>1042000</v>
      </c>
      <c r="H45" s="769">
        <v>1102000</v>
      </c>
      <c r="I45" s="44"/>
      <c r="J45" s="17"/>
      <c r="K45" s="17"/>
      <c r="L45" s="44"/>
      <c r="M45" s="673"/>
    </row>
    <row r="46" spans="1:21" x14ac:dyDescent="0.3">
      <c r="E46" s="43"/>
      <c r="F46" s="769"/>
      <c r="G46" s="769"/>
      <c r="H46" s="769"/>
      <c r="I46" s="44"/>
      <c r="J46" s="17"/>
      <c r="K46" s="17"/>
      <c r="M46" s="673"/>
    </row>
    <row r="47" spans="1:21" x14ac:dyDescent="0.3">
      <c r="A47" s="20" t="s">
        <v>66</v>
      </c>
      <c r="F47" s="769">
        <f>F45+L43</f>
        <v>408000</v>
      </c>
      <c r="G47" s="769">
        <f>G45+L43</f>
        <v>1450000</v>
      </c>
      <c r="H47" s="769">
        <f>H45+L43</f>
        <v>1510000</v>
      </c>
      <c r="K47" s="17"/>
      <c r="M47" s="673"/>
    </row>
    <row r="48" spans="1:21" x14ac:dyDescent="0.3">
      <c r="A48" s="20"/>
      <c r="K48" s="17"/>
    </row>
    <row r="50" spans="11:18" x14ac:dyDescent="0.3">
      <c r="K50" s="44"/>
      <c r="M50" s="44"/>
    </row>
    <row r="51" spans="11:18" x14ac:dyDescent="0.3">
      <c r="K51" s="44"/>
      <c r="M51" s="641"/>
      <c r="N51" s="669"/>
      <c r="P51" s="669"/>
      <c r="Q51" s="641"/>
    </row>
    <row r="52" spans="11:18" x14ac:dyDescent="0.3">
      <c r="K52" s="640"/>
    </row>
    <row r="53" spans="11:18" x14ac:dyDescent="0.3">
      <c r="K53" s="640"/>
      <c r="M53" s="44"/>
      <c r="N53" s="670"/>
    </row>
    <row r="54" spans="11:18" x14ac:dyDescent="0.3">
      <c r="K54" s="35"/>
      <c r="M54" s="44"/>
      <c r="N54" s="671"/>
      <c r="P54" s="671"/>
      <c r="Q54" s="44"/>
      <c r="R54" s="44"/>
    </row>
    <row r="55" spans="11:18" x14ac:dyDescent="0.3">
      <c r="K55" s="640"/>
      <c r="M55" s="44"/>
      <c r="N55" s="671"/>
      <c r="P55" s="671"/>
      <c r="Q55" s="44"/>
      <c r="R55" s="44"/>
    </row>
    <row r="56" spans="11:18" x14ac:dyDescent="0.3">
      <c r="M56" s="44"/>
      <c r="N56" s="671"/>
      <c r="P56" s="671"/>
      <c r="Q56" s="44"/>
      <c r="R56" s="44"/>
    </row>
    <row r="57" spans="11:18" x14ac:dyDescent="0.3">
      <c r="M57" s="44"/>
      <c r="N57" s="671"/>
      <c r="P57" s="671"/>
      <c r="Q57" s="44"/>
      <c r="R57" s="44"/>
    </row>
    <row r="60" spans="11:18" x14ac:dyDescent="0.3">
      <c r="M60" s="35"/>
      <c r="Q60" s="626"/>
    </row>
    <row r="61" spans="11:18" x14ac:dyDescent="0.3">
      <c r="M61" s="35"/>
      <c r="Q61" s="626"/>
    </row>
    <row r="62" spans="11:18" x14ac:dyDescent="0.3">
      <c r="P62" s="672"/>
      <c r="Q62" s="6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47AF-53C2-4ED4-96BD-9A9932E93719}">
  <sheetPr>
    <tabColor theme="9" tint="0.59999389629810485"/>
  </sheetPr>
  <dimension ref="A1:BN92"/>
  <sheetViews>
    <sheetView topLeftCell="AC46" zoomScale="78" zoomScaleNormal="78" workbookViewId="0">
      <selection activeCell="BA64" sqref="BA64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1093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12.33203125" bestFit="1" customWidth="1"/>
    <col min="37" max="37" width="9.88671875" customWidth="1"/>
    <col min="38" max="38" width="9.44140625" customWidth="1"/>
    <col min="42" max="42" width="12.77734375" bestFit="1" customWidth="1"/>
    <col min="44" max="44" width="9.44140625" bestFit="1" customWidth="1"/>
    <col min="45" max="45" width="17.6640625" bestFit="1" customWidth="1"/>
    <col min="46" max="46" width="7.6640625" bestFit="1" customWidth="1"/>
    <col min="48" max="48" width="12.77734375" hidden="1" customWidth="1"/>
    <col min="49" max="49" width="9.77734375" hidden="1" customWidth="1"/>
    <col min="50" max="50" width="8.88671875" hidden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hidden="1" customWidth="1"/>
    <col min="58" max="58" width="13.6640625" hidden="1" customWidth="1"/>
    <col min="59" max="59" width="19.6640625" hidden="1" customWidth="1"/>
    <col min="60" max="60" width="12.77734375" hidden="1" customWidth="1"/>
    <col min="61" max="61" width="12.5546875" hidden="1" customWidth="1"/>
    <col min="62" max="62" width="5" hidden="1" customWidth="1"/>
    <col min="63" max="63" width="0" hidden="1" customWidth="1"/>
  </cols>
  <sheetData>
    <row r="1" spans="1:15" ht="21" x14ac:dyDescent="0.4">
      <c r="A1" s="152" t="s">
        <v>721</v>
      </c>
    </row>
    <row r="2" spans="1:15" ht="14.4" customHeight="1" x14ac:dyDescent="0.4">
      <c r="A2" s="152"/>
    </row>
    <row r="3" spans="1:15" ht="14.4" hidden="1" customHeight="1" x14ac:dyDescent="0.4">
      <c r="A3" s="152"/>
      <c r="E3" s="292" t="s">
        <v>349</v>
      </c>
    </row>
    <row r="4" spans="1:15" ht="14.4" hidden="1" customHeight="1" x14ac:dyDescent="0.4">
      <c r="A4" s="152"/>
      <c r="E4" t="s">
        <v>355</v>
      </c>
    </row>
    <row r="5" spans="1:15" ht="14.4" hidden="1" customHeight="1" x14ac:dyDescent="0.4">
      <c r="A5" s="152"/>
      <c r="E5" s="292" t="s">
        <v>350</v>
      </c>
    </row>
    <row r="6" spans="1:15" ht="14.4" hidden="1" customHeight="1" x14ac:dyDescent="0.4">
      <c r="A6" s="152"/>
      <c r="E6" t="s">
        <v>364</v>
      </c>
    </row>
    <row r="7" spans="1:15" ht="14.4" hidden="1" customHeight="1" x14ac:dyDescent="0.4">
      <c r="A7" s="152"/>
      <c r="E7" t="s">
        <v>354</v>
      </c>
    </row>
    <row r="8" spans="1:15" ht="14.4" hidden="1" customHeight="1" x14ac:dyDescent="0.4">
      <c r="A8" s="152"/>
      <c r="E8" t="s">
        <v>375</v>
      </c>
    </row>
    <row r="9" spans="1:15" ht="14.4" hidden="1" customHeight="1" x14ac:dyDescent="0.4">
      <c r="A9" s="152"/>
      <c r="E9" t="s">
        <v>351</v>
      </c>
      <c r="H9" t="s">
        <v>362</v>
      </c>
      <c r="O9" t="s">
        <v>363</v>
      </c>
    </row>
    <row r="10" spans="1:15" ht="14.4" hidden="1" customHeight="1" x14ac:dyDescent="0.4">
      <c r="A10" s="152"/>
      <c r="E10" s="292" t="s">
        <v>359</v>
      </c>
    </row>
    <row r="11" spans="1:15" ht="14.4" hidden="1" customHeight="1" x14ac:dyDescent="0.4">
      <c r="A11" s="152"/>
      <c r="E11" t="s">
        <v>358</v>
      </c>
      <c r="N11" t="s">
        <v>376</v>
      </c>
    </row>
    <row r="12" spans="1:15" ht="14.4" hidden="1" customHeight="1" x14ac:dyDescent="0.4">
      <c r="A12" s="152"/>
      <c r="E12" t="s">
        <v>360</v>
      </c>
    </row>
    <row r="13" spans="1:15" ht="14.4" hidden="1" customHeight="1" x14ac:dyDescent="0.4">
      <c r="A13" s="152"/>
      <c r="E13" t="s">
        <v>361</v>
      </c>
      <c r="K13" t="s">
        <v>377</v>
      </c>
    </row>
    <row r="14" spans="1:15" ht="14.4" hidden="1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</row>
    <row r="17" spans="1:29" ht="14.4" customHeight="1" x14ac:dyDescent="0.4">
      <c r="A17" s="152"/>
      <c r="F17" s="249" t="s">
        <v>726</v>
      </c>
    </row>
    <row r="18" spans="1:29" ht="14.4" customHeight="1" x14ac:dyDescent="0.4">
      <c r="A18" s="152"/>
    </row>
    <row r="19" spans="1:29" ht="14.4" customHeight="1" x14ac:dyDescent="0.4">
      <c r="A19" s="152"/>
    </row>
    <row r="20" spans="1:29" ht="14.4" customHeight="1" x14ac:dyDescent="0.4">
      <c r="A20" s="152"/>
      <c r="E20" s="249" t="s">
        <v>398</v>
      </c>
      <c r="G20" s="45"/>
      <c r="M20" s="6"/>
    </row>
    <row r="21" spans="1:29" x14ac:dyDescent="0.3">
      <c r="A21" s="26"/>
      <c r="E21" t="s">
        <v>725</v>
      </c>
      <c r="G21" s="6"/>
      <c r="M21" s="6"/>
    </row>
    <row r="22" spans="1:29" x14ac:dyDescent="0.3">
      <c r="A22" s="26"/>
      <c r="E22" s="6"/>
    </row>
    <row r="23" spans="1:29" x14ac:dyDescent="0.3">
      <c r="A23" s="26"/>
      <c r="E23" s="20" t="s">
        <v>56</v>
      </c>
      <c r="F23" s="331" t="s">
        <v>699</v>
      </c>
    </row>
    <row r="24" spans="1:29" ht="28.8" x14ac:dyDescent="0.3">
      <c r="A24" s="26"/>
      <c r="E24" s="20" t="s">
        <v>352</v>
      </c>
      <c r="F24" s="347" t="s">
        <v>232</v>
      </c>
      <c r="G24" s="241" t="s">
        <v>357</v>
      </c>
      <c r="H24" s="241">
        <v>0</v>
      </c>
      <c r="I24" s="241"/>
      <c r="J24" s="241"/>
      <c r="K24" s="241"/>
    </row>
    <row r="25" spans="1:29" x14ac:dyDescent="0.3">
      <c r="D25" s="295" t="s">
        <v>379</v>
      </c>
      <c r="E25" s="20" t="s">
        <v>291</v>
      </c>
      <c r="F25" s="331">
        <v>1</v>
      </c>
      <c r="G25" t="s">
        <v>293</v>
      </c>
    </row>
    <row r="26" spans="1:29" x14ac:dyDescent="0.3">
      <c r="E26" s="293" t="s">
        <v>342</v>
      </c>
      <c r="F26" s="762">
        <v>10000</v>
      </c>
      <c r="G26" t="s">
        <v>341</v>
      </c>
      <c r="H26" s="3" t="s">
        <v>369</v>
      </c>
      <c r="I26" s="326">
        <v>975</v>
      </c>
      <c r="J26" t="s">
        <v>367</v>
      </c>
    </row>
    <row r="27" spans="1:29" s="6" customFormat="1" x14ac:dyDescent="0.3">
      <c r="E27" s="231" t="s">
        <v>300</v>
      </c>
      <c r="F27" s="762">
        <v>100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29" s="6" customFormat="1" x14ac:dyDescent="0.3">
      <c r="E28" s="45" t="s">
        <v>299</v>
      </c>
      <c r="F28" s="762">
        <f>975*5</f>
        <v>4875</v>
      </c>
      <c r="G28" t="s">
        <v>341</v>
      </c>
      <c r="H28"/>
      <c r="I28"/>
      <c r="J28"/>
      <c r="K28"/>
    </row>
    <row r="29" spans="1:29" s="6" customFormat="1" x14ac:dyDescent="0.3">
      <c r="E29" s="45" t="s">
        <v>298</v>
      </c>
      <c r="F29" s="762">
        <v>200</v>
      </c>
      <c r="G29" t="s">
        <v>341</v>
      </c>
      <c r="H29"/>
      <c r="I29"/>
      <c r="J29"/>
      <c r="K29"/>
    </row>
    <row r="30" spans="1:29" s="6" customFormat="1" x14ac:dyDescent="0.3"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</row>
    <row r="32" spans="1:29" x14ac:dyDescent="0.3">
      <c r="B32" t="s">
        <v>25</v>
      </c>
      <c r="C32" s="230" t="s">
        <v>509</v>
      </c>
      <c r="D32" s="634"/>
      <c r="E32" s="634"/>
      <c r="F32" s="634"/>
      <c r="G32" s="307">
        <f>AA63*975</f>
        <v>5850</v>
      </c>
      <c r="H32" s="634"/>
      <c r="I32" s="634"/>
      <c r="J32" s="308">
        <f>AL69</f>
        <v>723</v>
      </c>
      <c r="K32" s="229">
        <f>Table145[[#This Row],[ULT Ending Inventory 
(-75 deg C) (vials)]]+Table145[[#This Row],[Thawed Ending Inventory
(2-8 deg C) (vials)]]</f>
        <v>6573</v>
      </c>
      <c r="L32" s="229">
        <f>$F$27</f>
        <v>100</v>
      </c>
      <c r="M32" s="229">
        <f>$F$26</f>
        <v>10000</v>
      </c>
      <c r="N32" s="229">
        <f t="shared" ref="N32:N62" si="0">$F$29</f>
        <v>200</v>
      </c>
      <c r="O32" s="229" t="str">
        <f>IF(Table145[[#This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62" x14ac:dyDescent="0.3">
      <c r="C33" s="230" t="s">
        <v>512</v>
      </c>
      <c r="D33" s="634"/>
      <c r="E33" s="634">
        <f t="shared" ref="E33:E62" si="1">BF58*$I$26</f>
        <v>0</v>
      </c>
      <c r="F33" s="634">
        <f>IF(Table145[[#This Row],[Daily Vaccination
(vials)]]&gt;J32+Table145[[#This Row],[Problematic 
Vaccine 
Quantity]],IF(Table145[[#This Row],[Daily Vaccination
(vials)]]&gt;$I$26+J32,2*$I$26,$I$26),0)</f>
        <v>0</v>
      </c>
      <c r="G33" s="229">
        <f xml:space="preserve"> E33+G32-F33-Table145[[#This Row],[Outbound 20 clinics
(vials)]]</f>
        <v>5850</v>
      </c>
      <c r="H33" s="229">
        <f>AX58*975</f>
        <v>0</v>
      </c>
      <c r="I33" s="229">
        <f>AS58</f>
        <v>107</v>
      </c>
      <c r="J33" s="229">
        <f>J32+Table145[[#This Row],[ULT Consumption
(vials)]]-Table145[[#This Row],[Daily Vaccination
(vials)]]+Table145[[#This Row],[Problematic 
Vaccine 
Quantity]]</f>
        <v>616</v>
      </c>
      <c r="K33" s="229">
        <f>Table145[[#This Row],[ULT Ending Inventory 
(-75 deg C) (vials)]]+Table145[[#This Row],[Thawed Ending Inventory
(2-8 deg C) (vials)]]</f>
        <v>6466</v>
      </c>
      <c r="L33" s="229">
        <f t="shared" ref="L33:L62" si="2">$F$27</f>
        <v>100</v>
      </c>
      <c r="M33" s="229">
        <f t="shared" ref="M33:M62" si="3">$F$26</f>
        <v>10000</v>
      </c>
      <c r="N33" s="229">
        <f t="shared" si="0"/>
        <v>200</v>
      </c>
      <c r="O33" s="229" t="str">
        <f>IF(Table145[[#This Row],[Problematic 
Vaccine 
Quantity]]&gt;0, "YES","NO")</f>
        <v>NO</v>
      </c>
      <c r="P33" s="229">
        <v>0</v>
      </c>
      <c r="Q33" s="229">
        <f>Q32+(Table145[[#This Row],[Daily Vaccination
(vials)]]+Table145[[#This Row],[Outbound 20 clinics
(vials)]])*5</f>
        <v>10285</v>
      </c>
      <c r="R33" s="229"/>
      <c r="AA33" t="s">
        <v>381</v>
      </c>
      <c r="AB33" t="s">
        <v>404</v>
      </c>
      <c r="AC33" t="s">
        <v>405</v>
      </c>
    </row>
    <row r="34" spans="2:62" x14ac:dyDescent="0.3">
      <c r="C34" s="230" t="s">
        <v>513</v>
      </c>
      <c r="D34" s="634"/>
      <c r="E34" s="634">
        <f t="shared" si="1"/>
        <v>0</v>
      </c>
      <c r="F34" s="634">
        <f>IF(Table145[[#This Row],[Daily Vaccination
(vials)]]&gt;J33+Table145[[#This Row],[Problematic 
Vaccine 
Quantity]],IF(Table145[[#This Row],[Daily Vaccination
(vials)]]&gt;$I$26+J33,2*$I$26,$I$26),0)</f>
        <v>0</v>
      </c>
      <c r="G34" s="229">
        <f xml:space="preserve"> E34+G33-F34-Table145[[#This Row],[Outbound 20 clinics
(vials)]]</f>
        <v>5850</v>
      </c>
      <c r="H34" s="229">
        <f t="shared" ref="H34:H35" si="4">AX59*975</f>
        <v>0</v>
      </c>
      <c r="I34" s="229">
        <f t="shared" ref="I34:I62" si="5">AS59</f>
        <v>107</v>
      </c>
      <c r="J34" s="229">
        <f>J33+Table145[[#This Row],[ULT Consumption
(vials)]]-Table145[[#This Row],[Daily Vaccination
(vials)]]+Table145[[#This Row],[Problematic 
Vaccine 
Quantity]]</f>
        <v>509</v>
      </c>
      <c r="K34" s="229">
        <f>Table145[[#This Row],[ULT Ending Inventory 
(-75 deg C) (vials)]]+Table145[[#This Row],[Thawed Ending Inventory
(2-8 deg C) (vials)]]</f>
        <v>6359</v>
      </c>
      <c r="L34" s="229">
        <f t="shared" si="2"/>
        <v>100</v>
      </c>
      <c r="M34" s="229">
        <f t="shared" si="3"/>
        <v>10000</v>
      </c>
      <c r="N34" s="229">
        <f t="shared" si="0"/>
        <v>200</v>
      </c>
      <c r="O34" s="229" t="str">
        <f>IF(Table145[[#This Row],[Problematic 
Vaccine 
Quantity]]&gt;0, "YES","NO")</f>
        <v>NO</v>
      </c>
      <c r="P34" s="229">
        <v>0</v>
      </c>
      <c r="Q34" s="229">
        <f>Q33+(Table145[[#This Row],[Daily Vaccination
(vials)]]+Table145[[#This Row],[Outbound 20 clinics
(vials)]])*5</f>
        <v>10820</v>
      </c>
      <c r="R34" s="229"/>
      <c r="T34" t="s">
        <v>82</v>
      </c>
      <c r="BH34" s="62"/>
    </row>
    <row r="35" spans="2:62" x14ac:dyDescent="0.3">
      <c r="C35" s="230" t="s">
        <v>514</v>
      </c>
      <c r="D35" s="230"/>
      <c r="E35" s="634">
        <f t="shared" si="1"/>
        <v>0</v>
      </c>
      <c r="F35" s="634">
        <f>IF(Table145[[#This Row],[Daily Vaccination
(vials)]]&gt;J34+Table145[[#This Row],[Problematic 
Vaccine 
Quantity]],IF(Table145[[#This Row],[Daily Vaccination
(vials)]]&gt;$I$26+J34,2*$I$26,$I$26),0)</f>
        <v>0</v>
      </c>
      <c r="G35" s="229">
        <f xml:space="preserve"> E35+G34-F35-Table145[[#This Row],[Outbound 20 clinics
(vials)]]</f>
        <v>5850</v>
      </c>
      <c r="H35" s="229">
        <f t="shared" si="4"/>
        <v>0</v>
      </c>
      <c r="I35" s="229">
        <f t="shared" si="5"/>
        <v>107</v>
      </c>
      <c r="J35" s="229">
        <f>J34+Table145[[#This Row],[ULT Consumption
(vials)]]-Table145[[#This Row],[Daily Vaccination
(vials)]]+Table145[[#This Row],[Problematic 
Vaccine 
Quantity]]</f>
        <v>402</v>
      </c>
      <c r="K35" s="229">
        <f>Table145[[#This Row],[ULT Ending Inventory 
(-75 deg C) (vials)]]+Table145[[#This Row],[Thawed Ending Inventory
(2-8 deg C) (vials)]]</f>
        <v>6252</v>
      </c>
      <c r="L35" s="229">
        <f t="shared" si="2"/>
        <v>100</v>
      </c>
      <c r="M35" s="229">
        <f t="shared" si="3"/>
        <v>10000</v>
      </c>
      <c r="N35" s="229">
        <f t="shared" si="0"/>
        <v>200</v>
      </c>
      <c r="O35" s="229" t="str">
        <f>IF(Table145[[#This Row],[Problematic 
Vaccine 
Quantity]]&gt;0, "YES","NO")</f>
        <v>NO</v>
      </c>
      <c r="P35" s="229">
        <v>0</v>
      </c>
      <c r="Q35" s="229">
        <f>Q34+(Table145[[#This Row],[Daily Vaccination
(vials)]]+Table145[[#This Row],[Outbound 20 clinics
(vials)]])*5</f>
        <v>11355</v>
      </c>
      <c r="R35" s="229"/>
      <c r="W35" t="s">
        <v>383</v>
      </c>
      <c r="AA35" t="s">
        <v>382</v>
      </c>
      <c r="BH35" s="626"/>
    </row>
    <row r="36" spans="2:62" x14ac:dyDescent="0.3">
      <c r="C36" s="230" t="s">
        <v>515</v>
      </c>
      <c r="D36" s="230"/>
      <c r="E36" s="634">
        <f t="shared" si="1"/>
        <v>0</v>
      </c>
      <c r="F36" s="634">
        <f>IF(Table145[[#This Row],[Daily Vaccination
(vials)]]&gt;J35+Table145[[#This Row],[Problematic 
Vaccine 
Quantity]],IF(Table145[[#This Row],[Daily Vaccination
(vials)]]&gt;$I$26+J35,2*$I$26,$I$26),0)</f>
        <v>0</v>
      </c>
      <c r="G36" s="229">
        <f xml:space="preserve"> E36+G35-F36-Table145[[#This Row],[Outbound 20 clinics
(vials)]]</f>
        <v>5850</v>
      </c>
      <c r="H36" s="229">
        <f>AX61*975</f>
        <v>0</v>
      </c>
      <c r="I36" s="229">
        <f t="shared" si="5"/>
        <v>107</v>
      </c>
      <c r="J36" s="229">
        <f>J35+Table145[[#This Row],[ULT Consumption
(vials)]]-Table145[[#This Row],[Daily Vaccination
(vials)]]+Table145[[#This Row],[Problematic 
Vaccine 
Quantity]]</f>
        <v>295</v>
      </c>
      <c r="K36" s="229">
        <f>Table145[[#This Row],[ULT Ending Inventory 
(-75 deg C) (vials)]]+Table145[[#This Row],[Thawed Ending Inventory
(2-8 deg C) (vials)]]</f>
        <v>6145</v>
      </c>
      <c r="L36" s="229">
        <f t="shared" si="2"/>
        <v>100</v>
      </c>
      <c r="M36" s="229">
        <f t="shared" si="3"/>
        <v>10000</v>
      </c>
      <c r="N36" s="229">
        <f t="shared" si="0"/>
        <v>200</v>
      </c>
      <c r="O36" s="229" t="str">
        <f>IF(Table145[[#This Row],[Problematic 
Vaccine 
Quantity]]&gt;0, "YES","NO")</f>
        <v>NO</v>
      </c>
      <c r="P36" s="229">
        <v>0</v>
      </c>
      <c r="Q36" s="229">
        <f>Q35+(Table145[[#This Row],[Daily Vaccination
(vials)]]+Table145[[#This Row],[Outbound 20 clinics
(vials)]])*5</f>
        <v>11890</v>
      </c>
      <c r="R36" s="229"/>
      <c r="BH36" s="119"/>
    </row>
    <row r="37" spans="2:62" x14ac:dyDescent="0.3">
      <c r="C37" s="230" t="s">
        <v>516</v>
      </c>
      <c r="D37" s="230"/>
      <c r="E37" s="634">
        <f t="shared" si="1"/>
        <v>0</v>
      </c>
      <c r="F37" s="634">
        <f>IF(Table145[[#This Row],[Daily Vaccination
(vials)]]&gt;J36+Table145[[#This Row],[Problematic 
Vaccine 
Quantity]],IF(Table145[[#This Row],[Daily Vaccination
(vials)]]&gt;$I$26+J36,2*$I$26,$I$26),0)</f>
        <v>0</v>
      </c>
      <c r="G37" s="229">
        <f xml:space="preserve"> E37+G36-F37-Table145[[#This Row],[Outbound 20 clinics
(vials)]]</f>
        <v>5850</v>
      </c>
      <c r="H37" s="229">
        <f t="shared" ref="H37:H62" si="6">AX62*975</f>
        <v>0</v>
      </c>
      <c r="I37" s="229">
        <f t="shared" si="5"/>
        <v>107</v>
      </c>
      <c r="J37" s="229">
        <f>J36+Table145[[#This Row],[ULT Consumption
(vials)]]-Table145[[#This Row],[Daily Vaccination
(vials)]]+Table145[[#This Row],[Problematic 
Vaccine 
Quantity]]</f>
        <v>188</v>
      </c>
      <c r="K37" s="229">
        <f>Table145[[#This Row],[ULT Ending Inventory 
(-75 deg C) (vials)]]+Table145[[#This Row],[Thawed Ending Inventory
(2-8 deg C) (vials)]]</f>
        <v>6038</v>
      </c>
      <c r="L37" s="229">
        <f t="shared" si="2"/>
        <v>100</v>
      </c>
      <c r="M37" s="229">
        <f t="shared" si="3"/>
        <v>10000</v>
      </c>
      <c r="N37" s="229">
        <f t="shared" si="0"/>
        <v>200</v>
      </c>
      <c r="O37" s="229" t="str">
        <f>IF(Table145[[#This Row],[Problematic 
Vaccine 
Quantity]]&gt;0, "YES","NO")</f>
        <v>NO</v>
      </c>
      <c r="P37" s="229">
        <v>0</v>
      </c>
      <c r="Q37" s="229">
        <f>Q36+(Table145[[#This Row],[Daily Vaccination
(vials)]]+Table145[[#This Row],[Outbound 20 clinics
(vials)]])*5</f>
        <v>12425</v>
      </c>
      <c r="R37" s="229"/>
    </row>
    <row r="38" spans="2:62" x14ac:dyDescent="0.3">
      <c r="C38" s="230" t="s">
        <v>517</v>
      </c>
      <c r="D38" s="230"/>
      <c r="E38" s="634">
        <f t="shared" si="1"/>
        <v>0</v>
      </c>
      <c r="F38" s="634">
        <f>IF(Table145[[#This Row],[Daily Vaccination
(vials)]]&gt;J37+Table145[[#This Row],[Problematic 
Vaccine 
Quantity]],IF(Table145[[#This Row],[Daily Vaccination
(vials)]]&gt;$I$26+J37,2*$I$26,$I$26),0)</f>
        <v>0</v>
      </c>
      <c r="G38" s="229">
        <f xml:space="preserve"> E38+G37-F38-Table145[[#This Row],[Outbound 20 clinics
(vials)]]</f>
        <v>5850</v>
      </c>
      <c r="H38" s="229">
        <f t="shared" si="6"/>
        <v>0</v>
      </c>
      <c r="I38" s="229">
        <f t="shared" si="5"/>
        <v>107</v>
      </c>
      <c r="J38" s="229">
        <f>J37+Table145[[#This Row],[ULT Consumption
(vials)]]-Table145[[#This Row],[Daily Vaccination
(vials)]]+Table145[[#This Row],[Problematic 
Vaccine 
Quantity]]</f>
        <v>81</v>
      </c>
      <c r="K38" s="229">
        <f>Table145[[#This Row],[ULT Ending Inventory 
(-75 deg C) (vials)]]+Table145[[#This Row],[Thawed Ending Inventory
(2-8 deg C) (vials)]]</f>
        <v>5931</v>
      </c>
      <c r="L38" s="229">
        <f t="shared" si="2"/>
        <v>100</v>
      </c>
      <c r="M38" s="229">
        <f t="shared" si="3"/>
        <v>10000</v>
      </c>
      <c r="N38" s="229">
        <f t="shared" si="0"/>
        <v>200</v>
      </c>
      <c r="O38" s="229" t="str">
        <f>IF(Table145[[#This Row],[Problematic 
Vaccine 
Quantity]]&gt;0, "YES","NO")</f>
        <v>NO</v>
      </c>
      <c r="P38" s="229">
        <v>0</v>
      </c>
      <c r="Q38" s="229">
        <f>Q37+(Table145[[#This Row],[Daily Vaccination
(vials)]]+Table145[[#This Row],[Outbound 20 clinics
(vials)]])*5</f>
        <v>12960</v>
      </c>
      <c r="R38" s="229"/>
      <c r="V38" t="s">
        <v>385</v>
      </c>
    </row>
    <row r="39" spans="2:62" x14ac:dyDescent="0.3">
      <c r="C39" s="230" t="s">
        <v>518</v>
      </c>
      <c r="D39" s="230"/>
      <c r="E39" s="634">
        <f t="shared" si="1"/>
        <v>0</v>
      </c>
      <c r="F39" s="634">
        <f>IF(Table145[[#This Row],[Daily Vaccination
(vials)]]&gt;J38+Table145[[#This Row],[Problematic 
Vaccine 
Quantity]],IF(Table145[[#This Row],[Daily Vaccination
(vials)]]&gt;$I$26+J38,2*$I$26,$I$26),0)</f>
        <v>975</v>
      </c>
      <c r="G39" s="229">
        <f xml:space="preserve"> E39+G38-F39-Table145[[#This Row],[Outbound 20 clinics
(vials)]]</f>
        <v>4875</v>
      </c>
      <c r="H39" s="229">
        <f t="shared" si="6"/>
        <v>0</v>
      </c>
      <c r="I39" s="229">
        <f t="shared" si="5"/>
        <v>107</v>
      </c>
      <c r="J39" s="229">
        <f>J38+Table145[[#This Row],[ULT Consumption
(vials)]]-Table145[[#This Row],[Daily Vaccination
(vials)]]+Table145[[#This Row],[Problematic 
Vaccine 
Quantity]]</f>
        <v>949</v>
      </c>
      <c r="K39" s="229">
        <f>Table145[[#This Row],[ULT Ending Inventory 
(-75 deg C) (vials)]]+Table145[[#This Row],[Thawed Ending Inventory
(2-8 deg C) (vials)]]</f>
        <v>5824</v>
      </c>
      <c r="L39" s="229">
        <f t="shared" si="2"/>
        <v>100</v>
      </c>
      <c r="M39" s="229">
        <f t="shared" si="3"/>
        <v>10000</v>
      </c>
      <c r="N39" s="229">
        <f t="shared" si="0"/>
        <v>200</v>
      </c>
      <c r="O39" s="229" t="str">
        <f>IF(Table145[[#This Row],[Problematic 
Vaccine 
Quantity]]&gt;0, "YES","NO")</f>
        <v>NO</v>
      </c>
      <c r="P39" s="229">
        <v>0</v>
      </c>
      <c r="Q39" s="229">
        <f>Q38+(Table145[[#This Row],[Daily Vaccination
(vials)]]+Table145[[#This Row],[Outbound 20 clinics
(vials)]])*5</f>
        <v>13495</v>
      </c>
      <c r="R39" s="229"/>
      <c r="V39">
        <v>5000</v>
      </c>
      <c r="X39" t="s">
        <v>384</v>
      </c>
      <c r="AA39" s="295" t="s">
        <v>401</v>
      </c>
      <c r="BG39" s="752" t="s">
        <v>677</v>
      </c>
      <c r="BH39" s="753">
        <v>64</v>
      </c>
      <c r="BI39" s="754"/>
    </row>
    <row r="40" spans="2:62" x14ac:dyDescent="0.3">
      <c r="C40" s="230" t="s">
        <v>519</v>
      </c>
      <c r="D40" s="230"/>
      <c r="E40" s="634">
        <f t="shared" si="1"/>
        <v>0</v>
      </c>
      <c r="F40" s="634">
        <f>IF(Table145[[#This Row],[Daily Vaccination
(vials)]]&gt;J39+Table145[[#This Row],[Problematic 
Vaccine 
Quantity]],IF(Table145[[#This Row],[Daily Vaccination
(vials)]]&gt;$I$26+J39,2*$I$26,$I$26),0)</f>
        <v>0</v>
      </c>
      <c r="G40" s="229">
        <f xml:space="preserve"> E40+G39-F40-Table145[[#This Row],[Outbound 20 clinics
(vials)]]</f>
        <v>4875</v>
      </c>
      <c r="H40" s="229">
        <f t="shared" si="6"/>
        <v>0</v>
      </c>
      <c r="I40" s="229">
        <f t="shared" si="5"/>
        <v>107</v>
      </c>
      <c r="J40" s="229">
        <f>J39+Table145[[#This Row],[ULT Consumption
(vials)]]-Table145[[#This Row],[Daily Vaccination
(vials)]]+Table145[[#This Row],[Problematic 
Vaccine 
Quantity]]</f>
        <v>842</v>
      </c>
      <c r="K40" s="229">
        <f>Table145[[#This Row],[ULT Ending Inventory 
(-75 deg C) (vials)]]+Table145[[#This Row],[Thawed Ending Inventory
(2-8 deg C) (vials)]]</f>
        <v>5717</v>
      </c>
      <c r="L40" s="229">
        <f t="shared" si="2"/>
        <v>100</v>
      </c>
      <c r="M40" s="229">
        <f t="shared" si="3"/>
        <v>10000</v>
      </c>
      <c r="N40" s="229">
        <f t="shared" si="0"/>
        <v>200</v>
      </c>
      <c r="O40" s="229" t="str">
        <f>IF(Table145[[#This Row],[Problematic 
Vaccine 
Quantity]]&gt;0, "YES","NO")</f>
        <v>NO</v>
      </c>
      <c r="P40" s="229">
        <v>0</v>
      </c>
      <c r="Q40" s="229">
        <f>Q39+(Table145[[#This Row],[Daily Vaccination
(vials)]]+Table145[[#This Row],[Outbound 20 clinics
(vials)]])*5</f>
        <v>14030</v>
      </c>
      <c r="R40" s="229"/>
      <c r="BG40" s="752" t="s">
        <v>680</v>
      </c>
      <c r="BH40" s="742">
        <v>80000</v>
      </c>
      <c r="BI40" s="737" t="s">
        <v>678</v>
      </c>
    </row>
    <row r="41" spans="2:62" x14ac:dyDescent="0.3">
      <c r="C41" s="230" t="s">
        <v>520</v>
      </c>
      <c r="D41" s="230"/>
      <c r="E41" s="634">
        <f t="shared" si="1"/>
        <v>0</v>
      </c>
      <c r="F41" s="634">
        <f>IF(Table145[[#This Row],[Daily Vaccination
(vials)]]&gt;J40+Table145[[#This Row],[Problematic 
Vaccine 
Quantity]],IF(Table145[[#This Row],[Daily Vaccination
(vials)]]&gt;$I$26+J40,2*$I$26,$I$26),0)</f>
        <v>0</v>
      </c>
      <c r="G41" s="229">
        <f xml:space="preserve"> E41+G40-F41-Table145[[#This Row],[Outbound 20 clinics
(vials)]]</f>
        <v>4875</v>
      </c>
      <c r="H41" s="229">
        <f t="shared" si="6"/>
        <v>0</v>
      </c>
      <c r="I41" s="229">
        <f t="shared" si="5"/>
        <v>107</v>
      </c>
      <c r="J41" s="229">
        <f>J40+Table145[[#This Row],[ULT Consumption
(vials)]]-Table145[[#This Row],[Daily Vaccination
(vials)]]+Table145[[#This Row],[Problematic 
Vaccine 
Quantity]]</f>
        <v>735</v>
      </c>
      <c r="K41" s="229">
        <f>Table145[[#This Row],[ULT Ending Inventory 
(-75 deg C) (vials)]]+Table145[[#This Row],[Thawed Ending Inventory
(2-8 deg C) (vials)]]</f>
        <v>5610</v>
      </c>
      <c r="L41" s="229">
        <f t="shared" si="2"/>
        <v>100</v>
      </c>
      <c r="M41" s="229">
        <f t="shared" si="3"/>
        <v>10000</v>
      </c>
      <c r="N41" s="229">
        <f t="shared" si="0"/>
        <v>200</v>
      </c>
      <c r="O41" s="229" t="str">
        <f>IF(Table145[[#This Row],[Problematic 
Vaccine 
Quantity]]&gt;0, "YES","NO")</f>
        <v>NO</v>
      </c>
      <c r="P41" s="229">
        <v>0</v>
      </c>
      <c r="Q41" s="229">
        <f>Q40+(Table145[[#This Row],[Daily Vaccination
(vials)]]+Table145[[#This Row],[Outbound 20 clinics
(vials)]])*5</f>
        <v>14565</v>
      </c>
      <c r="R41" s="229"/>
      <c r="BG41" s="752" t="s">
        <v>675</v>
      </c>
      <c r="BH41" s="755">
        <v>0.1</v>
      </c>
      <c r="BI41" s="737"/>
    </row>
    <row r="42" spans="2:62" x14ac:dyDescent="0.3">
      <c r="B42" t="s">
        <v>248</v>
      </c>
      <c r="C42" s="230" t="s">
        <v>463</v>
      </c>
      <c r="D42" s="230"/>
      <c r="E42" s="634">
        <f t="shared" si="1"/>
        <v>0</v>
      </c>
      <c r="F42" s="634">
        <f>IF(Table145[[#This Row],[Daily Vaccination
(vials)]]&gt;J41+Table145[[#This Row],[Problematic 
Vaccine 
Quantity]],IF(Table145[[#This Row],[Daily Vaccination
(vials)]]&gt;$I$26+J41,2*$I$26,$I$26),0)</f>
        <v>0</v>
      </c>
      <c r="G42" s="229">
        <f xml:space="preserve"> E42+G41-F42-Table145[[#This Row],[Outbound 20 clinics
(vials)]]</f>
        <v>4875</v>
      </c>
      <c r="H42" s="229">
        <f t="shared" si="6"/>
        <v>0</v>
      </c>
      <c r="I42" s="229">
        <f t="shared" si="5"/>
        <v>107</v>
      </c>
      <c r="J42" s="229">
        <f>J41+Table145[[#This Row],[ULT Consumption
(vials)]]-Table145[[#This Row],[Daily Vaccination
(vials)]]+Table145[[#This Row],[Problematic 
Vaccine 
Quantity]]</f>
        <v>628</v>
      </c>
      <c r="K42" s="229">
        <f>Table145[[#This Row],[ULT Ending Inventory 
(-75 deg C) (vials)]]+Table145[[#This Row],[Thawed Ending Inventory
(2-8 deg C) (vials)]]</f>
        <v>5503</v>
      </c>
      <c r="L42" s="229">
        <f t="shared" si="2"/>
        <v>100</v>
      </c>
      <c r="M42" s="229">
        <f t="shared" si="3"/>
        <v>10000</v>
      </c>
      <c r="N42" s="229">
        <f t="shared" si="0"/>
        <v>200</v>
      </c>
      <c r="O42" s="229" t="str">
        <f>IF(Table145[[#This Row],[Problematic 
Vaccine 
Quantity]]&gt;0, "YES","NO")</f>
        <v>NO</v>
      </c>
      <c r="P42" s="229">
        <v>0</v>
      </c>
      <c r="Q42" s="229">
        <f>Q41+(Table145[[#This Row],[Daily Vaccination
(vials)]]+Table145[[#This Row],[Outbound 20 clinics
(vials)]])*5</f>
        <v>15100</v>
      </c>
      <c r="R42" s="229"/>
      <c r="BG42" s="752" t="s">
        <v>676</v>
      </c>
      <c r="BH42" s="742">
        <f>BH40*BH41</f>
        <v>8000</v>
      </c>
      <c r="BI42" s="737" t="s">
        <v>678</v>
      </c>
    </row>
    <row r="43" spans="2:62" x14ac:dyDescent="0.3">
      <c r="C43" s="230" t="s">
        <v>453</v>
      </c>
      <c r="D43" s="230"/>
      <c r="E43" s="634">
        <f t="shared" si="1"/>
        <v>0</v>
      </c>
      <c r="F43" s="634">
        <f>IF(Table145[[#This Row],[Daily Vaccination
(vials)]]&gt;J42+Table145[[#This Row],[Problematic 
Vaccine 
Quantity]],IF(Table145[[#This Row],[Daily Vaccination
(vials)]]&gt;$I$26+J42,2*$I$26,$I$26),0)</f>
        <v>0</v>
      </c>
      <c r="G43" s="229">
        <f xml:space="preserve"> E43+G42-F43-Table145[[#This Row],[Outbound 20 clinics
(vials)]]</f>
        <v>4875</v>
      </c>
      <c r="H43" s="229">
        <f t="shared" si="6"/>
        <v>0</v>
      </c>
      <c r="I43" s="229">
        <f t="shared" si="5"/>
        <v>107</v>
      </c>
      <c r="J43" s="229">
        <f>J42+Table145[[#This Row],[ULT Consumption
(vials)]]-Table145[[#This Row],[Daily Vaccination
(vials)]]+Table145[[#This Row],[Problematic 
Vaccine 
Quantity]]</f>
        <v>521</v>
      </c>
      <c r="K43" s="229">
        <f>Table145[[#This Row],[ULT Ending Inventory 
(-75 deg C) (vials)]]+Table145[[#This Row],[Thawed Ending Inventory
(2-8 deg C) (vials)]]</f>
        <v>5396</v>
      </c>
      <c r="L43" s="229">
        <f t="shared" si="2"/>
        <v>100</v>
      </c>
      <c r="M43" s="229">
        <f t="shared" si="3"/>
        <v>10000</v>
      </c>
      <c r="N43" s="229">
        <f t="shared" si="0"/>
        <v>200</v>
      </c>
      <c r="O43" s="229" t="str">
        <f>IF(Table145[[#This Row],[Problematic 
Vaccine 
Quantity]]&gt;0, "YES","NO")</f>
        <v>NO</v>
      </c>
      <c r="P43" s="229">
        <v>0</v>
      </c>
      <c r="Q43" s="229">
        <f>Q42+(Table145[[#This Row],[Daily Vaccination
(vials)]]+Table145[[#This Row],[Outbound 20 clinics
(vials)]])*5</f>
        <v>15635</v>
      </c>
      <c r="R43" s="229"/>
      <c r="BG43" s="737"/>
      <c r="BH43" s="753">
        <f>BH42/BH39</f>
        <v>125</v>
      </c>
      <c r="BI43" s="742">
        <f>BH43/4</f>
        <v>31.25</v>
      </c>
      <c r="BJ43" t="s">
        <v>663</v>
      </c>
    </row>
    <row r="44" spans="2:62" x14ac:dyDescent="0.3">
      <c r="C44" s="230" t="s">
        <v>464</v>
      </c>
      <c r="D44" s="230"/>
      <c r="E44" s="634">
        <f t="shared" si="1"/>
        <v>0</v>
      </c>
      <c r="F44" s="634">
        <f>IF(Table145[[#This Row],[Daily Vaccination
(vials)]]&gt;J43+Table145[[#This Row],[Problematic 
Vaccine 
Quantity]],IF(Table145[[#This Row],[Daily Vaccination
(vials)]]&gt;$I$26+J43,2*$I$26,$I$26),0)</f>
        <v>0</v>
      </c>
      <c r="G44" s="229">
        <f xml:space="preserve"> E44+G43-F44-Table145[[#This Row],[Outbound 20 clinics
(vials)]]</f>
        <v>4875</v>
      </c>
      <c r="H44" s="229">
        <f t="shared" si="6"/>
        <v>0</v>
      </c>
      <c r="I44" s="229">
        <f t="shared" si="5"/>
        <v>107</v>
      </c>
      <c r="J44" s="229">
        <f>J43+Table145[[#This Row],[ULT Consumption
(vials)]]-Table145[[#This Row],[Daily Vaccination
(vials)]]+Table145[[#This Row],[Problematic 
Vaccine 
Quantity]]</f>
        <v>414</v>
      </c>
      <c r="K44" s="229">
        <f>Table145[[#This Row],[ULT Ending Inventory 
(-75 deg C) (vials)]]+Table145[[#This Row],[Thawed Ending Inventory
(2-8 deg C) (vials)]]</f>
        <v>5289</v>
      </c>
      <c r="L44" s="229">
        <f t="shared" si="2"/>
        <v>100</v>
      </c>
      <c r="M44" s="229">
        <f t="shared" si="3"/>
        <v>10000</v>
      </c>
      <c r="N44" s="229">
        <f t="shared" si="0"/>
        <v>200</v>
      </c>
      <c r="O44" s="229" t="str">
        <f>IF(Table145[[#This Row],[Problematic 
Vaccine 
Quantity]]&gt;0, "YES","NO")</f>
        <v>NO</v>
      </c>
      <c r="P44" s="229">
        <v>0</v>
      </c>
      <c r="Q44" s="229">
        <f>Q43+(Table145[[#This Row],[Daily Vaccination
(vials)]]+Table145[[#This Row],[Outbound 20 clinics
(vials)]])*5</f>
        <v>16170</v>
      </c>
      <c r="R44" s="229"/>
      <c r="BG44" s="737"/>
      <c r="BH44" s="737"/>
      <c r="BI44" s="737"/>
    </row>
    <row r="45" spans="2:62" x14ac:dyDescent="0.3">
      <c r="C45" s="230" t="s">
        <v>465</v>
      </c>
      <c r="D45" s="230"/>
      <c r="E45" s="634">
        <f t="shared" si="1"/>
        <v>0</v>
      </c>
      <c r="F45" s="634">
        <f>IF(Table145[[#This Row],[Daily Vaccination
(vials)]]&gt;J44+Table145[[#This Row],[Problematic 
Vaccine 
Quantity]],IF(Table145[[#This Row],[Daily Vaccination
(vials)]]&gt;$I$26+J44,2*$I$26,$I$26),0)</f>
        <v>0</v>
      </c>
      <c r="G45" s="229">
        <f xml:space="preserve"> E45+G44-F45-Table145[[#This Row],[Outbound 20 clinics
(vials)]]</f>
        <v>4875</v>
      </c>
      <c r="H45" s="229">
        <f t="shared" si="6"/>
        <v>0</v>
      </c>
      <c r="I45" s="229">
        <f t="shared" si="5"/>
        <v>107</v>
      </c>
      <c r="J45" s="229">
        <f>J44+Table145[[#This Row],[ULT Consumption
(vials)]]-Table145[[#This Row],[Daily Vaccination
(vials)]]+Table145[[#This Row],[Problematic 
Vaccine 
Quantity]]</f>
        <v>307</v>
      </c>
      <c r="K45" s="229">
        <f>Table145[[#This Row],[ULT Ending Inventory 
(-75 deg C) (vials)]]+Table145[[#This Row],[Thawed Ending Inventory
(2-8 deg C) (vials)]]</f>
        <v>5182</v>
      </c>
      <c r="L45" s="229">
        <f t="shared" si="2"/>
        <v>100</v>
      </c>
      <c r="M45" s="229">
        <f t="shared" si="3"/>
        <v>10000</v>
      </c>
      <c r="N45" s="229">
        <f t="shared" si="0"/>
        <v>200</v>
      </c>
      <c r="O45" s="229" t="str">
        <f>IF(Table145[[#This Row],[Problematic 
Vaccine 
Quantity]]&gt;0, "YES","NO")</f>
        <v>NO</v>
      </c>
      <c r="P45" s="229">
        <v>0</v>
      </c>
      <c r="Q45" s="229">
        <f>Q44+(Table145[[#This Row],[Daily Vaccination
(vials)]]+Table145[[#This Row],[Outbound 20 clinics
(vials)]])*5</f>
        <v>16705</v>
      </c>
      <c r="R45" s="229"/>
      <c r="BG45" s="752" t="s">
        <v>669</v>
      </c>
      <c r="BH45" s="742">
        <f>MROUND(SQRT(2*BH47*BI43/BH49),1)</f>
        <v>2</v>
      </c>
      <c r="BI45" s="737" t="s">
        <v>679</v>
      </c>
    </row>
    <row r="46" spans="2:62" x14ac:dyDescent="0.3">
      <c r="C46" s="230" t="s">
        <v>466</v>
      </c>
      <c r="D46" s="230"/>
      <c r="E46" s="634">
        <f t="shared" si="1"/>
        <v>0</v>
      </c>
      <c r="F46" s="634">
        <f>IF(Table145[[#This Row],[Daily Vaccination
(vials)]]&gt;J45+Table145[[#This Row],[Problematic 
Vaccine 
Quantity]],IF(Table145[[#This Row],[Daily Vaccination
(vials)]]&gt;$I$26+J45,2*$I$26,$I$26),0)</f>
        <v>0</v>
      </c>
      <c r="G46" s="229">
        <f xml:space="preserve"> E46+G45-F46-Table145[[#This Row],[Outbound 20 clinics
(vials)]]</f>
        <v>4875</v>
      </c>
      <c r="H46" s="229">
        <f t="shared" si="6"/>
        <v>0</v>
      </c>
      <c r="I46" s="229">
        <f t="shared" si="5"/>
        <v>107</v>
      </c>
      <c r="J46" s="229">
        <f>J45+Table145[[#This Row],[ULT Consumption
(vials)]]-Table145[[#This Row],[Daily Vaccination
(vials)]]+Table145[[#This Row],[Problematic 
Vaccine 
Quantity]]</f>
        <v>200</v>
      </c>
      <c r="K46" s="229">
        <f>Table145[[#This Row],[ULT Ending Inventory 
(-75 deg C) (vials)]]+Table145[[#This Row],[Thawed Ending Inventory
(2-8 deg C) (vials)]]</f>
        <v>5075</v>
      </c>
      <c r="L46" s="229">
        <f t="shared" si="2"/>
        <v>100</v>
      </c>
      <c r="M46" s="229">
        <f t="shared" si="3"/>
        <v>10000</v>
      </c>
      <c r="N46" s="229">
        <f t="shared" si="0"/>
        <v>200</v>
      </c>
      <c r="O46" s="229" t="str">
        <f>IF(Table145[[#This Row],[Problematic 
Vaccine 
Quantity]]&gt;0, "YES","NO")</f>
        <v>NO</v>
      </c>
      <c r="P46" s="229">
        <v>0</v>
      </c>
      <c r="Q46" s="229">
        <f>Q45+(Table145[[#This Row],[Daily Vaccination
(vials)]]+Table145[[#This Row],[Outbound 20 clinics
(vials)]])*5</f>
        <v>17240</v>
      </c>
      <c r="R46" s="229"/>
      <c r="BG46" s="752" t="s">
        <v>664</v>
      </c>
      <c r="BH46" s="742">
        <v>24375</v>
      </c>
      <c r="BI46" s="737" t="s">
        <v>672</v>
      </c>
    </row>
    <row r="47" spans="2:62" x14ac:dyDescent="0.3">
      <c r="C47" s="230" t="s">
        <v>467</v>
      </c>
      <c r="D47" s="230"/>
      <c r="E47" s="634">
        <f t="shared" si="1"/>
        <v>0</v>
      </c>
      <c r="F47" s="634">
        <f>IF(Table145[[#This Row],[Daily Vaccination
(vials)]]&gt;J46+Table145[[#This Row],[Problematic 
Vaccine 
Quantity]],IF(Table145[[#This Row],[Daily Vaccination
(vials)]]&gt;$I$26+J46,2*$I$26,$I$26),0)</f>
        <v>0</v>
      </c>
      <c r="G47" s="229">
        <f xml:space="preserve"> E47+G46-F47-Table145[[#This Row],[Outbound 20 clinics
(vials)]]</f>
        <v>4875</v>
      </c>
      <c r="H47" s="229">
        <f t="shared" si="6"/>
        <v>0</v>
      </c>
      <c r="I47" s="229">
        <f t="shared" si="5"/>
        <v>107</v>
      </c>
      <c r="J47" s="229">
        <f>J46+Table145[[#This Row],[ULT Consumption
(vials)]]-Table145[[#This Row],[Daily Vaccination
(vials)]]+Table145[[#This Row],[Problematic 
Vaccine 
Quantity]]</f>
        <v>93</v>
      </c>
      <c r="K47" s="229">
        <f>Table145[[#This Row],[ULT Ending Inventory 
(-75 deg C) (vials)]]+Table145[[#This Row],[Thawed Ending Inventory
(2-8 deg C) (vials)]]</f>
        <v>4968</v>
      </c>
      <c r="L47" s="229">
        <f t="shared" si="2"/>
        <v>100</v>
      </c>
      <c r="M47" s="229">
        <f t="shared" si="3"/>
        <v>10000</v>
      </c>
      <c r="N47" s="229">
        <f t="shared" si="0"/>
        <v>200</v>
      </c>
      <c r="O47" s="229" t="str">
        <f>IF(Table145[[#This Row],[Problematic 
Vaccine 
Quantity]]&gt;0, "YES","NO")</f>
        <v>NO</v>
      </c>
      <c r="P47" s="229">
        <v>0</v>
      </c>
      <c r="Q47" s="229">
        <f>Q46+(Table145[[#This Row],[Daily Vaccination
(vials)]]+Table145[[#This Row],[Outbound 20 clinics
(vials)]])*5</f>
        <v>17775</v>
      </c>
      <c r="R47" s="229"/>
      <c r="BG47" s="752" t="s">
        <v>665</v>
      </c>
      <c r="BH47" s="742">
        <v>336</v>
      </c>
      <c r="BI47" s="737" t="s">
        <v>671</v>
      </c>
    </row>
    <row r="48" spans="2:62" x14ac:dyDescent="0.3">
      <c r="C48" s="230" t="s">
        <v>468</v>
      </c>
      <c r="D48" s="230"/>
      <c r="E48" s="634">
        <f t="shared" si="1"/>
        <v>0</v>
      </c>
      <c r="F48" s="634">
        <f>IF(Table145[[#This Row],[Daily Vaccination
(vials)]]&gt;J47+Table145[[#This Row],[Problematic 
Vaccine 
Quantity]],IF(Table145[[#This Row],[Daily Vaccination
(vials)]]&gt;$I$26+J47,2*$I$26,$I$26),0)</f>
        <v>975</v>
      </c>
      <c r="G48" s="229">
        <f xml:space="preserve"> E48+G47-F48-Table145[[#This Row],[Outbound 20 clinics
(vials)]]</f>
        <v>3900</v>
      </c>
      <c r="H48" s="229">
        <f t="shared" si="6"/>
        <v>0</v>
      </c>
      <c r="I48" s="229">
        <f t="shared" si="5"/>
        <v>107</v>
      </c>
      <c r="J48" s="229">
        <f>J47+Table145[[#This Row],[ULT Consumption
(vials)]]-Table145[[#This Row],[Daily Vaccination
(vials)]]+Table145[[#This Row],[Problematic 
Vaccine 
Quantity]]</f>
        <v>961</v>
      </c>
      <c r="K48" s="229">
        <f>Table145[[#This Row],[ULT Ending Inventory 
(-75 deg C) (vials)]]+Table145[[#This Row],[Thawed Ending Inventory
(2-8 deg C) (vials)]]</f>
        <v>4861</v>
      </c>
      <c r="L48" s="229">
        <f t="shared" si="2"/>
        <v>100</v>
      </c>
      <c r="M48" s="229">
        <f t="shared" si="3"/>
        <v>10000</v>
      </c>
      <c r="N48" s="229">
        <f t="shared" si="0"/>
        <v>200</v>
      </c>
      <c r="O48" s="229" t="str">
        <f>IF(Table145[[#This Row],[Problematic 
Vaccine 
Quantity]]&gt;0, "YES","NO")</f>
        <v>NO</v>
      </c>
      <c r="P48" s="229">
        <v>0</v>
      </c>
      <c r="Q48" s="229">
        <f>Q47+(Table145[[#This Row],[Daily Vaccination
(vials)]]+Table145[[#This Row],[Outbound 20 clinics
(vials)]])*5</f>
        <v>18310</v>
      </c>
      <c r="R48" s="229"/>
      <c r="AB48" t="s">
        <v>527</v>
      </c>
      <c r="AR48">
        <v>15</v>
      </c>
      <c r="AS48" t="s">
        <v>483</v>
      </c>
      <c r="BG48" s="752" t="s">
        <v>666</v>
      </c>
      <c r="BH48" s="755">
        <v>0.25</v>
      </c>
      <c r="BI48" s="737" t="s">
        <v>667</v>
      </c>
    </row>
    <row r="49" spans="3:66" x14ac:dyDescent="0.3">
      <c r="C49" s="230" t="s">
        <v>469</v>
      </c>
      <c r="D49" s="230"/>
      <c r="E49" s="634">
        <f t="shared" si="1"/>
        <v>0</v>
      </c>
      <c r="F49" s="634">
        <f>IF(Table145[[#This Row],[Daily Vaccination
(vials)]]&gt;J48+Table145[[#This Row],[Problematic 
Vaccine 
Quantity]],IF(Table145[[#This Row],[Daily Vaccination
(vials)]]&gt;$I$26+J48,2*$I$26,$I$26),0)</f>
        <v>0</v>
      </c>
      <c r="G49" s="229">
        <f xml:space="preserve"> E49+G48-F49-Table145[[#This Row],[Outbound 20 clinics
(vials)]]</f>
        <v>3900</v>
      </c>
      <c r="H49" s="229">
        <f t="shared" si="6"/>
        <v>0</v>
      </c>
      <c r="I49" s="229">
        <f t="shared" si="5"/>
        <v>107</v>
      </c>
      <c r="J49" s="229">
        <f>J48+Table145[[#This Row],[ULT Consumption
(vials)]]-Table145[[#This Row],[Daily Vaccination
(vials)]]+Table145[[#This Row],[Problematic 
Vaccine 
Quantity]]</f>
        <v>854</v>
      </c>
      <c r="K49" s="229">
        <f>Table145[[#This Row],[ULT Ending Inventory 
(-75 deg C) (vials)]]+Table145[[#This Row],[Thawed Ending Inventory
(2-8 deg C) (vials)]]</f>
        <v>4754</v>
      </c>
      <c r="L49" s="229">
        <f t="shared" si="2"/>
        <v>100</v>
      </c>
      <c r="M49" s="229">
        <f t="shared" si="3"/>
        <v>10000</v>
      </c>
      <c r="N49" s="229">
        <f t="shared" si="0"/>
        <v>200</v>
      </c>
      <c r="O49" s="229" t="str">
        <f>IF(Table145[[#This Row],[Problematic 
Vaccine 
Quantity]]&gt;0, "YES","NO")</f>
        <v>NO</v>
      </c>
      <c r="P49" s="229">
        <v>0</v>
      </c>
      <c r="Q49" s="229">
        <f>Q48+(Table145[[#This Row],[Daily Vaccination
(vials)]]+Table145[[#This Row],[Outbound 20 clinics
(vials)]])*5</f>
        <v>18845</v>
      </c>
      <c r="R49" s="229"/>
      <c r="AR49">
        <v>8</v>
      </c>
      <c r="AS49" t="s">
        <v>482</v>
      </c>
      <c r="BG49" s="752" t="s">
        <v>668</v>
      </c>
      <c r="BH49" s="742">
        <f>BH48*BH46</f>
        <v>6093.75</v>
      </c>
      <c r="BI49" s="737" t="s">
        <v>673</v>
      </c>
    </row>
    <row r="50" spans="3:66" x14ac:dyDescent="0.3">
      <c r="C50" s="230" t="s">
        <v>470</v>
      </c>
      <c r="D50" s="230"/>
      <c r="E50" s="634">
        <f t="shared" si="1"/>
        <v>0</v>
      </c>
      <c r="F50" s="634">
        <f>IF(Table145[[#This Row],[Daily Vaccination
(vials)]]&gt;J49+Table145[[#This Row],[Problematic 
Vaccine 
Quantity]],IF(Table145[[#This Row],[Daily Vaccination
(vials)]]&gt;$I$26+J49,2*$I$26,$I$26),0)</f>
        <v>0</v>
      </c>
      <c r="G50" s="229">
        <f xml:space="preserve"> E50+G49-F50-Table145[[#This Row],[Outbound 20 clinics
(vials)]]</f>
        <v>3900</v>
      </c>
      <c r="H50" s="229">
        <f t="shared" si="6"/>
        <v>0</v>
      </c>
      <c r="I50" s="229">
        <f t="shared" si="5"/>
        <v>107</v>
      </c>
      <c r="J50" s="229">
        <f>J49+Table145[[#This Row],[ULT Consumption
(vials)]]-Table145[[#This Row],[Daily Vaccination
(vials)]]+Table145[[#This Row],[Problematic 
Vaccine 
Quantity]]</f>
        <v>747</v>
      </c>
      <c r="K50" s="229">
        <f>Table145[[#This Row],[ULT Ending Inventory 
(-75 deg C) (vials)]]+Table145[[#This Row],[Thawed Ending Inventory
(2-8 deg C) (vials)]]</f>
        <v>4647</v>
      </c>
      <c r="L50" s="229">
        <f t="shared" si="2"/>
        <v>100</v>
      </c>
      <c r="M50" s="229">
        <f t="shared" si="3"/>
        <v>10000</v>
      </c>
      <c r="N50" s="229">
        <f t="shared" si="0"/>
        <v>200</v>
      </c>
      <c r="O50" s="229" t="str">
        <f>IF(Table145[[#This Row],[Problematic 
Vaccine 
Quantity]]&gt;0, "YES","NO")</f>
        <v>NO</v>
      </c>
      <c r="P50" s="229">
        <v>0</v>
      </c>
      <c r="Q50" s="229">
        <f>Q49+(Table145[[#This Row],[Daily Vaccination
(vials)]]+Table145[[#This Row],[Outbound 20 clinics
(vials)]])*5</f>
        <v>19380</v>
      </c>
      <c r="R50" s="229"/>
      <c r="AR50">
        <v>150</v>
      </c>
      <c r="AS50" t="s">
        <v>484</v>
      </c>
      <c r="BG50" s="752" t="s">
        <v>662</v>
      </c>
      <c r="BH50" s="742">
        <f>AVERAGE(BG58:BH87)*2</f>
        <v>107</v>
      </c>
      <c r="BI50" s="737"/>
    </row>
    <row r="51" spans="3:66" x14ac:dyDescent="0.3">
      <c r="C51" s="230" t="s">
        <v>471</v>
      </c>
      <c r="D51" s="230"/>
      <c r="E51" s="634">
        <f t="shared" si="1"/>
        <v>0</v>
      </c>
      <c r="F51" s="634">
        <f>IF(Table145[[#This Row],[Daily Vaccination
(vials)]]&gt;J50+Table145[[#This Row],[Problematic 
Vaccine 
Quantity]],IF(Table145[[#This Row],[Daily Vaccination
(vials)]]&gt;$I$26+J50,2*$I$26,$I$26),0)</f>
        <v>0</v>
      </c>
      <c r="G51" s="229">
        <f xml:space="preserve"> E51+G50-F51-Table145[[#This Row],[Outbound 20 clinics
(vials)]]</f>
        <v>3900</v>
      </c>
      <c r="H51" s="229">
        <f t="shared" si="6"/>
        <v>0</v>
      </c>
      <c r="I51" s="229">
        <f t="shared" si="5"/>
        <v>107</v>
      </c>
      <c r="J51" s="229">
        <f>J50+Table145[[#This Row],[ULT Consumption
(vials)]]-Table145[[#This Row],[Daily Vaccination
(vials)]]+Table145[[#This Row],[Problematic 
Vaccine 
Quantity]]</f>
        <v>640</v>
      </c>
      <c r="K51" s="229">
        <f>Table145[[#This Row],[ULT Ending Inventory 
(-75 deg C) (vials)]]+Table145[[#This Row],[Thawed Ending Inventory
(2-8 deg C) (vials)]]</f>
        <v>4540</v>
      </c>
      <c r="L51" s="229">
        <f t="shared" si="2"/>
        <v>100</v>
      </c>
      <c r="M51" s="229">
        <f t="shared" si="3"/>
        <v>10000</v>
      </c>
      <c r="N51" s="229">
        <f t="shared" si="0"/>
        <v>200</v>
      </c>
      <c r="O51" s="229" t="str">
        <f>IF(Table145[[#This Row],[Problematic 
Vaccine 
Quantity]]&gt;0, "YES","NO")</f>
        <v>NO</v>
      </c>
      <c r="P51" s="229">
        <v>0</v>
      </c>
      <c r="Q51" s="229">
        <f>Q50+(Table145[[#This Row],[Daily Vaccination
(vials)]]+Table145[[#This Row],[Outbound 20 clinics
(vials)]])*5</f>
        <v>19915</v>
      </c>
      <c r="R51" s="229"/>
      <c r="AR51">
        <f>AR50*AR49*60/AR48</f>
        <v>4800</v>
      </c>
      <c r="AS51" t="s">
        <v>485</v>
      </c>
      <c r="BG51" s="752" t="s">
        <v>291</v>
      </c>
      <c r="BH51" s="753">
        <v>2</v>
      </c>
      <c r="BI51" s="737" t="s">
        <v>293</v>
      </c>
    </row>
    <row r="52" spans="3:66" x14ac:dyDescent="0.3">
      <c r="C52" s="230" t="s">
        <v>472</v>
      </c>
      <c r="D52" s="230"/>
      <c r="E52" s="634">
        <f t="shared" si="1"/>
        <v>0</v>
      </c>
      <c r="F52" s="634">
        <f>IF(Table145[[#This Row],[Daily Vaccination
(vials)]]&gt;J51+Table145[[#This Row],[Problematic 
Vaccine 
Quantity]],IF(Table145[[#This Row],[Daily Vaccination
(vials)]]&gt;$I$26+J51,2*$I$26,$I$26),0)</f>
        <v>0</v>
      </c>
      <c r="G52" s="229">
        <f xml:space="preserve"> E52+G51-F52-Table145[[#This Row],[Outbound 20 clinics
(vials)]]</f>
        <v>3900</v>
      </c>
      <c r="H52" s="229">
        <f t="shared" si="6"/>
        <v>0</v>
      </c>
      <c r="I52" s="229">
        <f t="shared" si="5"/>
        <v>107</v>
      </c>
      <c r="J52" s="229">
        <f>J51+Table145[[#This Row],[ULT Consumption
(vials)]]-Table145[[#This Row],[Daily Vaccination
(vials)]]+Table145[[#This Row],[Problematic 
Vaccine 
Quantity]]</f>
        <v>533</v>
      </c>
      <c r="K52" s="229">
        <f>Table145[[#This Row],[ULT Ending Inventory 
(-75 deg C) (vials)]]+Table145[[#This Row],[Thawed Ending Inventory
(2-8 deg C) (vials)]]</f>
        <v>4433</v>
      </c>
      <c r="L52" s="229">
        <f t="shared" si="2"/>
        <v>100</v>
      </c>
      <c r="M52" s="229">
        <f t="shared" si="3"/>
        <v>10000</v>
      </c>
      <c r="N52" s="229">
        <f t="shared" si="0"/>
        <v>200</v>
      </c>
      <c r="O52" s="229" t="str">
        <f>IF(Table145[[#This Row],[Problematic 
Vaccine 
Quantity]]&gt;0, "YES","NO")</f>
        <v>NO</v>
      </c>
      <c r="P52" s="229">
        <v>0</v>
      </c>
      <c r="Q52" s="229">
        <f>Q51+(Table145[[#This Row],[Daily Vaccination
(vials)]]+Table145[[#This Row],[Outbound 20 clinics
(vials)]])*5</f>
        <v>20450</v>
      </c>
      <c r="R52" s="229"/>
      <c r="BF52" t="s">
        <v>681</v>
      </c>
      <c r="BG52" s="635" t="s">
        <v>342</v>
      </c>
      <c r="BH52" s="331">
        <v>17550</v>
      </c>
      <c r="BI52" t="s">
        <v>341</v>
      </c>
      <c r="BJ52" s="331">
        <f>BH52/$BC$55</f>
        <v>3.6</v>
      </c>
      <c r="BK52" t="s">
        <v>435</v>
      </c>
    </row>
    <row r="53" spans="3:66" x14ac:dyDescent="0.3">
      <c r="C53" s="230" t="s">
        <v>473</v>
      </c>
      <c r="D53" s="230"/>
      <c r="E53" s="634">
        <f t="shared" si="1"/>
        <v>0</v>
      </c>
      <c r="F53" s="634">
        <f>IF(Table145[[#This Row],[Daily Vaccination
(vials)]]&gt;J52+Table145[[#This Row],[Problematic 
Vaccine 
Quantity]],IF(Table145[[#This Row],[Daily Vaccination
(vials)]]&gt;$I$26+J52,2*$I$26,$I$26),0)</f>
        <v>0</v>
      </c>
      <c r="G53" s="229">
        <f xml:space="preserve"> E53+G52-F53-Table145[[#This Row],[Outbound 20 clinics
(vials)]]</f>
        <v>3900</v>
      </c>
      <c r="H53" s="229">
        <f t="shared" si="6"/>
        <v>0</v>
      </c>
      <c r="I53" s="229">
        <f t="shared" si="5"/>
        <v>107</v>
      </c>
      <c r="J53" s="229">
        <f>J52+Table145[[#This Row],[ULT Consumption
(vials)]]-Table145[[#This Row],[Daily Vaccination
(vials)]]+Table145[[#This Row],[Problematic 
Vaccine 
Quantity]]</f>
        <v>426</v>
      </c>
      <c r="K53" s="229">
        <f>Table145[[#This Row],[ULT Ending Inventory 
(-75 deg C) (vials)]]+Table145[[#This Row],[Thawed Ending Inventory
(2-8 deg C) (vials)]]</f>
        <v>4326</v>
      </c>
      <c r="L53" s="229">
        <f t="shared" si="2"/>
        <v>100</v>
      </c>
      <c r="M53" s="229">
        <f t="shared" si="3"/>
        <v>10000</v>
      </c>
      <c r="N53" s="229">
        <f t="shared" si="0"/>
        <v>200</v>
      </c>
      <c r="O53" s="229" t="str">
        <f>IF(Table145[[#This Row],[Problematic 
Vaccine 
Quantity]]&gt;0, "YES","NO")</f>
        <v>NO</v>
      </c>
      <c r="P53" s="229">
        <v>0</v>
      </c>
      <c r="Q53" s="229">
        <f>Q52+(Table145[[#This Row],[Daily Vaccination
(vials)]]+Table145[[#This Row],[Outbound 20 clinics
(vials)]])*5</f>
        <v>20985</v>
      </c>
      <c r="R53" s="229"/>
      <c r="AD53" s="295" t="s">
        <v>491</v>
      </c>
      <c r="BG53" s="636" t="s">
        <v>300</v>
      </c>
      <c r="BH53" s="332">
        <v>2925</v>
      </c>
      <c r="BI53" t="s">
        <v>341</v>
      </c>
      <c r="BJ53" s="331">
        <v>2</v>
      </c>
      <c r="BK53" t="s">
        <v>435</v>
      </c>
    </row>
    <row r="54" spans="3:66" ht="21" x14ac:dyDescent="0.4">
      <c r="C54" s="230" t="s">
        <v>474</v>
      </c>
      <c r="D54" s="230"/>
      <c r="E54" s="634">
        <f t="shared" si="1"/>
        <v>0</v>
      </c>
      <c r="F54" s="634">
        <f>IF(Table145[[#This Row],[Daily Vaccination
(vials)]]&gt;J53+Table145[[#This Row],[Problematic 
Vaccine 
Quantity]],IF(Table145[[#This Row],[Daily Vaccination
(vials)]]&gt;$I$26+J53,2*$I$26,$I$26),0)</f>
        <v>0</v>
      </c>
      <c r="G54" s="229">
        <f xml:space="preserve"> E54+G53-F54-Table145[[#This Row],[Outbound 20 clinics
(vials)]]</f>
        <v>3900</v>
      </c>
      <c r="H54" s="229">
        <f t="shared" si="6"/>
        <v>0</v>
      </c>
      <c r="I54" s="229">
        <f t="shared" si="5"/>
        <v>107</v>
      </c>
      <c r="J54" s="229">
        <f>J53+Table145[[#This Row],[ULT Consumption
(vials)]]-Table145[[#This Row],[Daily Vaccination
(vials)]]+Table145[[#This Row],[Problematic 
Vaccine 
Quantity]]</f>
        <v>319</v>
      </c>
      <c r="K54" s="229">
        <f>Table145[[#This Row],[ULT Ending Inventory 
(-75 deg C) (vials)]]+Table145[[#This Row],[Thawed Ending Inventory
(2-8 deg C) (vials)]]</f>
        <v>4219</v>
      </c>
      <c r="L54" s="229">
        <f t="shared" si="2"/>
        <v>100</v>
      </c>
      <c r="M54" s="229">
        <f t="shared" si="3"/>
        <v>10000</v>
      </c>
      <c r="N54" s="229">
        <f t="shared" si="0"/>
        <v>200</v>
      </c>
      <c r="O54" s="229" t="str">
        <f>IF(Table145[[#This Row],[Problematic 
Vaccine 
Quantity]]&gt;0, "YES","NO")</f>
        <v>NO</v>
      </c>
      <c r="P54" s="229">
        <v>0</v>
      </c>
      <c r="Q54" s="229">
        <f>Q53+(Table145[[#This Row],[Daily Vaccination
(vials)]]+Table145[[#This Row],[Outbound 20 clinics
(vials)]])*5</f>
        <v>21520</v>
      </c>
      <c r="R54" s="229"/>
      <c r="T54" s="735" t="s">
        <v>507</v>
      </c>
      <c r="U54" s="736"/>
      <c r="V54" s="737" t="s">
        <v>502</v>
      </c>
      <c r="W54" s="737"/>
      <c r="X54" s="737"/>
      <c r="Y54" s="737"/>
      <c r="Z54" s="737"/>
      <c r="AA54" s="737"/>
      <c r="AB54" s="737"/>
      <c r="AD54" s="309" t="s">
        <v>732</v>
      </c>
      <c r="AE54" s="309"/>
      <c r="AP54" s="299"/>
      <c r="AQ54" s="299"/>
      <c r="AR54" s="299"/>
      <c r="AS54" s="299"/>
      <c r="AT54" s="299"/>
      <c r="AU54" s="299"/>
      <c r="AV54" s="306"/>
      <c r="AZ54" s="6"/>
      <c r="BA54" s="6"/>
      <c r="BB54" s="6"/>
      <c r="BC54" s="6"/>
      <c r="BG54" s="249" t="s">
        <v>724</v>
      </c>
      <c r="BH54" s="331">
        <v>4875</v>
      </c>
      <c r="BI54" t="s">
        <v>341</v>
      </c>
    </row>
    <row r="55" spans="3:66" ht="57.6" x14ac:dyDescent="0.3">
      <c r="C55" s="230" t="s">
        <v>475</v>
      </c>
      <c r="D55" s="230"/>
      <c r="E55" s="634">
        <f t="shared" si="1"/>
        <v>0</v>
      </c>
      <c r="F55" s="634">
        <f>IF(Table145[[#This Row],[Daily Vaccination
(vials)]]&gt;J54+Table145[[#This Row],[Problematic 
Vaccine 
Quantity]],IF(Table145[[#This Row],[Daily Vaccination
(vials)]]&gt;$I$26+J54,2*$I$26,$I$26),0)</f>
        <v>0</v>
      </c>
      <c r="G55" s="229">
        <f xml:space="preserve"> E55+G54-F55-Table145[[#This Row],[Outbound 20 clinics
(vials)]]</f>
        <v>3900</v>
      </c>
      <c r="H55" s="229">
        <f t="shared" si="6"/>
        <v>0</v>
      </c>
      <c r="I55" s="229">
        <f t="shared" si="5"/>
        <v>107</v>
      </c>
      <c r="J55" s="229">
        <f>J54+Table145[[#This Row],[ULT Consumption
(vials)]]-Table145[[#This Row],[Daily Vaccination
(vials)]]+Table145[[#This Row],[Problematic 
Vaccine 
Quantity]]</f>
        <v>212</v>
      </c>
      <c r="K55" s="229">
        <f>Table145[[#This Row],[ULT Ending Inventory 
(-75 deg C) (vials)]]+Table145[[#This Row],[Thawed Ending Inventory
(2-8 deg C) (vials)]]</f>
        <v>4112</v>
      </c>
      <c r="L55" s="229">
        <f t="shared" si="2"/>
        <v>100</v>
      </c>
      <c r="M55" s="229">
        <f t="shared" si="3"/>
        <v>10000</v>
      </c>
      <c r="N55" s="229">
        <f t="shared" si="0"/>
        <v>200</v>
      </c>
      <c r="O55" s="229" t="str">
        <f>IF(Table145[[#This Row],[Problematic 
Vaccine 
Quantity]]&gt;0, "YES","NO")</f>
        <v>NO</v>
      </c>
      <c r="P55" s="229">
        <v>0</v>
      </c>
      <c r="Q55" s="229">
        <f>Q54+(Table145[[#This Row],[Daily Vaccination
(vials)]]+Table145[[#This Row],[Outbound 20 clinics
(vials)]])*5</f>
        <v>22055</v>
      </c>
      <c r="R55" s="229"/>
      <c r="T55" s="738" t="s">
        <v>68</v>
      </c>
      <c r="U55" s="738" t="s">
        <v>420</v>
      </c>
      <c r="V55" s="739" t="s">
        <v>409</v>
      </c>
      <c r="W55" s="739" t="s">
        <v>302</v>
      </c>
      <c r="X55" s="738" t="s">
        <v>438</v>
      </c>
      <c r="Y55" s="738" t="s">
        <v>511</v>
      </c>
      <c r="Z55" s="738" t="s">
        <v>436</v>
      </c>
      <c r="AA55" s="738" t="s">
        <v>437</v>
      </c>
      <c r="AB55" s="738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31" t="s">
        <v>451</v>
      </c>
      <c r="AQ55" s="931"/>
      <c r="AS55" s="37">
        <f>AR57/5</f>
        <v>107</v>
      </c>
      <c r="AV55" s="932" t="s">
        <v>521</v>
      </c>
      <c r="AW55" s="931"/>
      <c r="AZ55" s="933" t="s">
        <v>729</v>
      </c>
      <c r="BA55" s="934"/>
      <c r="BB55" s="6" t="s">
        <v>385</v>
      </c>
      <c r="BC55" s="6">
        <f>975*5</f>
        <v>4875</v>
      </c>
      <c r="BE55" s="932" t="s">
        <v>722</v>
      </c>
      <c r="BF55" s="931"/>
      <c r="BG55" s="249" t="s">
        <v>532</v>
      </c>
      <c r="BH55" s="331">
        <v>4875</v>
      </c>
      <c r="BI55" t="s">
        <v>341</v>
      </c>
      <c r="BJ55" s="331">
        <f>BH50*BH51+BJ53</f>
        <v>216</v>
      </c>
      <c r="BK55" t="s">
        <v>435</v>
      </c>
      <c r="BN55" t="s">
        <v>585</v>
      </c>
    </row>
    <row r="56" spans="3:66" ht="43.2" x14ac:dyDescent="0.3">
      <c r="C56" s="230" t="s">
        <v>476</v>
      </c>
      <c r="D56" s="230"/>
      <c r="E56" s="634">
        <f t="shared" si="1"/>
        <v>0</v>
      </c>
      <c r="F56" s="634">
        <f>IF(Table145[[#This Row],[Daily Vaccination
(vials)]]&gt;J55+Table145[[#This Row],[Problematic 
Vaccine 
Quantity]],IF(Table145[[#This Row],[Daily Vaccination
(vials)]]&gt;$I$26+J55,2*$I$26,$I$26),0)</f>
        <v>0</v>
      </c>
      <c r="G56" s="229">
        <f xml:space="preserve"> E56+G55-F56-Table145[[#This Row],[Outbound 20 clinics
(vials)]]</f>
        <v>3900</v>
      </c>
      <c r="H56" s="229">
        <f t="shared" si="6"/>
        <v>0</v>
      </c>
      <c r="I56" s="229">
        <f t="shared" si="5"/>
        <v>107</v>
      </c>
      <c r="J56" s="229">
        <f>J55+Table145[[#This Row],[ULT Consumption
(vials)]]-Table145[[#This Row],[Daily Vaccination
(vials)]]+Table145[[#This Row],[Problematic 
Vaccine 
Quantity]]</f>
        <v>105</v>
      </c>
      <c r="K56" s="229">
        <f>Table145[[#This Row],[ULT Ending Inventory 
(-75 deg C) (vials)]]+Table145[[#This Row],[Thawed Ending Inventory
(2-8 deg C) (vials)]]</f>
        <v>4005</v>
      </c>
      <c r="L56" s="229">
        <f t="shared" si="2"/>
        <v>100</v>
      </c>
      <c r="M56" s="229">
        <f t="shared" si="3"/>
        <v>10000</v>
      </c>
      <c r="N56" s="229">
        <f t="shared" si="0"/>
        <v>200</v>
      </c>
      <c r="O56" s="229" t="str">
        <f>IF(Table145[[#This Row],[Problematic 
Vaccine 
Quantity]]&gt;0, "YES","NO")</f>
        <v>NO</v>
      </c>
      <c r="P56" s="229">
        <v>0</v>
      </c>
      <c r="Q56" s="229">
        <f>Q55+(Table145[[#This Row],[Daily Vaccination
(vials)]]+Table145[[#This Row],[Outbound 20 clinics
(vials)]])*5</f>
        <v>22590</v>
      </c>
      <c r="R56" s="229"/>
      <c r="T56" s="740" t="s">
        <v>414</v>
      </c>
      <c r="U56" s="935">
        <v>44186</v>
      </c>
      <c r="V56" s="741" t="s">
        <v>410</v>
      </c>
      <c r="W56" s="741" t="s">
        <v>10</v>
      </c>
      <c r="X56" s="741"/>
      <c r="Y56" s="741"/>
      <c r="Z56" s="742">
        <v>4</v>
      </c>
      <c r="AA56" s="741"/>
      <c r="AB56" s="741" t="s">
        <v>435</v>
      </c>
      <c r="AD56" s="311" t="s">
        <v>414</v>
      </c>
      <c r="AE56" s="937">
        <v>44186</v>
      </c>
      <c r="AF56" s="312" t="s">
        <v>411</v>
      </c>
      <c r="AG56" s="312" t="s">
        <v>730</v>
      </c>
      <c r="AH56" s="310"/>
      <c r="AI56" s="310"/>
      <c r="AJ56" s="310"/>
      <c r="AK56" s="326">
        <v>800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739" t="s">
        <v>486</v>
      </c>
      <c r="AV56" s="69" t="s">
        <v>68</v>
      </c>
      <c r="AW56" s="69" t="s">
        <v>420</v>
      </c>
      <c r="AX56" s="318" t="s">
        <v>528</v>
      </c>
      <c r="AZ56" s="757" t="s">
        <v>420</v>
      </c>
      <c r="BA56" s="757" t="s">
        <v>292</v>
      </c>
      <c r="BB56" s="758" t="s">
        <v>523</v>
      </c>
      <c r="BC56" s="757" t="s">
        <v>406</v>
      </c>
      <c r="BE56" s="324" t="s">
        <v>420</v>
      </c>
      <c r="BF56" s="323" t="s">
        <v>682</v>
      </c>
      <c r="BG56" s="323" t="s">
        <v>723</v>
      </c>
      <c r="BH56" s="739" t="s">
        <v>490</v>
      </c>
      <c r="BI56" s="324" t="s">
        <v>406</v>
      </c>
      <c r="BK56" s="37"/>
    </row>
    <row r="57" spans="3:66" x14ac:dyDescent="0.3">
      <c r="C57" s="230" t="s">
        <v>477</v>
      </c>
      <c r="D57" s="230"/>
      <c r="E57" s="634">
        <f t="shared" si="1"/>
        <v>0</v>
      </c>
      <c r="F57" s="634">
        <f>IF(Table145[[#This Row],[Daily Vaccination
(vials)]]&gt;J56+Table145[[#This Row],[Problematic 
Vaccine 
Quantity]],IF(Table145[[#This Row],[Daily Vaccination
(vials)]]&gt;$I$26+J56,2*$I$26,$I$26),0)</f>
        <v>975</v>
      </c>
      <c r="G57" s="229">
        <f xml:space="preserve"> E57+G56-F57-Table145[[#This Row],[Outbound 20 clinics
(vials)]]</f>
        <v>2925</v>
      </c>
      <c r="H57" s="229">
        <f t="shared" si="6"/>
        <v>0</v>
      </c>
      <c r="I57" s="229">
        <f t="shared" si="5"/>
        <v>107</v>
      </c>
      <c r="J57" s="229">
        <f>J56+Table145[[#This Row],[ULT Consumption
(vials)]]-Table145[[#This Row],[Daily Vaccination
(vials)]]+Table145[[#This Row],[Problematic 
Vaccine 
Quantity]]</f>
        <v>973</v>
      </c>
      <c r="K57" s="229">
        <f>Table145[[#This Row],[ULT Ending Inventory 
(-75 deg C) (vials)]]+Table145[[#This Row],[Thawed Ending Inventory
(2-8 deg C) (vials)]]</f>
        <v>3898</v>
      </c>
      <c r="L57" s="229">
        <f t="shared" si="2"/>
        <v>100</v>
      </c>
      <c r="M57" s="229">
        <f t="shared" si="3"/>
        <v>10000</v>
      </c>
      <c r="N57" s="229">
        <f t="shared" si="0"/>
        <v>200</v>
      </c>
      <c r="O57" s="229" t="str">
        <f>IF(Table145[[#This Row],[Problematic 
Vaccine 
Quantity]]&gt;0, "YES","NO")</f>
        <v>NO</v>
      </c>
      <c r="P57" s="229">
        <v>0</v>
      </c>
      <c r="Q57" s="229">
        <f>Q56+(Table145[[#This Row],[Daily Vaccination
(vials)]]+Table145[[#This Row],[Outbound 20 clinics
(vials)]])*5</f>
        <v>23125</v>
      </c>
      <c r="R57" s="229"/>
      <c r="T57" s="741"/>
      <c r="U57" s="929"/>
      <c r="V57" s="741" t="s">
        <v>424</v>
      </c>
      <c r="W57" s="741" t="s">
        <v>11</v>
      </c>
      <c r="X57" s="741"/>
      <c r="Y57" s="741"/>
      <c r="Z57" s="742">
        <v>3</v>
      </c>
      <c r="AA57" s="741"/>
      <c r="AB57" s="741" t="s">
        <v>435</v>
      </c>
      <c r="AD57" s="310"/>
      <c r="AE57" s="938"/>
      <c r="AF57" s="313" t="s">
        <v>410</v>
      </c>
      <c r="AG57" s="313" t="s">
        <v>731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45">
        <f>'Indv Hosp fcast_2_10'!M25</f>
        <v>535</v>
      </c>
      <c r="AS57" s="327">
        <f>AR57/4875*975</f>
        <v>107</v>
      </c>
      <c r="AT57" s="756">
        <f>AS57/975</f>
        <v>0.10974358974358975</v>
      </c>
      <c r="AV57" s="310" t="s">
        <v>452</v>
      </c>
      <c r="AW57" s="328" t="s">
        <v>489</v>
      </c>
      <c r="AX57" s="71">
        <v>0</v>
      </c>
      <c r="AZ57" s="759" t="s">
        <v>489</v>
      </c>
      <c r="BA57" s="760"/>
      <c r="BB57" s="760"/>
      <c r="BC57" s="761">
        <f>AL69</f>
        <v>723</v>
      </c>
      <c r="BE57" s="328" t="s">
        <v>489</v>
      </c>
      <c r="BF57" s="310"/>
      <c r="BG57" s="310"/>
      <c r="BH57" s="741"/>
      <c r="BI57" s="326">
        <f>BC57</f>
        <v>723</v>
      </c>
    </row>
    <row r="58" spans="3:66" ht="15" thickBot="1" x14ac:dyDescent="0.35">
      <c r="C58" s="230" t="s">
        <v>478</v>
      </c>
      <c r="D58" s="230"/>
      <c r="E58" s="634">
        <f t="shared" si="1"/>
        <v>0</v>
      </c>
      <c r="F58" s="634">
        <f>IF(Table145[[#This Row],[Daily Vaccination
(vials)]]&gt;J57+Table145[[#This Row],[Problematic 
Vaccine 
Quantity]],IF(Table145[[#This Row],[Daily Vaccination
(vials)]]&gt;$I$26+J57,2*$I$26,$I$26),0)</f>
        <v>0</v>
      </c>
      <c r="G58" s="229">
        <f xml:space="preserve"> E58+G57-F58-Table145[[#This Row],[Outbound 20 clinics
(vials)]]</f>
        <v>2925</v>
      </c>
      <c r="H58" s="229">
        <f t="shared" si="6"/>
        <v>0</v>
      </c>
      <c r="I58" s="229">
        <f t="shared" si="5"/>
        <v>107</v>
      </c>
      <c r="J58" s="229">
        <f>J57+Table145[[#This Row],[ULT Consumption
(vials)]]-Table145[[#This Row],[Daily Vaccination
(vials)]]+Table145[[#This Row],[Problematic 
Vaccine 
Quantity]]</f>
        <v>866</v>
      </c>
      <c r="K58" s="229">
        <f>Table145[[#This Row],[ULT Ending Inventory 
(-75 deg C) (vials)]]+Table145[[#This Row],[Thawed Ending Inventory
(2-8 deg C) (vials)]]</f>
        <v>3791</v>
      </c>
      <c r="L58" s="229">
        <f t="shared" si="2"/>
        <v>100</v>
      </c>
      <c r="M58" s="229">
        <f t="shared" si="3"/>
        <v>10000</v>
      </c>
      <c r="N58" s="229">
        <f t="shared" si="0"/>
        <v>200</v>
      </c>
      <c r="O58" s="229" t="str">
        <f>IF(Table145[[#This Row],[Problematic 
Vaccine 
Quantity]]&gt;0, "YES","NO")</f>
        <v>NO</v>
      </c>
      <c r="P58" s="229">
        <v>0</v>
      </c>
      <c r="Q58" s="229">
        <f>Q57+(Table145[[#This Row],[Daily Vaccination
(vials)]]+Table145[[#This Row],[Outbound 20 clinics
(vials)]])*5</f>
        <v>23660</v>
      </c>
      <c r="R58" s="229"/>
      <c r="T58" s="743"/>
      <c r="U58" s="936"/>
      <c r="V58" s="743"/>
      <c r="W58" s="743"/>
      <c r="X58" s="743"/>
      <c r="Y58" s="743"/>
      <c r="Z58" s="743"/>
      <c r="AA58" s="743">
        <f>Z56+Z57</f>
        <v>7</v>
      </c>
      <c r="AB58" s="743" t="s">
        <v>435</v>
      </c>
      <c r="AD58" s="317"/>
      <c r="AE58" s="939"/>
      <c r="AF58" s="317"/>
      <c r="AG58" s="317"/>
      <c r="AH58" s="317"/>
      <c r="AI58" s="317"/>
      <c r="AJ58" s="317"/>
      <c r="AK58" s="317"/>
      <c r="AL58" s="317">
        <f>AK56+AK57</f>
        <v>880</v>
      </c>
      <c r="AM58" s="317" t="s">
        <v>341</v>
      </c>
      <c r="AP58" s="310"/>
      <c r="AQ58" s="328" t="s">
        <v>454</v>
      </c>
      <c r="AR58" s="745">
        <f t="shared" ref="AR58:AR87" si="7">AR57</f>
        <v>535</v>
      </c>
      <c r="AS58" s="71">
        <f>AR58/4875*975</f>
        <v>107</v>
      </c>
      <c r="AT58" s="756">
        <f>AS58/975</f>
        <v>0.10974358974358975</v>
      </c>
      <c r="AV58" s="310"/>
      <c r="AW58" s="328" t="s">
        <v>454</v>
      </c>
      <c r="AX58" s="71">
        <v>0</v>
      </c>
      <c r="AZ58" s="759" t="s">
        <v>454</v>
      </c>
      <c r="BA58" s="760">
        <v>0</v>
      </c>
      <c r="BB58" s="760">
        <f>AS58</f>
        <v>107</v>
      </c>
      <c r="BC58" s="760">
        <f>BA58+BC57-BB58</f>
        <v>616</v>
      </c>
      <c r="BE58" s="328" t="s">
        <v>454</v>
      </c>
      <c r="BF58">
        <v>0</v>
      </c>
      <c r="BG58" s="310">
        <f>AS58</f>
        <v>107</v>
      </c>
      <c r="BH58" s="741">
        <f>AX58</f>
        <v>0</v>
      </c>
      <c r="BI58" s="310">
        <f>BF58+BI57-BG58-BH58</f>
        <v>616</v>
      </c>
    </row>
    <row r="59" spans="3:66" ht="15" thickTop="1" x14ac:dyDescent="0.3">
      <c r="C59" s="230" t="s">
        <v>479</v>
      </c>
      <c r="D59" s="230"/>
      <c r="E59" s="634">
        <f t="shared" si="1"/>
        <v>0</v>
      </c>
      <c r="F59" s="634">
        <f>IF(Table145[[#This Row],[Daily Vaccination
(vials)]]&gt;J58+Table145[[#This Row],[Problematic 
Vaccine 
Quantity]],IF(Table145[[#This Row],[Daily Vaccination
(vials)]]&gt;$I$26+J58,2*$I$26,$I$26),0)</f>
        <v>0</v>
      </c>
      <c r="G59" s="229">
        <f xml:space="preserve"> E59+G58-F59-Table145[[#This Row],[Outbound 20 clinics
(vials)]]</f>
        <v>2925</v>
      </c>
      <c r="H59" s="229">
        <f t="shared" si="6"/>
        <v>0</v>
      </c>
      <c r="I59" s="229">
        <f t="shared" si="5"/>
        <v>107</v>
      </c>
      <c r="J59" s="229">
        <f>J58+Table145[[#This Row],[ULT Consumption
(vials)]]-Table145[[#This Row],[Daily Vaccination
(vials)]]+Table145[[#This Row],[Problematic 
Vaccine 
Quantity]]</f>
        <v>759</v>
      </c>
      <c r="K59" s="229">
        <f>Table145[[#This Row],[ULT Ending Inventory 
(-75 deg C) (vials)]]+Table145[[#This Row],[Thawed Ending Inventory
(2-8 deg C) (vials)]]</f>
        <v>3684</v>
      </c>
      <c r="L59" s="229">
        <f t="shared" si="2"/>
        <v>100</v>
      </c>
      <c r="M59" s="229">
        <f t="shared" si="3"/>
        <v>10000</v>
      </c>
      <c r="N59" s="229">
        <f t="shared" si="0"/>
        <v>200</v>
      </c>
      <c r="O59" s="229" t="str">
        <f>IF(Table145[[#This Row],[Problematic 
Vaccine 
Quantity]]&gt;0, "YES","NO")</f>
        <v>NO</v>
      </c>
      <c r="P59" s="229">
        <v>0</v>
      </c>
      <c r="Q59" s="229">
        <f>Q58+(Table145[[#This Row],[Daily Vaccination
(vials)]]+Table145[[#This Row],[Outbound 20 clinics
(vials)]])*5</f>
        <v>24195</v>
      </c>
      <c r="R59" s="229"/>
      <c r="T59" s="744"/>
      <c r="U59" s="928">
        <v>44187</v>
      </c>
      <c r="V59" s="744" t="str">
        <f>Y77</f>
        <v>20 days</v>
      </c>
      <c r="W59" s="744" t="str">
        <f>Z77</f>
        <v>C</v>
      </c>
      <c r="X59" s="744">
        <v>0</v>
      </c>
      <c r="Y59" s="744"/>
      <c r="Z59" s="744"/>
      <c r="AA59" s="744"/>
      <c r="AB59" s="744" t="s">
        <v>435</v>
      </c>
      <c r="AD59" s="744"/>
      <c r="AE59" s="749">
        <v>44187</v>
      </c>
      <c r="AF59" s="744" t="str">
        <f>Y79</f>
        <v>3 days</v>
      </c>
      <c r="AG59" s="744" t="str">
        <f>Z79</f>
        <v>B</v>
      </c>
      <c r="AH59" s="744" t="e">
        <f>Y62*#REF!</f>
        <v>#REF!</v>
      </c>
      <c r="AI59" s="744"/>
      <c r="AJ59" s="744"/>
      <c r="AK59" s="744"/>
      <c r="AL59" s="744"/>
      <c r="AM59" s="744" t="s">
        <v>341</v>
      </c>
      <c r="AP59" s="310"/>
      <c r="AQ59" s="328" t="s">
        <v>455</v>
      </c>
      <c r="AR59" s="745">
        <f t="shared" si="7"/>
        <v>535</v>
      </c>
      <c r="AS59" s="71">
        <f t="shared" ref="AS59:AS87" si="8">AR59/4875*975</f>
        <v>107</v>
      </c>
      <c r="AT59" s="756">
        <f t="shared" ref="AT59:AT87" si="9">AS59/975</f>
        <v>0.10974358974358975</v>
      </c>
      <c r="AV59" s="310"/>
      <c r="AW59" s="328" t="s">
        <v>455</v>
      </c>
      <c r="AX59" s="71">
        <v>0</v>
      </c>
      <c r="AZ59" s="759" t="s">
        <v>455</v>
      </c>
      <c r="BA59" s="760">
        <v>0</v>
      </c>
      <c r="BB59" s="760">
        <f t="shared" ref="BB59:BB87" si="10">AS59</f>
        <v>107</v>
      </c>
      <c r="BC59" s="760">
        <f t="shared" ref="BC59:BC87" si="11">BA59+BC58-BB59</f>
        <v>509</v>
      </c>
      <c r="BE59" s="328" t="s">
        <v>455</v>
      </c>
      <c r="BF59">
        <v>0</v>
      </c>
      <c r="BG59" s="310">
        <f t="shared" ref="BG59:BG87" si="12">AS59</f>
        <v>107</v>
      </c>
      <c r="BH59" s="741">
        <f t="shared" ref="BH59:BH87" si="13">AX59</f>
        <v>0</v>
      </c>
      <c r="BI59" s="310">
        <f t="shared" ref="BI59:BI87" si="14">BF59+BI58-BG59-BH59</f>
        <v>509</v>
      </c>
    </row>
    <row r="60" spans="3:66" x14ac:dyDescent="0.3">
      <c r="C60" s="230" t="s">
        <v>480</v>
      </c>
      <c r="D60" s="230"/>
      <c r="E60" s="634">
        <f t="shared" si="1"/>
        <v>0</v>
      </c>
      <c r="F60" s="634">
        <f>IF(Table145[[#This Row],[Daily Vaccination
(vials)]]&gt;J59+Table145[[#This Row],[Problematic 
Vaccine 
Quantity]],IF(Table145[[#This Row],[Daily Vaccination
(vials)]]&gt;$I$26+J59,2*$I$26,$I$26),0)</f>
        <v>0</v>
      </c>
      <c r="G60" s="229">
        <f xml:space="preserve"> E60+G59-F60-Table145[[#This Row],[Outbound 20 clinics
(vials)]]</f>
        <v>2925</v>
      </c>
      <c r="H60" s="229">
        <f t="shared" si="6"/>
        <v>0</v>
      </c>
      <c r="I60" s="229">
        <f t="shared" si="5"/>
        <v>107</v>
      </c>
      <c r="J60" s="229">
        <f>J59+Table145[[#This Row],[ULT Consumption
(vials)]]-Table145[[#This Row],[Daily Vaccination
(vials)]]+Table145[[#This Row],[Problematic 
Vaccine 
Quantity]]</f>
        <v>652</v>
      </c>
      <c r="K60" s="229">
        <f>Table145[[#This Row],[ULT Ending Inventory 
(-75 deg C) (vials)]]+Table145[[#This Row],[Thawed Ending Inventory
(2-8 deg C) (vials)]]</f>
        <v>3577</v>
      </c>
      <c r="L60" s="229">
        <f t="shared" si="2"/>
        <v>100</v>
      </c>
      <c r="M60" s="229">
        <f t="shared" si="3"/>
        <v>10000</v>
      </c>
      <c r="N60" s="229">
        <f t="shared" si="0"/>
        <v>200</v>
      </c>
      <c r="O60" s="229" t="str">
        <f>IF(Table145[[#This Row],[Problematic 
Vaccine 
Quantity]]&gt;0, "YES","NO")</f>
        <v>NO</v>
      </c>
      <c r="P60" s="229">
        <v>0</v>
      </c>
      <c r="Q60" s="229">
        <f>Q59+(Table145[[#This Row],[Daily Vaccination
(vials)]]+Table145[[#This Row],[Outbound 20 clinics
(vials)]])*5</f>
        <v>24730</v>
      </c>
      <c r="R60" s="229"/>
      <c r="T60" s="741"/>
      <c r="U60" s="929"/>
      <c r="V60" s="741" t="str">
        <f>Y78</f>
        <v xml:space="preserve">18 Days </v>
      </c>
      <c r="W60" s="741" t="str">
        <f>Z78</f>
        <v>D</v>
      </c>
      <c r="X60" s="741">
        <v>0</v>
      </c>
      <c r="Y60" s="741"/>
      <c r="Z60" s="741"/>
      <c r="AA60" s="741"/>
      <c r="AB60" s="741" t="s">
        <v>435</v>
      </c>
      <c r="AD60" s="310"/>
      <c r="AE60" s="750"/>
      <c r="AF60" s="310"/>
      <c r="AG60" s="310"/>
      <c r="AH60" s="310"/>
      <c r="AI60" s="310"/>
      <c r="AJ60" s="310"/>
      <c r="AK60" s="310"/>
      <c r="AL60" s="310">
        <f>AL58</f>
        <v>880</v>
      </c>
      <c r="AM60" s="310" t="s">
        <v>341</v>
      </c>
      <c r="AP60" s="310"/>
      <c r="AQ60" s="328" t="s">
        <v>456</v>
      </c>
      <c r="AR60" s="745">
        <f t="shared" si="7"/>
        <v>535</v>
      </c>
      <c r="AS60" s="71">
        <f t="shared" si="8"/>
        <v>107</v>
      </c>
      <c r="AT60" s="756">
        <f t="shared" si="9"/>
        <v>0.10974358974358975</v>
      </c>
      <c r="AV60" s="310"/>
      <c r="AW60" s="328" t="s">
        <v>456</v>
      </c>
      <c r="AX60" s="71">
        <v>0</v>
      </c>
      <c r="AZ60" s="759" t="s">
        <v>456</v>
      </c>
      <c r="BA60" s="760">
        <f t="shared" ref="BA60:BA87" si="15">IF(BB60&gt;BC59, IF(BB60&gt; BC59+$BC$55, 2*$BC$55,$BC$55),0)</f>
        <v>0</v>
      </c>
      <c r="BB60" s="760">
        <f t="shared" si="10"/>
        <v>107</v>
      </c>
      <c r="BC60" s="760">
        <f t="shared" si="11"/>
        <v>402</v>
      </c>
      <c r="BE60" s="328" t="s">
        <v>456</v>
      </c>
      <c r="BF60">
        <v>0</v>
      </c>
      <c r="BG60" s="310">
        <f t="shared" si="12"/>
        <v>107</v>
      </c>
      <c r="BH60" s="741">
        <f t="shared" si="13"/>
        <v>0</v>
      </c>
      <c r="BI60" s="310">
        <f t="shared" si="14"/>
        <v>402</v>
      </c>
    </row>
    <row r="61" spans="3:66" x14ac:dyDescent="0.3">
      <c r="C61" s="230" t="s">
        <v>481</v>
      </c>
      <c r="D61" s="230"/>
      <c r="E61" s="634">
        <f t="shared" si="1"/>
        <v>0</v>
      </c>
      <c r="F61" s="634">
        <f>IF(Table145[[#This Row],[Daily Vaccination
(vials)]]&gt;J60+Table145[[#This Row],[Problematic 
Vaccine 
Quantity]],IF(Table145[[#This Row],[Daily Vaccination
(vials)]]&gt;$I$26+J60,2*$I$26,$I$26),0)</f>
        <v>0</v>
      </c>
      <c r="G61" s="229">
        <f xml:space="preserve"> E61+G60-F61-Table145[[#This Row],[Outbound 20 clinics
(vials)]]</f>
        <v>2925</v>
      </c>
      <c r="H61" s="229">
        <f t="shared" si="6"/>
        <v>0</v>
      </c>
      <c r="I61" s="229">
        <f t="shared" si="5"/>
        <v>107</v>
      </c>
      <c r="J61" s="229">
        <f>J60+Table145[[#This Row],[ULT Consumption
(vials)]]-Table145[[#This Row],[Daily Vaccination
(vials)]]+Table145[[#This Row],[Problematic 
Vaccine 
Quantity]]</f>
        <v>545</v>
      </c>
      <c r="K61" s="229">
        <f>Table145[[#This Row],[ULT Ending Inventory 
(-75 deg C) (vials)]]+Table145[[#This Row],[Thawed Ending Inventory
(2-8 deg C) (vials)]]</f>
        <v>3470</v>
      </c>
      <c r="L61" s="229">
        <f t="shared" si="2"/>
        <v>100</v>
      </c>
      <c r="M61" s="229">
        <f t="shared" si="3"/>
        <v>10000</v>
      </c>
      <c r="N61" s="229">
        <f t="shared" si="0"/>
        <v>200</v>
      </c>
      <c r="O61" s="229" t="str">
        <f>IF(Table145[[#This Row],[Problematic 
Vaccine 
Quantity]]&gt;0, "YES","NO")</f>
        <v>NO</v>
      </c>
      <c r="P61" s="229">
        <v>0</v>
      </c>
      <c r="Q61" s="229">
        <f>Q60+(Table145[[#This Row],[Daily Vaccination
(vials)]]+Table145[[#This Row],[Outbound 20 clinics
(vials)]])*5</f>
        <v>25265</v>
      </c>
      <c r="R61" s="229"/>
      <c r="T61" s="741"/>
      <c r="U61" s="929"/>
      <c r="V61" s="741"/>
      <c r="W61" s="741"/>
      <c r="X61" s="741"/>
      <c r="Y61" s="741"/>
      <c r="Z61" s="741"/>
      <c r="AA61" s="741">
        <f>AA58+X60+X59</f>
        <v>7</v>
      </c>
      <c r="AB61" s="741" t="s">
        <v>435</v>
      </c>
      <c r="AD61" s="310"/>
      <c r="AE61" s="750"/>
      <c r="AF61" s="313" t="str">
        <f>Y92</f>
        <v>0 day</v>
      </c>
      <c r="AG61" s="313" t="s">
        <v>731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45">
        <f t="shared" si="7"/>
        <v>535</v>
      </c>
      <c r="AS61" s="71">
        <f t="shared" si="8"/>
        <v>107</v>
      </c>
      <c r="AT61" s="756">
        <f t="shared" si="9"/>
        <v>0.10974358974358975</v>
      </c>
      <c r="AV61" s="310"/>
      <c r="AW61" s="328" t="s">
        <v>457</v>
      </c>
      <c r="AX61" s="71">
        <v>0</v>
      </c>
      <c r="AZ61" s="759" t="s">
        <v>457</v>
      </c>
      <c r="BA61" s="760">
        <f t="shared" si="15"/>
        <v>0</v>
      </c>
      <c r="BB61" s="760">
        <f t="shared" si="10"/>
        <v>107</v>
      </c>
      <c r="BC61" s="760">
        <f t="shared" si="11"/>
        <v>295</v>
      </c>
      <c r="BE61" s="328" t="s">
        <v>457</v>
      </c>
      <c r="BF61">
        <v>0</v>
      </c>
      <c r="BG61" s="310">
        <f t="shared" si="12"/>
        <v>107</v>
      </c>
      <c r="BH61" s="741">
        <f t="shared" si="13"/>
        <v>0</v>
      </c>
      <c r="BI61" s="310">
        <f t="shared" si="14"/>
        <v>295</v>
      </c>
    </row>
    <row r="62" spans="3:66" x14ac:dyDescent="0.3">
      <c r="C62" s="230" t="s">
        <v>510</v>
      </c>
      <c r="D62" s="230"/>
      <c r="E62" s="634">
        <f t="shared" si="1"/>
        <v>0</v>
      </c>
      <c r="F62" s="634">
        <f>IF(Table145[[#This Row],[Daily Vaccination
(vials)]]&gt;J61+Table145[[#This Row],[Problematic 
Vaccine 
Quantity]],IF(Table145[[#This Row],[Daily Vaccination
(vials)]]&gt;$I$26+J61,2*$I$26,$I$26),0)</f>
        <v>0</v>
      </c>
      <c r="G62" s="229">
        <f xml:space="preserve"> E62+G61-F62-Table145[[#This Row],[Outbound 20 clinics
(vials)]]</f>
        <v>2925</v>
      </c>
      <c r="H62" s="229">
        <f t="shared" si="6"/>
        <v>0</v>
      </c>
      <c r="I62" s="229">
        <f t="shared" si="5"/>
        <v>107</v>
      </c>
      <c r="J62" s="229">
        <f>J61+Table145[[#This Row],[ULT Consumption
(vials)]]-Table145[[#This Row],[Daily Vaccination
(vials)]]+Table145[[#This Row],[Problematic 
Vaccine 
Quantity]]</f>
        <v>438</v>
      </c>
      <c r="K62" s="229">
        <f>Table145[[#This Row],[ULT Ending Inventory 
(-75 deg C) (vials)]]+Table145[[#This Row],[Thawed Ending Inventory
(2-8 deg C) (vials)]]</f>
        <v>3363</v>
      </c>
      <c r="L62" s="229">
        <f t="shared" si="2"/>
        <v>100</v>
      </c>
      <c r="M62" s="229">
        <f t="shared" si="3"/>
        <v>10000</v>
      </c>
      <c r="N62" s="229">
        <f t="shared" si="0"/>
        <v>200</v>
      </c>
      <c r="O62" s="229" t="str">
        <f>IF(Table145[[#This Row],[Problematic 
Vaccine 
Quantity]]&gt;0, "YES","NO")</f>
        <v>NO</v>
      </c>
      <c r="P62" s="229">
        <v>0</v>
      </c>
      <c r="Q62" s="229">
        <f>Q61+(Table145[[#This Row],[Daily Vaccination
(vials)]]+Table145[[#This Row],[Outbound 20 clinics
(vials)]])*5</f>
        <v>25800</v>
      </c>
      <c r="R62" s="229"/>
      <c r="T62" s="741"/>
      <c r="U62" s="929"/>
      <c r="V62" s="741" t="str">
        <f>Y84</f>
        <v>4 days</v>
      </c>
      <c r="W62" s="741" t="str">
        <f>Z84</f>
        <v>B</v>
      </c>
      <c r="X62" s="741"/>
      <c r="Y62" s="741">
        <f>W84</f>
        <v>1</v>
      </c>
      <c r="Z62" s="741"/>
      <c r="AA62" s="741"/>
      <c r="AB62" s="741" t="s">
        <v>435</v>
      </c>
      <c r="AL62">
        <f>AL60-AJ61</f>
        <v>830</v>
      </c>
      <c r="AP62" s="310"/>
      <c r="AQ62" s="328" t="s">
        <v>458</v>
      </c>
      <c r="AR62" s="745">
        <f t="shared" si="7"/>
        <v>535</v>
      </c>
      <c r="AS62" s="71">
        <f t="shared" si="8"/>
        <v>107</v>
      </c>
      <c r="AT62" s="756">
        <f t="shared" si="9"/>
        <v>0.10974358974358975</v>
      </c>
      <c r="AV62" s="310"/>
      <c r="AW62" s="328" t="s">
        <v>458</v>
      </c>
      <c r="AX62" s="71">
        <v>0</v>
      </c>
      <c r="AZ62" s="759" t="s">
        <v>458</v>
      </c>
      <c r="BA62" s="760">
        <f t="shared" si="15"/>
        <v>0</v>
      </c>
      <c r="BB62" s="760">
        <f t="shared" si="10"/>
        <v>107</v>
      </c>
      <c r="BC62" s="760">
        <f t="shared" si="11"/>
        <v>188</v>
      </c>
      <c r="BE62" s="328" t="s">
        <v>458</v>
      </c>
      <c r="BF62">
        <v>0</v>
      </c>
      <c r="BG62" s="310">
        <f t="shared" si="12"/>
        <v>107</v>
      </c>
      <c r="BH62" s="741">
        <f t="shared" si="13"/>
        <v>0</v>
      </c>
      <c r="BI62" s="310">
        <f t="shared" si="14"/>
        <v>188</v>
      </c>
    </row>
    <row r="63" spans="3:66" x14ac:dyDescent="0.3">
      <c r="C63" s="294"/>
      <c r="D63" s="294"/>
      <c r="E63" s="229">
        <f>SUM(Table145[Replenishment
(vials)])+SUM(Table145[Problematic 
Vaccine 
Quantity])</f>
        <v>0</v>
      </c>
      <c r="F63" s="634"/>
      <c r="G63" s="634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741"/>
      <c r="U63" s="929"/>
      <c r="V63" s="741"/>
      <c r="W63" s="741"/>
      <c r="X63" s="741"/>
      <c r="Y63" s="741"/>
      <c r="Z63" s="741"/>
      <c r="AA63" s="741">
        <f>AA61-Y62</f>
        <v>6</v>
      </c>
      <c r="AB63" s="741" t="s">
        <v>435</v>
      </c>
      <c r="AF63" s="313" t="s">
        <v>727</v>
      </c>
      <c r="AG63" s="313" t="s">
        <v>731</v>
      </c>
      <c r="AH63" s="310"/>
      <c r="AI63" s="310"/>
      <c r="AJ63" s="310"/>
      <c r="AK63" s="310">
        <f>AK57-AJ61</f>
        <v>30</v>
      </c>
      <c r="AL63" s="310"/>
      <c r="AM63" s="310"/>
      <c r="AP63" s="310"/>
      <c r="AQ63" s="328" t="s">
        <v>459</v>
      </c>
      <c r="AR63" s="745">
        <f t="shared" si="7"/>
        <v>535</v>
      </c>
      <c r="AS63" s="71">
        <f t="shared" si="8"/>
        <v>107</v>
      </c>
      <c r="AT63" s="756">
        <f t="shared" si="9"/>
        <v>0.10974358974358975</v>
      </c>
      <c r="AV63" s="310"/>
      <c r="AW63" s="328" t="s">
        <v>459</v>
      </c>
      <c r="AX63" s="71">
        <v>0</v>
      </c>
      <c r="AZ63" s="759" t="s">
        <v>459</v>
      </c>
      <c r="BA63" s="760">
        <f t="shared" si="15"/>
        <v>0</v>
      </c>
      <c r="BB63" s="760">
        <f t="shared" si="10"/>
        <v>107</v>
      </c>
      <c r="BC63" s="760">
        <f t="shared" si="11"/>
        <v>81</v>
      </c>
      <c r="BE63" s="328" t="s">
        <v>459</v>
      </c>
      <c r="BF63">
        <v>0</v>
      </c>
      <c r="BG63" s="310">
        <f t="shared" si="12"/>
        <v>107</v>
      </c>
      <c r="BH63" s="741">
        <f t="shared" si="13"/>
        <v>0</v>
      </c>
      <c r="BI63" s="310">
        <f t="shared" si="14"/>
        <v>81</v>
      </c>
    </row>
    <row r="64" spans="3:66" x14ac:dyDescent="0.3">
      <c r="D64" t="s">
        <v>495</v>
      </c>
      <c r="E64" s="295"/>
      <c r="T64" s="741"/>
      <c r="U64" s="929"/>
      <c r="V64" s="741" t="s">
        <v>422</v>
      </c>
      <c r="W64" s="741" t="s">
        <v>10</v>
      </c>
      <c r="X64" s="741"/>
      <c r="Y64" s="741"/>
      <c r="Z64" s="741">
        <v>4</v>
      </c>
      <c r="AA64" s="741"/>
      <c r="AB64" s="741" t="s">
        <v>435</v>
      </c>
      <c r="AF64" s="312" t="s">
        <v>728</v>
      </c>
      <c r="AG64" s="312" t="s">
        <v>730</v>
      </c>
      <c r="AH64" s="310"/>
      <c r="AI64" s="310"/>
      <c r="AJ64" s="310"/>
      <c r="AK64" s="310">
        <f>AK56</f>
        <v>800</v>
      </c>
      <c r="AL64" s="310"/>
      <c r="AM64" s="310" t="s">
        <v>341</v>
      </c>
      <c r="AP64" s="310"/>
      <c r="AQ64" s="328" t="s">
        <v>460</v>
      </c>
      <c r="AR64" s="745">
        <f t="shared" si="7"/>
        <v>535</v>
      </c>
      <c r="AS64" s="71">
        <f t="shared" si="8"/>
        <v>107</v>
      </c>
      <c r="AT64" s="756">
        <f t="shared" si="9"/>
        <v>0.10974358974358975</v>
      </c>
      <c r="AV64" s="310"/>
      <c r="AW64" s="328" t="s">
        <v>460</v>
      </c>
      <c r="AX64" s="71">
        <v>0</v>
      </c>
      <c r="AZ64" s="759" t="s">
        <v>460</v>
      </c>
      <c r="BA64" s="760">
        <v>4875</v>
      </c>
      <c r="BB64" s="760">
        <f t="shared" si="10"/>
        <v>107</v>
      </c>
      <c r="BC64" s="760">
        <f t="shared" si="11"/>
        <v>4849</v>
      </c>
      <c r="BE64" s="328" t="s">
        <v>460</v>
      </c>
      <c r="BF64">
        <v>0</v>
      </c>
      <c r="BG64" s="310">
        <f t="shared" si="12"/>
        <v>107</v>
      </c>
      <c r="BH64" s="741">
        <f t="shared" si="13"/>
        <v>0</v>
      </c>
      <c r="BI64" s="310">
        <f t="shared" si="14"/>
        <v>-26</v>
      </c>
    </row>
    <row r="65" spans="5:61" x14ac:dyDescent="0.3">
      <c r="E65" s="295" t="s">
        <v>497</v>
      </c>
      <c r="T65" s="741"/>
      <c r="U65" s="929"/>
      <c r="V65" s="741" t="s">
        <v>425</v>
      </c>
      <c r="W65" s="741" t="s">
        <v>11</v>
      </c>
      <c r="X65" s="741"/>
      <c r="Y65" s="741"/>
      <c r="Z65" s="741">
        <v>2</v>
      </c>
      <c r="AA65" s="741"/>
      <c r="AB65" s="741" t="s">
        <v>435</v>
      </c>
      <c r="AD65" s="310"/>
      <c r="AE65" s="750"/>
      <c r="AF65" s="741" t="str">
        <f>Y85</f>
        <v>9 day</v>
      </c>
      <c r="AG65" s="741" t="s">
        <v>419</v>
      </c>
      <c r="AH65" s="741"/>
      <c r="AI65" s="741"/>
      <c r="AJ65" s="741"/>
      <c r="AK65" s="741">
        <f>AK57-AJ61</f>
        <v>30</v>
      </c>
      <c r="AL65" s="741"/>
      <c r="AM65" s="741"/>
      <c r="AP65" s="310"/>
      <c r="AQ65" s="328" t="s">
        <v>461</v>
      </c>
      <c r="AR65" s="745">
        <f t="shared" si="7"/>
        <v>535</v>
      </c>
      <c r="AS65" s="71">
        <f t="shared" si="8"/>
        <v>107</v>
      </c>
      <c r="AT65" s="756">
        <f t="shared" si="9"/>
        <v>0.10974358974358975</v>
      </c>
      <c r="AV65" s="310"/>
      <c r="AW65" s="328" t="s">
        <v>461</v>
      </c>
      <c r="AX65" s="71">
        <v>0</v>
      </c>
      <c r="AZ65" s="759" t="s">
        <v>461</v>
      </c>
      <c r="BA65" s="760">
        <v>0</v>
      </c>
      <c r="BB65" s="760">
        <f t="shared" si="10"/>
        <v>107</v>
      </c>
      <c r="BC65" s="760">
        <f t="shared" si="11"/>
        <v>4742</v>
      </c>
      <c r="BE65" s="328" t="s">
        <v>461</v>
      </c>
      <c r="BF65">
        <v>0</v>
      </c>
      <c r="BG65" s="310">
        <f t="shared" si="12"/>
        <v>107</v>
      </c>
      <c r="BH65" s="741">
        <f t="shared" si="13"/>
        <v>0</v>
      </c>
      <c r="BI65" s="310">
        <f t="shared" si="14"/>
        <v>-133</v>
      </c>
    </row>
    <row r="66" spans="5:61" x14ac:dyDescent="0.3">
      <c r="T66" s="741"/>
      <c r="U66" s="930"/>
      <c r="V66" s="741"/>
      <c r="W66" s="741"/>
      <c r="X66" s="741"/>
      <c r="Y66" s="741"/>
      <c r="Z66" s="741"/>
      <c r="AA66" s="741"/>
      <c r="AB66" s="741" t="s">
        <v>435</v>
      </c>
      <c r="AC66">
        <f>3*975</f>
        <v>2925</v>
      </c>
      <c r="AD66" s="310"/>
      <c r="AE66" s="750"/>
      <c r="AF66" s="313" t="s">
        <v>422</v>
      </c>
      <c r="AG66" s="313" t="s">
        <v>731</v>
      </c>
      <c r="AH66" s="310"/>
      <c r="AI66" s="310">
        <f>W85</f>
        <v>30</v>
      </c>
      <c r="AJ66" s="310"/>
      <c r="AK66" s="310"/>
      <c r="AL66" s="310"/>
      <c r="AM66" s="310"/>
      <c r="AP66" s="310"/>
      <c r="AQ66" s="328" t="s">
        <v>462</v>
      </c>
      <c r="AR66" s="745">
        <f t="shared" si="7"/>
        <v>535</v>
      </c>
      <c r="AS66" s="71">
        <f t="shared" si="8"/>
        <v>107</v>
      </c>
      <c r="AT66" s="756">
        <f t="shared" si="9"/>
        <v>0.10974358974358975</v>
      </c>
      <c r="AV66" s="310"/>
      <c r="AW66" s="328" t="s">
        <v>462</v>
      </c>
      <c r="AX66" s="71">
        <v>0</v>
      </c>
      <c r="AZ66" s="759" t="s">
        <v>462</v>
      </c>
      <c r="BA66" s="760">
        <f t="shared" si="15"/>
        <v>0</v>
      </c>
      <c r="BB66" s="760">
        <f t="shared" si="10"/>
        <v>107</v>
      </c>
      <c r="BC66" s="760">
        <f t="shared" si="11"/>
        <v>4635</v>
      </c>
      <c r="BE66" s="328" t="s">
        <v>462</v>
      </c>
      <c r="BF66">
        <v>0</v>
      </c>
      <c r="BG66" s="310">
        <f t="shared" si="12"/>
        <v>107</v>
      </c>
      <c r="BH66" s="741">
        <f t="shared" si="13"/>
        <v>0</v>
      </c>
      <c r="BI66" s="310">
        <f t="shared" si="14"/>
        <v>-240</v>
      </c>
    </row>
    <row r="67" spans="5:61" x14ac:dyDescent="0.3">
      <c r="P67" s="20"/>
      <c r="AD67" s="310"/>
      <c r="AE67" s="750"/>
      <c r="AF67" s="312" t="s">
        <v>728</v>
      </c>
      <c r="AG67" s="312" t="s">
        <v>730</v>
      </c>
      <c r="AH67" s="310"/>
      <c r="AI67" s="310">
        <f>W86</f>
        <v>77</v>
      </c>
      <c r="AJ67" s="310"/>
      <c r="AK67" s="310"/>
      <c r="AL67" s="310"/>
      <c r="AM67" s="310" t="s">
        <v>341</v>
      </c>
      <c r="AP67" s="310"/>
      <c r="AQ67" s="328" t="s">
        <v>463</v>
      </c>
      <c r="AR67" s="745">
        <f t="shared" si="7"/>
        <v>535</v>
      </c>
      <c r="AS67" s="71">
        <f t="shared" si="8"/>
        <v>107</v>
      </c>
      <c r="AT67" s="756">
        <f t="shared" si="9"/>
        <v>0.10974358974358975</v>
      </c>
      <c r="AV67" s="310"/>
      <c r="AW67" s="328" t="s">
        <v>463</v>
      </c>
      <c r="AX67" s="71">
        <v>0</v>
      </c>
      <c r="AZ67" s="759" t="s">
        <v>463</v>
      </c>
      <c r="BA67" s="760">
        <f t="shared" si="15"/>
        <v>0</v>
      </c>
      <c r="BB67" s="760">
        <f t="shared" si="10"/>
        <v>107</v>
      </c>
      <c r="BC67" s="760">
        <f t="shared" si="11"/>
        <v>4528</v>
      </c>
      <c r="BE67" s="328" t="s">
        <v>463</v>
      </c>
      <c r="BF67">
        <v>0</v>
      </c>
      <c r="BG67" s="310">
        <f t="shared" si="12"/>
        <v>107</v>
      </c>
      <c r="BH67" s="741">
        <f t="shared" si="13"/>
        <v>0</v>
      </c>
      <c r="BI67" s="310">
        <f t="shared" si="14"/>
        <v>-347</v>
      </c>
    </row>
    <row r="68" spans="5:61" x14ac:dyDescent="0.3">
      <c r="AD68" s="741"/>
      <c r="AE68" s="750"/>
      <c r="AF68" s="741" t="str">
        <f>Y87</f>
        <v>3 days</v>
      </c>
      <c r="AG68" s="741" t="str">
        <f>Z87</f>
        <v>B</v>
      </c>
      <c r="AH68" s="741"/>
      <c r="AI68" s="741">
        <v>0</v>
      </c>
      <c r="AJ68" s="741"/>
      <c r="AK68" s="741"/>
      <c r="AL68" s="741"/>
      <c r="AM68" s="741" t="s">
        <v>341</v>
      </c>
      <c r="AP68" s="310"/>
      <c r="AQ68" s="328" t="s">
        <v>453</v>
      </c>
      <c r="AR68" s="745">
        <f t="shared" si="7"/>
        <v>535</v>
      </c>
      <c r="AS68" s="71">
        <f t="shared" si="8"/>
        <v>107</v>
      </c>
      <c r="AT68" s="756">
        <f t="shared" si="9"/>
        <v>0.10974358974358975</v>
      </c>
      <c r="AV68" s="310"/>
      <c r="AW68" s="328" t="s">
        <v>453</v>
      </c>
      <c r="AX68" s="71">
        <v>0</v>
      </c>
      <c r="AZ68" s="759" t="s">
        <v>453</v>
      </c>
      <c r="BA68" s="760">
        <f t="shared" si="15"/>
        <v>0</v>
      </c>
      <c r="BB68" s="760">
        <f t="shared" si="10"/>
        <v>107</v>
      </c>
      <c r="BC68" s="760">
        <f t="shared" si="11"/>
        <v>4421</v>
      </c>
      <c r="BE68" s="328" t="s">
        <v>453</v>
      </c>
      <c r="BF68">
        <v>0</v>
      </c>
      <c r="BG68" s="310">
        <f t="shared" si="12"/>
        <v>107</v>
      </c>
      <c r="BH68" s="741">
        <f t="shared" si="13"/>
        <v>0</v>
      </c>
      <c r="BI68" s="310">
        <f t="shared" si="14"/>
        <v>-454</v>
      </c>
    </row>
    <row r="69" spans="5:61" x14ac:dyDescent="0.3">
      <c r="N69" s="20"/>
      <c r="AD69" s="310"/>
      <c r="AE69" s="750"/>
      <c r="AF69" s="312" t="s">
        <v>728</v>
      </c>
      <c r="AG69" s="312" t="s">
        <v>730</v>
      </c>
      <c r="AH69" s="310"/>
      <c r="AI69" s="310"/>
      <c r="AJ69" s="310"/>
      <c r="AK69" s="310"/>
      <c r="AL69" s="310">
        <f>AL62-AI67-AI66</f>
        <v>723</v>
      </c>
      <c r="AM69" s="310" t="s">
        <v>341</v>
      </c>
      <c r="AP69" s="310"/>
      <c r="AQ69" s="328" t="s">
        <v>464</v>
      </c>
      <c r="AR69" s="745">
        <f t="shared" si="7"/>
        <v>535</v>
      </c>
      <c r="AS69" s="71">
        <f t="shared" si="8"/>
        <v>107</v>
      </c>
      <c r="AT69" s="756">
        <f t="shared" si="9"/>
        <v>0.10974358974358975</v>
      </c>
      <c r="AV69" s="310"/>
      <c r="AW69" s="328" t="s">
        <v>464</v>
      </c>
      <c r="AX69" s="71">
        <v>0</v>
      </c>
      <c r="AZ69" s="759" t="s">
        <v>464</v>
      </c>
      <c r="BA69" s="760">
        <f t="shared" si="15"/>
        <v>0</v>
      </c>
      <c r="BB69" s="760">
        <f t="shared" si="10"/>
        <v>107</v>
      </c>
      <c r="BC69" s="760">
        <f t="shared" si="11"/>
        <v>4314</v>
      </c>
      <c r="BE69" s="328" t="s">
        <v>464</v>
      </c>
      <c r="BF69">
        <v>0</v>
      </c>
      <c r="BG69" s="310">
        <f t="shared" si="12"/>
        <v>107</v>
      </c>
      <c r="BH69" s="741">
        <f t="shared" si="13"/>
        <v>0</v>
      </c>
      <c r="BI69" s="310">
        <f t="shared" si="14"/>
        <v>-561</v>
      </c>
    </row>
    <row r="70" spans="5:61" x14ac:dyDescent="0.3">
      <c r="T70" t="s">
        <v>421</v>
      </c>
      <c r="AD70" s="741"/>
      <c r="AE70" s="751"/>
      <c r="AF70" s="741" t="s">
        <v>417</v>
      </c>
      <c r="AG70" s="741" t="s">
        <v>11</v>
      </c>
      <c r="AH70" s="741"/>
      <c r="AI70" s="741"/>
      <c r="AJ70" s="741"/>
      <c r="AK70" s="741">
        <f>AL69</f>
        <v>723</v>
      </c>
      <c r="AL70" s="741"/>
      <c r="AM70" s="741" t="s">
        <v>341</v>
      </c>
      <c r="AP70" s="310"/>
      <c r="AQ70" s="328" t="s">
        <v>465</v>
      </c>
      <c r="AR70" s="745">
        <f t="shared" si="7"/>
        <v>535</v>
      </c>
      <c r="AS70" s="71">
        <f t="shared" si="8"/>
        <v>107</v>
      </c>
      <c r="AT70" s="756">
        <f t="shared" si="9"/>
        <v>0.10974358974358975</v>
      </c>
      <c r="AV70" s="310"/>
      <c r="AW70" s="328" t="s">
        <v>465</v>
      </c>
      <c r="AX70" s="71">
        <v>0</v>
      </c>
      <c r="AZ70" s="759" t="s">
        <v>465</v>
      </c>
      <c r="BA70" s="760">
        <f t="shared" si="15"/>
        <v>0</v>
      </c>
      <c r="BB70" s="760">
        <f t="shared" si="10"/>
        <v>107</v>
      </c>
      <c r="BC70" s="760">
        <f t="shared" si="11"/>
        <v>4207</v>
      </c>
      <c r="BE70" s="328" t="s">
        <v>465</v>
      </c>
      <c r="BF70">
        <v>0</v>
      </c>
      <c r="BG70" s="310">
        <f t="shared" si="12"/>
        <v>107</v>
      </c>
      <c r="BH70" s="741">
        <f t="shared" si="13"/>
        <v>0</v>
      </c>
      <c r="BI70" s="310">
        <f t="shared" si="14"/>
        <v>-668</v>
      </c>
    </row>
    <row r="71" spans="5:61" x14ac:dyDescent="0.3">
      <c r="T71" t="s">
        <v>500</v>
      </c>
      <c r="AK71">
        <f>AS57</f>
        <v>107</v>
      </c>
      <c r="AL71">
        <f>AK64-AI67</f>
        <v>723</v>
      </c>
      <c r="AP71" s="310"/>
      <c r="AQ71" s="328" t="s">
        <v>466</v>
      </c>
      <c r="AR71" s="745">
        <f t="shared" si="7"/>
        <v>535</v>
      </c>
      <c r="AS71" s="71">
        <f t="shared" si="8"/>
        <v>107</v>
      </c>
      <c r="AT71" s="756">
        <f t="shared" si="9"/>
        <v>0.10974358974358975</v>
      </c>
      <c r="AV71" s="310"/>
      <c r="AW71" s="328" t="s">
        <v>466</v>
      </c>
      <c r="AX71" s="71">
        <v>0</v>
      </c>
      <c r="AZ71" s="759" t="s">
        <v>466</v>
      </c>
      <c r="BA71" s="760">
        <f t="shared" si="15"/>
        <v>0</v>
      </c>
      <c r="BB71" s="760">
        <f t="shared" si="10"/>
        <v>107</v>
      </c>
      <c r="BC71" s="760">
        <f t="shared" si="11"/>
        <v>4100</v>
      </c>
      <c r="BE71" s="328" t="s">
        <v>466</v>
      </c>
      <c r="BF71">
        <v>0</v>
      </c>
      <c r="BG71" s="310">
        <f t="shared" si="12"/>
        <v>107</v>
      </c>
      <c r="BH71" s="741">
        <f t="shared" si="13"/>
        <v>0</v>
      </c>
      <c r="BI71" s="310">
        <f t="shared" si="14"/>
        <v>-775</v>
      </c>
    </row>
    <row r="72" spans="5:61" x14ac:dyDescent="0.3">
      <c r="P72" s="20"/>
      <c r="T72" t="s">
        <v>426</v>
      </c>
      <c r="AI72" t="s">
        <v>508</v>
      </c>
      <c r="AK72">
        <f>AK71-AI66</f>
        <v>77</v>
      </c>
      <c r="AP72" s="310"/>
      <c r="AQ72" s="328" t="s">
        <v>467</v>
      </c>
      <c r="AR72" s="745">
        <f t="shared" si="7"/>
        <v>535</v>
      </c>
      <c r="AS72" s="71">
        <f t="shared" si="8"/>
        <v>107</v>
      </c>
      <c r="AT72" s="756">
        <f t="shared" si="9"/>
        <v>0.10974358974358975</v>
      </c>
      <c r="AV72" s="310"/>
      <c r="AW72" s="328" t="s">
        <v>467</v>
      </c>
      <c r="AX72" s="71">
        <v>0</v>
      </c>
      <c r="AZ72" s="759" t="s">
        <v>467</v>
      </c>
      <c r="BA72" s="760">
        <f t="shared" si="15"/>
        <v>0</v>
      </c>
      <c r="BB72" s="760">
        <f t="shared" si="10"/>
        <v>107</v>
      </c>
      <c r="BC72" s="760">
        <f t="shared" si="11"/>
        <v>3993</v>
      </c>
      <c r="BE72" s="328" t="s">
        <v>467</v>
      </c>
      <c r="BF72">
        <v>0</v>
      </c>
      <c r="BG72" s="310">
        <f t="shared" si="12"/>
        <v>107</v>
      </c>
      <c r="BH72" s="741">
        <f t="shared" si="13"/>
        <v>0</v>
      </c>
      <c r="BI72" s="310">
        <f t="shared" si="14"/>
        <v>-882</v>
      </c>
    </row>
    <row r="73" spans="5:61" x14ac:dyDescent="0.3">
      <c r="AC73" s="20"/>
      <c r="AP73" s="310"/>
      <c r="AQ73" s="328" t="s">
        <v>468</v>
      </c>
      <c r="AR73" s="745">
        <f t="shared" si="7"/>
        <v>535</v>
      </c>
      <c r="AS73" s="71">
        <f t="shared" si="8"/>
        <v>107</v>
      </c>
      <c r="AT73" s="756">
        <f t="shared" si="9"/>
        <v>0.10974358974358975</v>
      </c>
      <c r="AV73" s="310"/>
      <c r="AW73" s="328" t="s">
        <v>468</v>
      </c>
      <c r="AX73" s="71">
        <v>0</v>
      </c>
      <c r="AZ73" s="759" t="s">
        <v>468</v>
      </c>
      <c r="BA73" s="760">
        <f t="shared" si="15"/>
        <v>0</v>
      </c>
      <c r="BB73" s="760">
        <f t="shared" si="10"/>
        <v>107</v>
      </c>
      <c r="BC73" s="760">
        <f t="shared" si="11"/>
        <v>3886</v>
      </c>
      <c r="BE73" s="328" t="s">
        <v>468</v>
      </c>
      <c r="BF73">
        <v>0</v>
      </c>
      <c r="BG73" s="310">
        <f t="shared" si="12"/>
        <v>107</v>
      </c>
      <c r="BH73" s="741">
        <f t="shared" si="13"/>
        <v>0</v>
      </c>
      <c r="BI73" s="310">
        <f t="shared" si="14"/>
        <v>-989</v>
      </c>
    </row>
    <row r="74" spans="5:61" x14ac:dyDescent="0.3">
      <c r="AP74" s="310"/>
      <c r="AQ74" s="328" t="s">
        <v>469</v>
      </c>
      <c r="AR74" s="745">
        <f t="shared" si="7"/>
        <v>535</v>
      </c>
      <c r="AS74" s="71">
        <f t="shared" si="8"/>
        <v>107</v>
      </c>
      <c r="AT74" s="756">
        <f t="shared" si="9"/>
        <v>0.10974358974358975</v>
      </c>
      <c r="AV74" s="310"/>
      <c r="AW74" s="328" t="s">
        <v>469</v>
      </c>
      <c r="AX74" s="71">
        <v>0</v>
      </c>
      <c r="AZ74" s="759" t="s">
        <v>469</v>
      </c>
      <c r="BA74" s="760">
        <f t="shared" si="15"/>
        <v>0</v>
      </c>
      <c r="BB74" s="760">
        <f t="shared" si="10"/>
        <v>107</v>
      </c>
      <c r="BC74" s="760">
        <f t="shared" si="11"/>
        <v>3779</v>
      </c>
      <c r="BE74" s="328" t="s">
        <v>469</v>
      </c>
      <c r="BF74">
        <v>0</v>
      </c>
      <c r="BG74" s="310">
        <f t="shared" si="12"/>
        <v>107</v>
      </c>
      <c r="BH74" s="741">
        <f t="shared" si="13"/>
        <v>0</v>
      </c>
      <c r="BI74" s="310">
        <f t="shared" si="14"/>
        <v>-1096</v>
      </c>
    </row>
    <row r="75" spans="5:61" ht="28.8" x14ac:dyDescent="0.3">
      <c r="T75" s="301" t="s">
        <v>441</v>
      </c>
      <c r="AD75" s="763" t="s">
        <v>434</v>
      </c>
      <c r="AE75" s="763"/>
      <c r="AF75" s="763"/>
      <c r="AG75" s="763"/>
      <c r="AP75" s="310"/>
      <c r="AQ75" s="328" t="s">
        <v>470</v>
      </c>
      <c r="AR75" s="745">
        <f t="shared" si="7"/>
        <v>535</v>
      </c>
      <c r="AS75" s="71">
        <f t="shared" si="8"/>
        <v>107</v>
      </c>
      <c r="AT75" s="756">
        <f t="shared" si="9"/>
        <v>0.10974358974358975</v>
      </c>
      <c r="AV75" s="310"/>
      <c r="AW75" s="328" t="s">
        <v>470</v>
      </c>
      <c r="AX75" s="71">
        <v>0</v>
      </c>
      <c r="AZ75" s="759" t="s">
        <v>470</v>
      </c>
      <c r="BA75" s="760">
        <f t="shared" si="15"/>
        <v>0</v>
      </c>
      <c r="BB75" s="760">
        <f t="shared" si="10"/>
        <v>107</v>
      </c>
      <c r="BC75" s="760">
        <f t="shared" si="11"/>
        <v>3672</v>
      </c>
      <c r="BE75" s="328" t="s">
        <v>470</v>
      </c>
      <c r="BF75">
        <v>0</v>
      </c>
      <c r="BG75" s="310">
        <f t="shared" si="12"/>
        <v>107</v>
      </c>
      <c r="BH75" s="741">
        <f t="shared" si="13"/>
        <v>0</v>
      </c>
      <c r="BI75" s="310">
        <f t="shared" si="14"/>
        <v>-1203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D76" s="763"/>
      <c r="AE76" s="763"/>
      <c r="AF76" s="763"/>
      <c r="AG76" s="763"/>
      <c r="AP76" s="310"/>
      <c r="AQ76" s="328" t="s">
        <v>471</v>
      </c>
      <c r="AR76" s="745">
        <f t="shared" si="7"/>
        <v>535</v>
      </c>
      <c r="AS76" s="71">
        <f t="shared" si="8"/>
        <v>107</v>
      </c>
      <c r="AT76" s="756">
        <f t="shared" si="9"/>
        <v>0.10974358974358975</v>
      </c>
      <c r="AV76" s="310"/>
      <c r="AW76" s="328" t="s">
        <v>471</v>
      </c>
      <c r="AX76" s="71">
        <v>0</v>
      </c>
      <c r="AZ76" s="759" t="s">
        <v>471</v>
      </c>
      <c r="BA76" s="760">
        <f t="shared" si="15"/>
        <v>0</v>
      </c>
      <c r="BB76" s="760">
        <f t="shared" si="10"/>
        <v>107</v>
      </c>
      <c r="BC76" s="760">
        <f t="shared" si="11"/>
        <v>3565</v>
      </c>
      <c r="BE76" s="328" t="s">
        <v>471</v>
      </c>
      <c r="BF76">
        <v>0</v>
      </c>
      <c r="BG76" s="310">
        <f t="shared" si="12"/>
        <v>107</v>
      </c>
      <c r="BH76" s="741">
        <f t="shared" si="13"/>
        <v>0</v>
      </c>
      <c r="BI76" s="310">
        <f t="shared" si="14"/>
        <v>-1310</v>
      </c>
    </row>
    <row r="77" spans="5:61" ht="47.4" customHeight="1" x14ac:dyDescent="0.3">
      <c r="T77" s="746" t="s">
        <v>414</v>
      </c>
      <c r="U77" s="747">
        <v>44187</v>
      </c>
      <c r="V77" s="737" t="s">
        <v>408</v>
      </c>
      <c r="W77" s="737">
        <v>25</v>
      </c>
      <c r="X77" s="737" t="s">
        <v>435</v>
      </c>
      <c r="Y77" s="737" t="s">
        <v>411</v>
      </c>
      <c r="Z77" s="737" t="s">
        <v>12</v>
      </c>
      <c r="AD77" s="764" t="s">
        <v>443</v>
      </c>
      <c r="AE77" s="765" t="s">
        <v>432</v>
      </c>
      <c r="AF77" s="765" t="s">
        <v>433</v>
      </c>
      <c r="AG77" s="765" t="s">
        <v>413</v>
      </c>
      <c r="AP77" s="310"/>
      <c r="AQ77" s="328" t="s">
        <v>472</v>
      </c>
      <c r="AR77" s="745">
        <f t="shared" si="7"/>
        <v>535</v>
      </c>
      <c r="AS77" s="71">
        <f t="shared" si="8"/>
        <v>107</v>
      </c>
      <c r="AT77" s="756">
        <f t="shared" si="9"/>
        <v>0.10974358974358975</v>
      </c>
      <c r="AV77" s="310"/>
      <c r="AW77" s="328" t="s">
        <v>472</v>
      </c>
      <c r="AX77" s="71">
        <v>0</v>
      </c>
      <c r="AZ77" s="759" t="s">
        <v>472</v>
      </c>
      <c r="BA77" s="760">
        <f t="shared" si="15"/>
        <v>0</v>
      </c>
      <c r="BB77" s="760">
        <f t="shared" si="10"/>
        <v>107</v>
      </c>
      <c r="BC77" s="760">
        <f t="shared" si="11"/>
        <v>3458</v>
      </c>
      <c r="BE77" s="328" t="s">
        <v>472</v>
      </c>
      <c r="BF77">
        <v>0</v>
      </c>
      <c r="BG77" s="310">
        <f t="shared" si="12"/>
        <v>107</v>
      </c>
      <c r="BH77" s="741">
        <f t="shared" si="13"/>
        <v>0</v>
      </c>
      <c r="BI77" s="310">
        <f t="shared" si="14"/>
        <v>-1417</v>
      </c>
    </row>
    <row r="78" spans="5:61" x14ac:dyDescent="0.3">
      <c r="T78" s="746" t="s">
        <v>414</v>
      </c>
      <c r="U78" s="747">
        <v>44187</v>
      </c>
      <c r="V78" s="737" t="s">
        <v>408</v>
      </c>
      <c r="W78" s="737">
        <v>20</v>
      </c>
      <c r="X78" s="737" t="s">
        <v>435</v>
      </c>
      <c r="Y78" s="737" t="s">
        <v>423</v>
      </c>
      <c r="Z78" s="737" t="s">
        <v>412</v>
      </c>
      <c r="AP78" s="310"/>
      <c r="AQ78" s="328" t="s">
        <v>473</v>
      </c>
      <c r="AR78" s="745">
        <f t="shared" si="7"/>
        <v>535</v>
      </c>
      <c r="AS78" s="71">
        <f t="shared" si="8"/>
        <v>107</v>
      </c>
      <c r="AT78" s="756">
        <f t="shared" si="9"/>
        <v>0.10974358974358975</v>
      </c>
      <c r="AV78" s="310"/>
      <c r="AW78" s="328" t="s">
        <v>473</v>
      </c>
      <c r="AX78" s="71">
        <v>0</v>
      </c>
      <c r="AZ78" s="759" t="s">
        <v>473</v>
      </c>
      <c r="BA78" s="760">
        <f t="shared" si="15"/>
        <v>0</v>
      </c>
      <c r="BB78" s="760">
        <f t="shared" si="10"/>
        <v>107</v>
      </c>
      <c r="BC78" s="760">
        <f t="shared" si="11"/>
        <v>3351</v>
      </c>
      <c r="BE78" s="328" t="s">
        <v>473</v>
      </c>
      <c r="BF78">
        <v>0</v>
      </c>
      <c r="BG78" s="310">
        <f t="shared" si="12"/>
        <v>107</v>
      </c>
      <c r="BH78" s="741">
        <f t="shared" si="13"/>
        <v>0</v>
      </c>
      <c r="BI78" s="310">
        <f t="shared" si="14"/>
        <v>-1524</v>
      </c>
    </row>
    <row r="79" spans="5:61" x14ac:dyDescent="0.3">
      <c r="T79" s="746" t="s">
        <v>414</v>
      </c>
      <c r="U79" s="747">
        <v>44187</v>
      </c>
      <c r="V79" s="737" t="s">
        <v>407</v>
      </c>
      <c r="W79" s="737">
        <v>975</v>
      </c>
      <c r="X79" s="737" t="s">
        <v>341</v>
      </c>
      <c r="Y79" s="737" t="s">
        <v>417</v>
      </c>
      <c r="Z79" s="737" t="s">
        <v>11</v>
      </c>
      <c r="AP79" s="310"/>
      <c r="AQ79" s="328" t="s">
        <v>474</v>
      </c>
      <c r="AR79" s="745">
        <f t="shared" si="7"/>
        <v>535</v>
      </c>
      <c r="AS79" s="71">
        <f t="shared" si="8"/>
        <v>107</v>
      </c>
      <c r="AT79" s="756">
        <f t="shared" si="9"/>
        <v>0.10974358974358975</v>
      </c>
      <c r="AV79" s="310"/>
      <c r="AW79" s="328" t="s">
        <v>474</v>
      </c>
      <c r="AX79" s="71">
        <v>0</v>
      </c>
      <c r="AZ79" s="759" t="s">
        <v>474</v>
      </c>
      <c r="BA79" s="760">
        <f t="shared" si="15"/>
        <v>0</v>
      </c>
      <c r="BB79" s="760">
        <f t="shared" si="10"/>
        <v>107</v>
      </c>
      <c r="BC79" s="760">
        <f t="shared" si="11"/>
        <v>3244</v>
      </c>
      <c r="BE79" s="328" t="s">
        <v>474</v>
      </c>
      <c r="BF79">
        <v>0</v>
      </c>
      <c r="BG79" s="310">
        <f t="shared" si="12"/>
        <v>107</v>
      </c>
      <c r="BH79" s="741">
        <f t="shared" si="13"/>
        <v>0</v>
      </c>
      <c r="BI79" s="310">
        <f t="shared" si="14"/>
        <v>-1631</v>
      </c>
    </row>
    <row r="80" spans="5:61" x14ac:dyDescent="0.3">
      <c r="T80" s="37"/>
      <c r="U80" s="297"/>
      <c r="AP80" s="310"/>
      <c r="AQ80" s="328" t="s">
        <v>475</v>
      </c>
      <c r="AR80" s="745">
        <f t="shared" si="7"/>
        <v>535</v>
      </c>
      <c r="AS80" s="71">
        <f t="shared" si="8"/>
        <v>107</v>
      </c>
      <c r="AT80" s="756">
        <f t="shared" si="9"/>
        <v>0.10974358974358975</v>
      </c>
      <c r="AV80" s="310"/>
      <c r="AW80" s="328" t="s">
        <v>475</v>
      </c>
      <c r="AX80" s="71">
        <v>0</v>
      </c>
      <c r="AZ80" s="759" t="s">
        <v>475</v>
      </c>
      <c r="BA80" s="760">
        <f t="shared" si="15"/>
        <v>0</v>
      </c>
      <c r="BB80" s="760">
        <f t="shared" si="10"/>
        <v>107</v>
      </c>
      <c r="BC80" s="760">
        <f t="shared" si="11"/>
        <v>3137</v>
      </c>
      <c r="BE80" s="328" t="s">
        <v>475</v>
      </c>
      <c r="BF80">
        <v>0</v>
      </c>
      <c r="BG80" s="310">
        <f t="shared" si="12"/>
        <v>107</v>
      </c>
      <c r="BH80" s="741">
        <f t="shared" si="13"/>
        <v>0</v>
      </c>
      <c r="BI80" s="310">
        <f t="shared" si="14"/>
        <v>-1738</v>
      </c>
    </row>
    <row r="81" spans="19:63" x14ac:dyDescent="0.3">
      <c r="AP81" s="310"/>
      <c r="AQ81" s="328" t="s">
        <v>476</v>
      </c>
      <c r="AR81" s="745">
        <f t="shared" si="7"/>
        <v>535</v>
      </c>
      <c r="AS81" s="71">
        <f t="shared" si="8"/>
        <v>107</v>
      </c>
      <c r="AT81" s="756">
        <f t="shared" si="9"/>
        <v>0.10974358974358975</v>
      </c>
      <c r="AV81" s="310"/>
      <c r="AW81" s="328" t="s">
        <v>476</v>
      </c>
      <c r="AX81" s="71">
        <v>0</v>
      </c>
      <c r="AZ81" s="759" t="s">
        <v>476</v>
      </c>
      <c r="BA81" s="760">
        <f t="shared" si="15"/>
        <v>0</v>
      </c>
      <c r="BB81" s="760">
        <f t="shared" si="10"/>
        <v>107</v>
      </c>
      <c r="BC81" s="760">
        <f t="shared" si="11"/>
        <v>3030</v>
      </c>
      <c r="BE81" s="328" t="s">
        <v>476</v>
      </c>
      <c r="BF81">
        <v>0</v>
      </c>
      <c r="BG81" s="310">
        <f t="shared" si="12"/>
        <v>107</v>
      </c>
      <c r="BH81" s="741">
        <f t="shared" si="13"/>
        <v>0</v>
      </c>
      <c r="BI81" s="310">
        <f t="shared" si="14"/>
        <v>-1845</v>
      </c>
    </row>
    <row r="82" spans="19:63" ht="28.8" x14ac:dyDescent="0.3">
      <c r="T82" s="301" t="s">
        <v>444</v>
      </c>
      <c r="AP82" s="310"/>
      <c r="AQ82" s="328" t="s">
        <v>477</v>
      </c>
      <c r="AR82" s="745">
        <f t="shared" si="7"/>
        <v>535</v>
      </c>
      <c r="AS82" s="71">
        <f t="shared" si="8"/>
        <v>107</v>
      </c>
      <c r="AT82" s="756">
        <f t="shared" si="9"/>
        <v>0.10974358974358975</v>
      </c>
      <c r="AV82" s="310"/>
      <c r="AW82" s="328" t="s">
        <v>477</v>
      </c>
      <c r="AX82" s="71">
        <v>0</v>
      </c>
      <c r="AZ82" s="759" t="s">
        <v>477</v>
      </c>
      <c r="BA82" s="760">
        <f t="shared" si="15"/>
        <v>0</v>
      </c>
      <c r="BB82" s="760">
        <f t="shared" si="10"/>
        <v>107</v>
      </c>
      <c r="BC82" s="760">
        <f t="shared" si="11"/>
        <v>2923</v>
      </c>
      <c r="BE82" s="328" t="s">
        <v>477</v>
      </c>
      <c r="BF82">
        <v>0</v>
      </c>
      <c r="BG82" s="310">
        <f t="shared" si="12"/>
        <v>107</v>
      </c>
      <c r="BH82" s="741">
        <f t="shared" si="13"/>
        <v>0</v>
      </c>
      <c r="BI82" s="310">
        <f t="shared" si="14"/>
        <v>-1952</v>
      </c>
    </row>
    <row r="83" spans="19:63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45">
        <f t="shared" si="7"/>
        <v>535</v>
      </c>
      <c r="AS83" s="71">
        <f t="shared" si="8"/>
        <v>107</v>
      </c>
      <c r="AT83" s="756">
        <f t="shared" si="9"/>
        <v>0.10974358974358975</v>
      </c>
      <c r="AV83" s="310"/>
      <c r="AW83" s="328" t="s">
        <v>478</v>
      </c>
      <c r="AX83" s="71">
        <v>0</v>
      </c>
      <c r="AZ83" s="759" t="s">
        <v>478</v>
      </c>
      <c r="BA83" s="760">
        <f t="shared" si="15"/>
        <v>0</v>
      </c>
      <c r="BB83" s="760">
        <f t="shared" si="10"/>
        <v>107</v>
      </c>
      <c r="BC83" s="760">
        <f t="shared" si="11"/>
        <v>2816</v>
      </c>
      <c r="BE83" s="328" t="s">
        <v>478</v>
      </c>
      <c r="BF83">
        <v>0</v>
      </c>
      <c r="BG83" s="310">
        <f t="shared" si="12"/>
        <v>107</v>
      </c>
      <c r="BH83" s="741">
        <f t="shared" si="13"/>
        <v>0</v>
      </c>
      <c r="BI83" s="310">
        <f t="shared" si="14"/>
        <v>-2059</v>
      </c>
    </row>
    <row r="84" spans="19:63" ht="42" customHeight="1" x14ac:dyDescent="0.3">
      <c r="T84" s="746" t="s">
        <v>414</v>
      </c>
      <c r="U84" s="747">
        <v>44187</v>
      </c>
      <c r="V84" s="737" t="s">
        <v>408</v>
      </c>
      <c r="W84" s="737">
        <v>1</v>
      </c>
      <c r="X84" s="737" t="s">
        <v>435</v>
      </c>
      <c r="Y84" s="737" t="s">
        <v>425</v>
      </c>
      <c r="Z84" s="737" t="s">
        <v>11</v>
      </c>
      <c r="AP84" s="310"/>
      <c r="AQ84" s="328" t="s">
        <v>479</v>
      </c>
      <c r="AR84" s="745">
        <f t="shared" si="7"/>
        <v>535</v>
      </c>
      <c r="AS84" s="71">
        <f t="shared" si="8"/>
        <v>107</v>
      </c>
      <c r="AT84" s="756">
        <f t="shared" si="9"/>
        <v>0.10974358974358975</v>
      </c>
      <c r="AV84" s="310"/>
      <c r="AW84" s="328" t="s">
        <v>479</v>
      </c>
      <c r="AX84" s="71">
        <v>0</v>
      </c>
      <c r="AZ84" s="759" t="s">
        <v>479</v>
      </c>
      <c r="BA84" s="760">
        <f t="shared" si="15"/>
        <v>0</v>
      </c>
      <c r="BB84" s="760">
        <f t="shared" si="10"/>
        <v>107</v>
      </c>
      <c r="BC84" s="760">
        <f t="shared" si="11"/>
        <v>2709</v>
      </c>
      <c r="BE84" s="328" t="s">
        <v>479</v>
      </c>
      <c r="BF84">
        <v>0</v>
      </c>
      <c r="BG84" s="310">
        <f t="shared" si="12"/>
        <v>107</v>
      </c>
      <c r="BH84" s="741">
        <f t="shared" si="13"/>
        <v>0</v>
      </c>
      <c r="BI84" s="310">
        <f t="shared" si="14"/>
        <v>-2166</v>
      </c>
      <c r="BK84" s="6" t="s">
        <v>501</v>
      </c>
    </row>
    <row r="85" spans="19:63" x14ac:dyDescent="0.3">
      <c r="T85" s="37" t="s">
        <v>414</v>
      </c>
      <c r="U85" s="296">
        <v>44187</v>
      </c>
      <c r="V85" t="s">
        <v>725</v>
      </c>
      <c r="W85">
        <v>30</v>
      </c>
      <c r="X85" t="s">
        <v>341</v>
      </c>
      <c r="Y85" s="302" t="s">
        <v>727</v>
      </c>
      <c r="Z85" s="313" t="s">
        <v>731</v>
      </c>
      <c r="AP85" s="310"/>
      <c r="AQ85" s="328" t="s">
        <v>480</v>
      </c>
      <c r="AR85" s="745">
        <f t="shared" si="7"/>
        <v>535</v>
      </c>
      <c r="AS85" s="71">
        <f t="shared" si="8"/>
        <v>107</v>
      </c>
      <c r="AT85" s="756">
        <f t="shared" si="9"/>
        <v>0.10974358974358975</v>
      </c>
      <c r="AV85" s="310"/>
      <c r="AW85" s="328" t="s">
        <v>480</v>
      </c>
      <c r="AX85" s="71">
        <v>0</v>
      </c>
      <c r="AZ85" s="759" t="s">
        <v>480</v>
      </c>
      <c r="BA85" s="760">
        <f t="shared" si="15"/>
        <v>0</v>
      </c>
      <c r="BB85" s="760">
        <f t="shared" si="10"/>
        <v>107</v>
      </c>
      <c r="BC85" s="760">
        <f t="shared" si="11"/>
        <v>2602</v>
      </c>
      <c r="BE85" s="328" t="s">
        <v>480</v>
      </c>
      <c r="BF85">
        <v>0</v>
      </c>
      <c r="BG85" s="310">
        <f t="shared" si="12"/>
        <v>107</v>
      </c>
      <c r="BH85" s="741">
        <f t="shared" si="13"/>
        <v>0</v>
      </c>
      <c r="BI85" s="310">
        <f t="shared" si="14"/>
        <v>-2273</v>
      </c>
      <c r="BK85" s="6" t="s">
        <v>499</v>
      </c>
    </row>
    <row r="86" spans="19:63" x14ac:dyDescent="0.3">
      <c r="T86" s="37" t="s">
        <v>414</v>
      </c>
      <c r="U86" s="296">
        <v>44187</v>
      </c>
      <c r="V86" t="s">
        <v>725</v>
      </c>
      <c r="W86">
        <f>AS57-W85</f>
        <v>77</v>
      </c>
      <c r="X86" t="s">
        <v>341</v>
      </c>
      <c r="Y86" s="299" t="s">
        <v>728</v>
      </c>
      <c r="Z86" s="312" t="s">
        <v>730</v>
      </c>
      <c r="AP86" s="310"/>
      <c r="AQ86" s="328" t="s">
        <v>481</v>
      </c>
      <c r="AR86" s="745">
        <f t="shared" si="7"/>
        <v>535</v>
      </c>
      <c r="AS86" s="71">
        <f t="shared" si="8"/>
        <v>107</v>
      </c>
      <c r="AT86" s="756">
        <f t="shared" si="9"/>
        <v>0.10974358974358975</v>
      </c>
      <c r="AV86" s="310"/>
      <c r="AW86" s="328" t="s">
        <v>481</v>
      </c>
      <c r="AX86" s="71">
        <v>0</v>
      </c>
      <c r="AZ86" s="759" t="s">
        <v>481</v>
      </c>
      <c r="BA86" s="760">
        <f t="shared" si="15"/>
        <v>0</v>
      </c>
      <c r="BB86" s="760">
        <f t="shared" si="10"/>
        <v>107</v>
      </c>
      <c r="BC86" s="760">
        <f t="shared" si="11"/>
        <v>2495</v>
      </c>
      <c r="BE86" s="328" t="s">
        <v>481</v>
      </c>
      <c r="BF86">
        <v>0</v>
      </c>
      <c r="BG86" s="310">
        <f t="shared" si="12"/>
        <v>107</v>
      </c>
      <c r="BH86" s="741">
        <f t="shared" si="13"/>
        <v>0</v>
      </c>
      <c r="BI86" s="310">
        <f t="shared" si="14"/>
        <v>-2380</v>
      </c>
    </row>
    <row r="87" spans="19:63" x14ac:dyDescent="0.3">
      <c r="T87" s="746" t="s">
        <v>414</v>
      </c>
      <c r="U87" s="747">
        <v>44187</v>
      </c>
      <c r="V87" s="737" t="s">
        <v>407</v>
      </c>
      <c r="W87" s="748">
        <v>0</v>
      </c>
      <c r="X87" s="737" t="s">
        <v>341</v>
      </c>
      <c r="Y87" s="737" t="s">
        <v>417</v>
      </c>
      <c r="Z87" s="737" t="s">
        <v>11</v>
      </c>
      <c r="AP87" s="310"/>
      <c r="AQ87" s="328" t="s">
        <v>510</v>
      </c>
      <c r="AR87" s="745">
        <f t="shared" si="7"/>
        <v>535</v>
      </c>
      <c r="AS87" s="71">
        <f t="shared" si="8"/>
        <v>107</v>
      </c>
      <c r="AT87" s="756">
        <f t="shared" si="9"/>
        <v>0.10974358974358975</v>
      </c>
      <c r="AV87" s="310"/>
      <c r="AW87" s="328" t="s">
        <v>510</v>
      </c>
      <c r="AX87" s="71">
        <v>0</v>
      </c>
      <c r="AZ87" s="759" t="s">
        <v>510</v>
      </c>
      <c r="BA87" s="760">
        <f t="shared" si="15"/>
        <v>0</v>
      </c>
      <c r="BB87" s="760">
        <f t="shared" si="10"/>
        <v>107</v>
      </c>
      <c r="BC87" s="760">
        <f t="shared" si="11"/>
        <v>2388</v>
      </c>
      <c r="BE87" s="328" t="s">
        <v>510</v>
      </c>
      <c r="BF87">
        <v>0</v>
      </c>
      <c r="BG87" s="310">
        <f t="shared" si="12"/>
        <v>107</v>
      </c>
      <c r="BH87" s="741">
        <f t="shared" si="13"/>
        <v>0</v>
      </c>
      <c r="BI87" s="310">
        <f t="shared" si="14"/>
        <v>-2487</v>
      </c>
    </row>
    <row r="88" spans="19:63" x14ac:dyDescent="0.3">
      <c r="AX88">
        <f>SUM(AX57:AX87)</f>
        <v>0</v>
      </c>
      <c r="AZ88" s="6"/>
      <c r="BA88" s="6">
        <f>SUM(BA57:BA87)</f>
        <v>4875</v>
      </c>
      <c r="BB88" s="6"/>
      <c r="BC88" s="6"/>
      <c r="BF88">
        <f>SUM(BF57:BF87)</f>
        <v>0</v>
      </c>
      <c r="BH88">
        <f>SUM(BH57:BH87)</f>
        <v>0</v>
      </c>
    </row>
    <row r="90" spans="19:63" x14ac:dyDescent="0.3">
      <c r="S90" t="s">
        <v>10</v>
      </c>
      <c r="T90" s="301" t="s">
        <v>445</v>
      </c>
    </row>
    <row r="91" spans="19:63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  <c r="BF91" t="s">
        <v>558</v>
      </c>
    </row>
    <row r="92" spans="19:63" x14ac:dyDescent="0.3">
      <c r="T92" s="37" t="s">
        <v>414</v>
      </c>
      <c r="U92" s="296">
        <v>44187</v>
      </c>
      <c r="V92" t="s">
        <v>725</v>
      </c>
      <c r="W92">
        <v>50</v>
      </c>
      <c r="X92" t="s">
        <v>341</v>
      </c>
      <c r="Y92" s="302" t="s">
        <v>447</v>
      </c>
      <c r="Z92" s="313" t="s">
        <v>731</v>
      </c>
      <c r="AA92" t="s">
        <v>449</v>
      </c>
    </row>
  </sheetData>
  <mergeCells count="7">
    <mergeCell ref="U59:U66"/>
    <mergeCell ref="AP55:AQ55"/>
    <mergeCell ref="AV55:AW55"/>
    <mergeCell ref="AZ55:BA55"/>
    <mergeCell ref="BE55:BF55"/>
    <mergeCell ref="U56:U58"/>
    <mergeCell ref="AE56:AE58"/>
  </mergeCells>
  <conditionalFormatting sqref="F32:F6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{08E72BF5-DCA5-434C-8CE7-4C57FD54B1CF}</x14:id>
        </ext>
      </extLst>
    </cfRule>
  </conditionalFormatting>
  <conditionalFormatting sqref="G32:K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{F17A8E89-2338-450D-A13E-81FB3A9F9791}</x14:id>
        </ext>
      </extLst>
    </cfRule>
  </conditionalFormatting>
  <hyperlinks>
    <hyperlink ref="E3" r:id="rId1" xr:uid="{3764B58E-E064-4A72-B5C2-3D89190297CB}"/>
    <hyperlink ref="E5" r:id="rId2" xr:uid="{C4B55ED6-09C2-4194-9E4B-5598162538D2}"/>
    <hyperlink ref="E10" r:id="rId3" xr:uid="{512A4286-CFF2-4A86-B9F1-DA15523BBBFC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72BF5-DCA5-434C-8CE7-4C57FD54B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F17A8E89-2338-450D-A13E-81FB3A9F9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92A5-1341-44FD-80D3-725C64E0A1BF}">
  <sheetPr>
    <tabColor theme="9" tint="0.59999389629810485"/>
  </sheetPr>
  <dimension ref="A1:BK92"/>
  <sheetViews>
    <sheetView topLeftCell="AN46" zoomScale="85" zoomScaleNormal="85" workbookViewId="0">
      <selection activeCell="AW66" sqref="AW66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886718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9.5546875" customWidth="1"/>
    <col min="37" max="37" width="9.88671875" customWidth="1"/>
    <col min="38" max="38" width="9.44140625" customWidth="1"/>
    <col min="42" max="42" width="12.77734375" bestFit="1" customWidth="1"/>
    <col min="44" max="44" width="11.77734375" customWidth="1"/>
    <col min="45" max="45" width="17.6640625" bestFit="1" customWidth="1"/>
    <col min="46" max="46" width="7.6640625" bestFit="1" customWidth="1"/>
    <col min="48" max="48" width="12.77734375" bestFit="1" customWidth="1"/>
    <col min="49" max="49" width="9.77734375" customWidth="1"/>
    <col min="50" max="50" width="8.88671875" bestFit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bestFit="1" customWidth="1"/>
    <col min="58" max="58" width="13.6640625" bestFit="1" customWidth="1"/>
    <col min="59" max="59" width="21.33203125" bestFit="1" customWidth="1"/>
    <col min="60" max="60" width="10.33203125" bestFit="1" customWidth="1"/>
    <col min="61" max="61" width="10" bestFit="1" customWidth="1"/>
    <col min="62" max="62" width="5" bestFit="1" customWidth="1"/>
  </cols>
  <sheetData>
    <row r="1" spans="1:15" ht="21" x14ac:dyDescent="0.4">
      <c r="A1" s="152" t="s">
        <v>537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  <c r="J16" t="s">
        <v>571</v>
      </c>
      <c r="L16" t="s">
        <v>571</v>
      </c>
    </row>
    <row r="17" spans="1:29" ht="14.4" customHeight="1" x14ac:dyDescent="0.4">
      <c r="A17" s="152"/>
      <c r="E17" t="s">
        <v>343</v>
      </c>
      <c r="J17" s="249" t="s">
        <v>570</v>
      </c>
      <c r="L17" s="249" t="s">
        <v>569</v>
      </c>
    </row>
    <row r="18" spans="1:29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29" ht="14.4" customHeight="1" x14ac:dyDescent="0.4">
      <c r="A19" s="152"/>
      <c r="E19" s="290" t="s">
        <v>345</v>
      </c>
    </row>
    <row r="20" spans="1:29" ht="14.4" customHeight="1" x14ac:dyDescent="0.4">
      <c r="A20" s="152"/>
      <c r="E20" s="291" t="s">
        <v>348</v>
      </c>
      <c r="I20" s="249" t="s">
        <v>398</v>
      </c>
    </row>
    <row r="21" spans="1:29" x14ac:dyDescent="0.3">
      <c r="A21" s="26"/>
      <c r="E21" s="6" t="s">
        <v>346</v>
      </c>
      <c r="I21" t="s">
        <v>504</v>
      </c>
    </row>
    <row r="22" spans="1:29" x14ac:dyDescent="0.3">
      <c r="A22" s="26"/>
      <c r="E22" s="6"/>
      <c r="I22" t="s">
        <v>70</v>
      </c>
      <c r="J22" s="249" t="s">
        <v>399</v>
      </c>
      <c r="M22" s="249" t="s">
        <v>574</v>
      </c>
    </row>
    <row r="23" spans="1:29" x14ac:dyDescent="0.3">
      <c r="A23" s="26"/>
      <c r="E23" s="20" t="s">
        <v>56</v>
      </c>
      <c r="F23" s="331" t="s">
        <v>57</v>
      </c>
      <c r="J23" t="s">
        <v>572</v>
      </c>
      <c r="M23" t="s">
        <v>575</v>
      </c>
    </row>
    <row r="24" spans="1:29" ht="28.8" x14ac:dyDescent="0.3">
      <c r="A24" s="26"/>
      <c r="E24" s="20" t="s">
        <v>352</v>
      </c>
      <c r="F24" s="347" t="s">
        <v>540</v>
      </c>
      <c r="G24" s="241" t="s">
        <v>357</v>
      </c>
      <c r="H24" s="241">
        <v>20</v>
      </c>
      <c r="I24" s="241"/>
      <c r="J24" t="s">
        <v>70</v>
      </c>
      <c r="K24" s="249" t="s">
        <v>573</v>
      </c>
      <c r="M24" t="s">
        <v>70</v>
      </c>
    </row>
    <row r="25" spans="1:29" x14ac:dyDescent="0.3">
      <c r="D25" s="295" t="s">
        <v>379</v>
      </c>
      <c r="E25" s="20" t="s">
        <v>291</v>
      </c>
      <c r="F25" s="331">
        <v>1</v>
      </c>
      <c r="G25" t="s">
        <v>293</v>
      </c>
      <c r="K25" t="s">
        <v>506</v>
      </c>
      <c r="M25" t="s">
        <v>71</v>
      </c>
    </row>
    <row r="26" spans="1:29" x14ac:dyDescent="0.3">
      <c r="E26" s="293" t="s">
        <v>342</v>
      </c>
      <c r="F26" s="331">
        <v>67275</v>
      </c>
      <c r="G26" t="s">
        <v>341</v>
      </c>
      <c r="H26" s="3" t="s">
        <v>369</v>
      </c>
      <c r="I26" s="326">
        <v>975</v>
      </c>
      <c r="J26" t="s">
        <v>367</v>
      </c>
      <c r="K26" t="s">
        <v>70</v>
      </c>
    </row>
    <row r="27" spans="1:29" s="6" customFormat="1" x14ac:dyDescent="0.3">
      <c r="E27" s="231" t="s">
        <v>300</v>
      </c>
      <c r="F27" s="332">
        <v>5000</v>
      </c>
      <c r="G27" t="s">
        <v>341</v>
      </c>
      <c r="H27"/>
      <c r="I27" s="326">
        <v>4875</v>
      </c>
      <c r="J27" t="s">
        <v>368</v>
      </c>
      <c r="K27" t="s">
        <v>71</v>
      </c>
      <c r="L27" s="226"/>
      <c r="N27" s="226"/>
      <c r="O27" s="226"/>
      <c r="Q27" s="226"/>
      <c r="R27" s="226"/>
      <c r="Z27" s="6" t="s">
        <v>385</v>
      </c>
      <c r="AA27" s="6">
        <v>4875</v>
      </c>
    </row>
    <row r="28" spans="1:29" s="6" customFormat="1" x14ac:dyDescent="0.3">
      <c r="E28" s="45" t="s">
        <v>299</v>
      </c>
      <c r="F28" s="331">
        <v>25350</v>
      </c>
      <c r="G28" t="s">
        <v>341</v>
      </c>
      <c r="H28" s="128">
        <f>F27/975</f>
        <v>5.1282051282051286</v>
      </c>
      <c r="I28"/>
      <c r="J28"/>
      <c r="K28" t="s">
        <v>576</v>
      </c>
    </row>
    <row r="29" spans="1:29" s="6" customFormat="1" x14ac:dyDescent="0.3">
      <c r="E29" s="45" t="s">
        <v>298</v>
      </c>
      <c r="F29" s="331">
        <v>25000</v>
      </c>
      <c r="G29" t="s">
        <v>341</v>
      </c>
      <c r="H29"/>
      <c r="I29"/>
      <c r="J29"/>
      <c r="K29"/>
      <c r="W29" s="6">
        <v>4800</v>
      </c>
    </row>
    <row r="30" spans="1:29" s="6" customFormat="1" x14ac:dyDescent="0.3">
      <c r="W30" s="6" t="s">
        <v>577</v>
      </c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  <c r="AB31" t="s">
        <v>578</v>
      </c>
    </row>
    <row r="32" spans="1:29" x14ac:dyDescent="0.3">
      <c r="B32" t="s">
        <v>25</v>
      </c>
      <c r="C32" s="230" t="s">
        <v>509</v>
      </c>
      <c r="D32" s="1"/>
      <c r="E32" s="1"/>
      <c r="F32" s="1"/>
      <c r="G32" s="307">
        <f>AA63*975</f>
        <v>4875</v>
      </c>
      <c r="H32" s="1"/>
      <c r="I32" s="1"/>
      <c r="J32" s="308">
        <f>AL66</f>
        <v>195</v>
      </c>
      <c r="K32" s="229">
        <f>Table13[[#This Row],[ULT Ending Inventory 
(-75 deg C) (vials)]]+Table13[[#This Row],[Thawed Ending Inventory
(2-8 deg C) (vials)]]</f>
        <v>5070</v>
      </c>
      <c r="L32" s="229">
        <f>$F$27</f>
        <v>5000</v>
      </c>
      <c r="M32" s="229">
        <f>$F$26</f>
        <v>67275</v>
      </c>
      <c r="N32" s="229">
        <f t="shared" ref="N32:N62" si="0">$F$29</f>
        <v>25000</v>
      </c>
      <c r="O32" s="229" t="str">
        <f>IF(Table13[[#This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47" x14ac:dyDescent="0.3">
      <c r="C33" s="230" t="s">
        <v>512</v>
      </c>
      <c r="D33" s="1"/>
      <c r="E33" s="1">
        <f t="shared" ref="E33:E62" si="1">BF58*$I$26</f>
        <v>0</v>
      </c>
      <c r="F33" s="1">
        <f>IF(Table13[[#This Row],[Daily Vaccination
(vials)]]&gt;J32+Table13[[#This Row],[Problematic 
Vaccine 
Quantity]],IF(Table13[[#This Row],[Daily Vaccination
(vials)]]&gt;$I$26+J32,2*$I$26,$I$26),0)</f>
        <v>975</v>
      </c>
      <c r="G33" s="229">
        <f xml:space="preserve"> E33+G32-F33-Table13[[#This Row],[Outbound 20 clinics
(vials)]]</f>
        <v>3900</v>
      </c>
      <c r="H33" s="229">
        <f>AX58*975</f>
        <v>0</v>
      </c>
      <c r="I33" s="229">
        <f>AS58</f>
        <v>512</v>
      </c>
      <c r="J33" s="229">
        <f>J32+Table13[[#This Row],[ULT Consumption
(vials)]]-Table13[[#This Row],[Daily Vaccination
(vials)]]+Table13[[#This Row],[Problematic 
Vaccine 
Quantity]]</f>
        <v>658</v>
      </c>
      <c r="K33" s="229">
        <f>Table13[[#This Row],[ULT Ending Inventory 
(-75 deg C) (vials)]]+Table13[[#This Row],[Thawed Ending Inventory
(2-8 deg C) (vials)]]</f>
        <v>4558</v>
      </c>
      <c r="L33" s="229">
        <f t="shared" ref="L33:L62" si="2">$F$27</f>
        <v>5000</v>
      </c>
      <c r="M33" s="229">
        <f t="shared" ref="M33:M62" si="3">$F$26</f>
        <v>67275</v>
      </c>
      <c r="N33" s="229">
        <f t="shared" si="0"/>
        <v>25000</v>
      </c>
      <c r="O33" s="229" t="str">
        <f>IF(Table13[[#This Row],[Problematic 
Vaccine 
Quantity]]&gt;0, "YES","NO")</f>
        <v>NO</v>
      </c>
      <c r="P33" s="229">
        <v>0</v>
      </c>
      <c r="Q33" s="229">
        <f>Q32+(Table13[[#This Row],[Daily Vaccination
(vials)]]+Table13[[#This Row],[Outbound 20 clinics
(vials)]])*5</f>
        <v>12310</v>
      </c>
      <c r="R33" s="229"/>
      <c r="AA33" t="s">
        <v>381</v>
      </c>
      <c r="AB33" t="s">
        <v>404</v>
      </c>
      <c r="AC33" t="s">
        <v>405</v>
      </c>
    </row>
    <row r="34" spans="2:47" x14ac:dyDescent="0.3">
      <c r="C34" s="230" t="s">
        <v>513</v>
      </c>
      <c r="D34" s="1"/>
      <c r="E34" s="1">
        <f t="shared" si="1"/>
        <v>0</v>
      </c>
      <c r="F34" s="1">
        <f>IF(Table13[[#This Row],[Daily Vaccination
(vials)]]&gt;J33+Table13[[#This Row],[Problematic 
Vaccine 
Quantity]],IF(Table13[[#This Row],[Daily Vaccination
(vials)]]&gt;$I$26+J33,2*$I$26,$I$26),0)</f>
        <v>0</v>
      </c>
      <c r="G34" s="229">
        <f xml:space="preserve"> E34+G33-F34-Table13[[#This Row],[Outbound 20 clinics
(vials)]]</f>
        <v>3900</v>
      </c>
      <c r="H34" s="229">
        <f t="shared" ref="H34:H35" si="4">AX59*975</f>
        <v>0</v>
      </c>
      <c r="I34" s="229">
        <f t="shared" ref="I34:I62" si="5">AS59</f>
        <v>512</v>
      </c>
      <c r="J34" s="229">
        <f>J33+Table13[[#This Row],[ULT Consumption
(vials)]]-Table13[[#This Row],[Daily Vaccination
(vials)]]+Table13[[#This Row],[Problematic 
Vaccine 
Quantity]]</f>
        <v>146</v>
      </c>
      <c r="K34" s="229">
        <f>Table13[[#This Row],[ULT Ending Inventory 
(-75 deg C) (vials)]]+Table13[[#This Row],[Thawed Ending Inventory
(2-8 deg C) (vials)]]</f>
        <v>4046</v>
      </c>
      <c r="L34" s="229">
        <f t="shared" si="2"/>
        <v>5000</v>
      </c>
      <c r="M34" s="229">
        <f t="shared" si="3"/>
        <v>67275</v>
      </c>
      <c r="N34" s="229">
        <f t="shared" si="0"/>
        <v>25000</v>
      </c>
      <c r="O34" s="229" t="str">
        <f>IF(Table13[[#This Row],[Problematic 
Vaccine 
Quantity]]&gt;0, "YES","NO")</f>
        <v>NO</v>
      </c>
      <c r="P34" s="229">
        <v>0</v>
      </c>
      <c r="Q34" s="229">
        <f>Q33+(Table13[[#This Row],[Daily Vaccination
(vials)]]+Table13[[#This Row],[Outbound 20 clinics
(vials)]])*5</f>
        <v>14870</v>
      </c>
      <c r="R34" s="229"/>
      <c r="T34" t="s">
        <v>82</v>
      </c>
    </row>
    <row r="35" spans="2:47" x14ac:dyDescent="0.3">
      <c r="C35" s="230" t="s">
        <v>514</v>
      </c>
      <c r="D35" s="230"/>
      <c r="E35" s="1">
        <f t="shared" si="1"/>
        <v>0</v>
      </c>
      <c r="F35" s="1">
        <f>IF(Table13[[#This Row],[Daily Vaccination
(vials)]]&gt;J34+Table13[[#This Row],[Problematic 
Vaccine 
Quantity]],IF(Table13[[#This Row],[Daily Vaccination
(vials)]]&gt;$I$26+J34,2*$I$26,$I$26),0)</f>
        <v>975</v>
      </c>
      <c r="G35" s="229">
        <f xml:space="preserve"> E35+G34-F35-Table13[[#This Row],[Outbound 20 clinics
(vials)]]</f>
        <v>2925</v>
      </c>
      <c r="H35" s="229">
        <f t="shared" si="4"/>
        <v>0</v>
      </c>
      <c r="I35" s="229">
        <f t="shared" si="5"/>
        <v>512</v>
      </c>
      <c r="J35" s="229">
        <f>J34+Table13[[#This Row],[ULT Consumption
(vials)]]-Table13[[#This Row],[Daily Vaccination
(vials)]]+Table13[[#This Row],[Problematic 
Vaccine 
Quantity]]</f>
        <v>609</v>
      </c>
      <c r="K35" s="229">
        <f>Table13[[#This Row],[ULT Ending Inventory 
(-75 deg C) (vials)]]+Table13[[#This Row],[Thawed Ending Inventory
(2-8 deg C) (vials)]]</f>
        <v>3534</v>
      </c>
      <c r="L35" s="229">
        <f t="shared" si="2"/>
        <v>5000</v>
      </c>
      <c r="M35" s="229">
        <f t="shared" si="3"/>
        <v>67275</v>
      </c>
      <c r="N35" s="229">
        <f t="shared" si="0"/>
        <v>25000</v>
      </c>
      <c r="O35" s="229" t="str">
        <f>IF(Table13[[#This Row],[Problematic 
Vaccine 
Quantity]]&gt;0, "YES","NO")</f>
        <v>NO</v>
      </c>
      <c r="P35" s="229">
        <v>0</v>
      </c>
      <c r="Q35" s="229">
        <f>Q34+(Table13[[#This Row],[Daily Vaccination
(vials)]]+Table13[[#This Row],[Outbound 20 clinics
(vials)]])*5</f>
        <v>17430</v>
      </c>
      <c r="R35" s="229"/>
      <c r="W35" t="s">
        <v>383</v>
      </c>
      <c r="AA35" t="s">
        <v>382</v>
      </c>
    </row>
    <row r="36" spans="2:47" x14ac:dyDescent="0.3">
      <c r="C36" s="230" t="s">
        <v>515</v>
      </c>
      <c r="D36" s="230"/>
      <c r="E36" s="1">
        <f t="shared" si="1"/>
        <v>5850</v>
      </c>
      <c r="F36" s="1">
        <f>IF(Table13[[#This Row],[Daily Vaccination
(vials)]]&gt;J35+Table13[[#This Row],[Problematic 
Vaccine 
Quantity]],IF(Table13[[#This Row],[Daily Vaccination
(vials)]]&gt;$I$26+J35,2*$I$26,$I$26),0)</f>
        <v>0</v>
      </c>
      <c r="G36" s="229">
        <f xml:space="preserve"> E36+G35-F36-Table13[[#This Row],[Outbound 20 clinics
(vials)]]</f>
        <v>3900</v>
      </c>
      <c r="H36" s="229">
        <f>AX61*975</f>
        <v>4875</v>
      </c>
      <c r="I36" s="229">
        <f t="shared" si="5"/>
        <v>512</v>
      </c>
      <c r="J36" s="229">
        <f>J35+Table13[[#This Row],[ULT Consumption
(vials)]]-Table13[[#This Row],[Daily Vaccination
(vials)]]+Table13[[#This Row],[Problematic 
Vaccine 
Quantity]]</f>
        <v>97</v>
      </c>
      <c r="K36" s="229">
        <f>Table13[[#This Row],[ULT Ending Inventory 
(-75 deg C) (vials)]]+Table13[[#This Row],[Thawed Ending Inventory
(2-8 deg C) (vials)]]</f>
        <v>3997</v>
      </c>
      <c r="L36" s="229">
        <f t="shared" si="2"/>
        <v>5000</v>
      </c>
      <c r="M36" s="229">
        <f t="shared" si="3"/>
        <v>67275</v>
      </c>
      <c r="N36" s="229">
        <f t="shared" si="0"/>
        <v>25000</v>
      </c>
      <c r="O36" s="229" t="str">
        <f>IF(Table13[[#This Row],[Problematic 
Vaccine 
Quantity]]&gt;0, "YES","NO")</f>
        <v>NO</v>
      </c>
      <c r="P36" s="229">
        <v>0</v>
      </c>
      <c r="Q36" s="229">
        <f>Q35+(Table13[[#This Row],[Daily Vaccination
(vials)]]+Table13[[#This Row],[Outbound 20 clinics
(vials)]])*5</f>
        <v>44365</v>
      </c>
      <c r="R36" s="229"/>
    </row>
    <row r="37" spans="2:47" x14ac:dyDescent="0.3">
      <c r="C37" s="230" t="s">
        <v>516</v>
      </c>
      <c r="D37" s="230"/>
      <c r="E37" s="1">
        <f t="shared" si="1"/>
        <v>0</v>
      </c>
      <c r="F37" s="1">
        <f>IF(Table13[[#This Row],[Daily Vaccination
(vials)]]&gt;J36+Table13[[#This Row],[Problematic 
Vaccine 
Quantity]],IF(Table13[[#This Row],[Daily Vaccination
(vials)]]&gt;$I$26+J36,2*$I$26,$I$26),0)</f>
        <v>975</v>
      </c>
      <c r="G37" s="229">
        <f xml:space="preserve"> E37+G36-F37-Table13[[#This Row],[Outbound 20 clinics
(vials)]]</f>
        <v>2925</v>
      </c>
      <c r="H37" s="229">
        <f t="shared" ref="H37:H62" si="6">AX62*975</f>
        <v>0</v>
      </c>
      <c r="I37" s="229">
        <f t="shared" si="5"/>
        <v>512</v>
      </c>
      <c r="J37" s="229">
        <f>J36+Table13[[#This Row],[ULT Consumption
(vials)]]-Table13[[#This Row],[Daily Vaccination
(vials)]]+Table13[[#This Row],[Problematic 
Vaccine 
Quantity]]</f>
        <v>560</v>
      </c>
      <c r="K37" s="229">
        <f>Table13[[#This Row],[ULT Ending Inventory 
(-75 deg C) (vials)]]+Table13[[#This Row],[Thawed Ending Inventory
(2-8 deg C) (vials)]]</f>
        <v>3485</v>
      </c>
      <c r="L37" s="229">
        <f t="shared" si="2"/>
        <v>5000</v>
      </c>
      <c r="M37" s="229">
        <f t="shared" si="3"/>
        <v>67275</v>
      </c>
      <c r="N37" s="229">
        <f t="shared" si="0"/>
        <v>25000</v>
      </c>
      <c r="O37" s="229" t="str">
        <f>IF(Table13[[#This Row],[Problematic 
Vaccine 
Quantity]]&gt;0, "YES","NO")</f>
        <v>NO</v>
      </c>
      <c r="P37" s="229">
        <v>0</v>
      </c>
      <c r="Q37" s="229">
        <f>Q36+(Table13[[#This Row],[Daily Vaccination
(vials)]]+Table13[[#This Row],[Outbound 20 clinics
(vials)]])*5</f>
        <v>46925</v>
      </c>
      <c r="R37" s="229"/>
    </row>
    <row r="38" spans="2:47" x14ac:dyDescent="0.3">
      <c r="C38" s="230" t="s">
        <v>517</v>
      </c>
      <c r="D38" s="230"/>
      <c r="E38" s="1">
        <f t="shared" si="1"/>
        <v>0</v>
      </c>
      <c r="F38" s="1">
        <f>IF(Table13[[#This Row],[Daily Vaccination
(vials)]]&gt;J37+Table13[[#This Row],[Problematic 
Vaccine 
Quantity]],IF(Table13[[#This Row],[Daily Vaccination
(vials)]]&gt;$I$26+J37,2*$I$26,$I$26),0)</f>
        <v>0</v>
      </c>
      <c r="G38" s="229">
        <f xml:space="preserve"> E38+G37-F38-Table13[[#This Row],[Outbound 20 clinics
(vials)]]</f>
        <v>2925</v>
      </c>
      <c r="H38" s="229">
        <f t="shared" si="6"/>
        <v>0</v>
      </c>
      <c r="I38" s="229">
        <f t="shared" si="5"/>
        <v>512</v>
      </c>
      <c r="J38" s="229">
        <f>J37+Table13[[#This Row],[ULT Consumption
(vials)]]-Table13[[#This Row],[Daily Vaccination
(vials)]]+Table13[[#This Row],[Problematic 
Vaccine 
Quantity]]</f>
        <v>48</v>
      </c>
      <c r="K38" s="229">
        <f>Table13[[#This Row],[ULT Ending Inventory 
(-75 deg C) (vials)]]+Table13[[#This Row],[Thawed Ending Inventory
(2-8 deg C) (vials)]]</f>
        <v>2973</v>
      </c>
      <c r="L38" s="229">
        <f t="shared" si="2"/>
        <v>5000</v>
      </c>
      <c r="M38" s="229">
        <f t="shared" si="3"/>
        <v>67275</v>
      </c>
      <c r="N38" s="229">
        <f t="shared" si="0"/>
        <v>25000</v>
      </c>
      <c r="O38" s="229" t="str">
        <f>IF(Table13[[#This Row],[Problematic 
Vaccine 
Quantity]]&gt;0, "YES","NO")</f>
        <v>NO</v>
      </c>
      <c r="P38" s="229">
        <v>0</v>
      </c>
      <c r="Q38" s="229">
        <f>Q37+(Table13[[#This Row],[Daily Vaccination
(vials)]]+Table13[[#This Row],[Outbound 20 clinics
(vials)]])*5</f>
        <v>49485</v>
      </c>
      <c r="R38" s="229"/>
      <c r="V38" t="s">
        <v>385</v>
      </c>
    </row>
    <row r="39" spans="2:47" x14ac:dyDescent="0.3">
      <c r="C39" s="230" t="s">
        <v>518</v>
      </c>
      <c r="D39" s="230"/>
      <c r="E39" s="1">
        <f t="shared" si="1"/>
        <v>5850</v>
      </c>
      <c r="F39" s="1">
        <f>IF(Table13[[#This Row],[Daily Vaccination
(vials)]]&gt;J38+Table13[[#This Row],[Problematic 
Vaccine 
Quantity]],IF(Table13[[#This Row],[Daily Vaccination
(vials)]]&gt;$I$26+J38,2*$I$26,$I$26),0)</f>
        <v>975</v>
      </c>
      <c r="G39" s="229">
        <f xml:space="preserve"> E39+G38-F39-Table13[[#This Row],[Outbound 20 clinics
(vials)]]</f>
        <v>7800</v>
      </c>
      <c r="H39" s="229">
        <f t="shared" si="6"/>
        <v>0</v>
      </c>
      <c r="I39" s="229">
        <f t="shared" si="5"/>
        <v>512</v>
      </c>
      <c r="J39" s="229">
        <f>J38+Table13[[#This Row],[ULT Consumption
(vials)]]-Table13[[#This Row],[Daily Vaccination
(vials)]]+Table13[[#This Row],[Problematic 
Vaccine 
Quantity]]</f>
        <v>511</v>
      </c>
      <c r="K39" s="229">
        <f>Table13[[#This Row],[ULT Ending Inventory 
(-75 deg C) (vials)]]+Table13[[#This Row],[Thawed Ending Inventory
(2-8 deg C) (vials)]]</f>
        <v>8311</v>
      </c>
      <c r="L39" s="229">
        <f t="shared" si="2"/>
        <v>5000</v>
      </c>
      <c r="M39" s="229">
        <f t="shared" si="3"/>
        <v>67275</v>
      </c>
      <c r="N39" s="229">
        <f t="shared" si="0"/>
        <v>25000</v>
      </c>
      <c r="O39" s="229" t="str">
        <f>IF(Table13[[#This Row],[Problematic 
Vaccine 
Quantity]]&gt;0, "YES","NO")</f>
        <v>NO</v>
      </c>
      <c r="P39" s="229">
        <v>0</v>
      </c>
      <c r="Q39" s="229">
        <f>Q38+(Table13[[#This Row],[Daily Vaccination
(vials)]]+Table13[[#This Row],[Outbound 20 clinics
(vials)]])*5</f>
        <v>52045</v>
      </c>
      <c r="R39" s="229"/>
      <c r="V39">
        <v>5000</v>
      </c>
      <c r="X39" t="s">
        <v>384</v>
      </c>
      <c r="AA39" s="295" t="s">
        <v>401</v>
      </c>
    </row>
    <row r="40" spans="2:47" x14ac:dyDescent="0.3">
      <c r="C40" s="230" t="s">
        <v>519</v>
      </c>
      <c r="D40" s="230"/>
      <c r="E40" s="1">
        <f t="shared" si="1"/>
        <v>0</v>
      </c>
      <c r="F40" s="1">
        <f>IF(Table13[[#This Row],[Daily Vaccination
(vials)]]&gt;J39+Table13[[#This Row],[Problematic 
Vaccine 
Quantity]],IF(Table13[[#This Row],[Daily Vaccination
(vials)]]&gt;$I$26+J39,2*$I$26,$I$26),0)</f>
        <v>975</v>
      </c>
      <c r="G40" s="229">
        <f xml:space="preserve"> E40+G39-F40-Table13[[#This Row],[Outbound 20 clinics
(vials)]]</f>
        <v>6825</v>
      </c>
      <c r="H40" s="229">
        <f t="shared" si="6"/>
        <v>0</v>
      </c>
      <c r="I40" s="229">
        <f t="shared" si="5"/>
        <v>512</v>
      </c>
      <c r="J40" s="229">
        <f>J39+Table13[[#This Row],[ULT Consumption
(vials)]]-Table13[[#This Row],[Daily Vaccination
(vials)]]+Table13[[#This Row],[Problematic 
Vaccine 
Quantity]]</f>
        <v>974</v>
      </c>
      <c r="K40" s="229">
        <f>Table13[[#This Row],[ULT Ending Inventory 
(-75 deg C) (vials)]]+Table13[[#This Row],[Thawed Ending Inventory
(2-8 deg C) (vials)]]</f>
        <v>7799</v>
      </c>
      <c r="L40" s="229">
        <f t="shared" si="2"/>
        <v>5000</v>
      </c>
      <c r="M40" s="229">
        <f t="shared" si="3"/>
        <v>67275</v>
      </c>
      <c r="N40" s="229">
        <f t="shared" si="0"/>
        <v>25000</v>
      </c>
      <c r="O40" s="229" t="str">
        <f>IF(Table13[[#This Row],[Problematic 
Vaccine 
Quantity]]&gt;0, "YES","NO")</f>
        <v>NO</v>
      </c>
      <c r="P40" s="229">
        <v>0</v>
      </c>
      <c r="Q40" s="229">
        <f>Q39+(Table13[[#This Row],[Daily Vaccination
(vials)]]+Table13[[#This Row],[Outbound 20 clinics
(vials)]])*5</f>
        <v>54605</v>
      </c>
      <c r="R40" s="229"/>
    </row>
    <row r="41" spans="2:47" x14ac:dyDescent="0.3">
      <c r="C41" s="230" t="s">
        <v>520</v>
      </c>
      <c r="D41" s="230"/>
      <c r="E41" s="1">
        <f t="shared" si="1"/>
        <v>0</v>
      </c>
      <c r="F41" s="1">
        <f>IF(Table13[[#This Row],[Daily Vaccination
(vials)]]&gt;J40+Table13[[#This Row],[Problematic 
Vaccine 
Quantity]],IF(Table13[[#This Row],[Daily Vaccination
(vials)]]&gt;$I$26+J40,2*$I$26,$I$26),0)</f>
        <v>0</v>
      </c>
      <c r="G41" s="229">
        <f xml:space="preserve"> E41+G40-F41-Table13[[#This Row],[Outbound 20 clinics
(vials)]]</f>
        <v>6825</v>
      </c>
      <c r="H41" s="229">
        <f t="shared" si="6"/>
        <v>0</v>
      </c>
      <c r="I41" s="229">
        <f t="shared" si="5"/>
        <v>512</v>
      </c>
      <c r="J41" s="229">
        <f>J40+Table13[[#This Row],[ULT Consumption
(vials)]]-Table13[[#This Row],[Daily Vaccination
(vials)]]+Table13[[#This Row],[Problematic 
Vaccine 
Quantity]]</f>
        <v>462</v>
      </c>
      <c r="K41" s="229">
        <f>Table13[[#This Row],[ULT Ending Inventory 
(-75 deg C) (vials)]]+Table13[[#This Row],[Thawed Ending Inventory
(2-8 deg C) (vials)]]</f>
        <v>7287</v>
      </c>
      <c r="L41" s="229">
        <f t="shared" si="2"/>
        <v>5000</v>
      </c>
      <c r="M41" s="229">
        <f t="shared" si="3"/>
        <v>67275</v>
      </c>
      <c r="N41" s="229">
        <f t="shared" si="0"/>
        <v>25000</v>
      </c>
      <c r="O41" s="229" t="str">
        <f>IF(Table13[[#This Row],[Problematic 
Vaccine 
Quantity]]&gt;0, "YES","NO")</f>
        <v>NO</v>
      </c>
      <c r="P41" s="229">
        <v>0</v>
      </c>
      <c r="Q41" s="229">
        <f>Q40+(Table13[[#This Row],[Daily Vaccination
(vials)]]+Table13[[#This Row],[Outbound 20 clinics
(vials)]])*5</f>
        <v>57165</v>
      </c>
      <c r="R41" s="229"/>
    </row>
    <row r="42" spans="2:47" x14ac:dyDescent="0.3">
      <c r="B42" t="s">
        <v>248</v>
      </c>
      <c r="C42" s="230" t="s">
        <v>463</v>
      </c>
      <c r="D42" s="230"/>
      <c r="E42" s="1">
        <f t="shared" si="1"/>
        <v>0</v>
      </c>
      <c r="F42" s="1">
        <f>IF(Table13[[#This Row],[Daily Vaccination
(vials)]]&gt;J41+Table13[[#This Row],[Problematic 
Vaccine 
Quantity]],IF(Table13[[#This Row],[Daily Vaccination
(vials)]]&gt;$I$26+J41,2*$I$26,$I$26),0)</f>
        <v>975</v>
      </c>
      <c r="G42" s="229">
        <f xml:space="preserve"> E42+G41-F42-Table13[[#This Row],[Outbound 20 clinics
(vials)]]</f>
        <v>5850</v>
      </c>
      <c r="H42" s="229">
        <f t="shared" si="6"/>
        <v>0</v>
      </c>
      <c r="I42" s="229">
        <f t="shared" si="5"/>
        <v>512</v>
      </c>
      <c r="J42" s="229">
        <f>J41+Table13[[#This Row],[ULT Consumption
(vials)]]-Table13[[#This Row],[Daily Vaccination
(vials)]]+Table13[[#This Row],[Problematic 
Vaccine 
Quantity]]</f>
        <v>925</v>
      </c>
      <c r="K42" s="229">
        <f>Table13[[#This Row],[ULT Ending Inventory 
(-75 deg C) (vials)]]+Table13[[#This Row],[Thawed Ending Inventory
(2-8 deg C) (vials)]]</f>
        <v>6775</v>
      </c>
      <c r="L42" s="229">
        <f t="shared" si="2"/>
        <v>5000</v>
      </c>
      <c r="M42" s="229">
        <f t="shared" si="3"/>
        <v>67275</v>
      </c>
      <c r="N42" s="229">
        <f t="shared" si="0"/>
        <v>25000</v>
      </c>
      <c r="O42" s="229" t="str">
        <f>IF(Table13[[#This Row],[Problematic 
Vaccine 
Quantity]]&gt;0, "YES","NO")</f>
        <v>NO</v>
      </c>
      <c r="P42" s="229">
        <v>0</v>
      </c>
      <c r="Q42" s="229">
        <f>Q41+(Table13[[#This Row],[Daily Vaccination
(vials)]]+Table13[[#This Row],[Outbound 20 clinics
(vials)]])*5</f>
        <v>59725</v>
      </c>
      <c r="R42" s="229"/>
    </row>
    <row r="43" spans="2:47" x14ac:dyDescent="0.3">
      <c r="C43" s="230" t="s">
        <v>453</v>
      </c>
      <c r="D43" s="230"/>
      <c r="E43" s="1">
        <f t="shared" si="1"/>
        <v>0</v>
      </c>
      <c r="F43" s="1">
        <f>IF(Table13[[#This Row],[Daily Vaccination
(vials)]]&gt;J42+Table13[[#This Row],[Problematic 
Vaccine 
Quantity]],IF(Table13[[#This Row],[Daily Vaccination
(vials)]]&gt;$I$26+J42,2*$I$26,$I$26),0)</f>
        <v>0</v>
      </c>
      <c r="G43" s="229">
        <f xml:space="preserve"> E43+G42-F43-Table13[[#This Row],[Outbound 20 clinics
(vials)]]</f>
        <v>5850</v>
      </c>
      <c r="H43" s="229">
        <f t="shared" si="6"/>
        <v>0</v>
      </c>
      <c r="I43" s="229">
        <f t="shared" si="5"/>
        <v>512</v>
      </c>
      <c r="J43" s="229">
        <f>J42+Table13[[#This Row],[ULT Consumption
(vials)]]-Table13[[#This Row],[Daily Vaccination
(vials)]]+Table13[[#This Row],[Problematic 
Vaccine 
Quantity]]</f>
        <v>413</v>
      </c>
      <c r="K43" s="229">
        <f>Table13[[#This Row],[ULT Ending Inventory 
(-75 deg C) (vials)]]+Table13[[#This Row],[Thawed Ending Inventory
(2-8 deg C) (vials)]]</f>
        <v>6263</v>
      </c>
      <c r="L43" s="229">
        <f t="shared" si="2"/>
        <v>5000</v>
      </c>
      <c r="M43" s="229">
        <f t="shared" si="3"/>
        <v>67275</v>
      </c>
      <c r="N43" s="229">
        <f t="shared" si="0"/>
        <v>25000</v>
      </c>
      <c r="O43" s="229" t="str">
        <f>IF(Table13[[#This Row],[Problematic 
Vaccine 
Quantity]]&gt;0, "YES","NO")</f>
        <v>NO</v>
      </c>
      <c r="P43" s="229">
        <v>0</v>
      </c>
      <c r="Q43" s="229">
        <f>Q42+(Table13[[#This Row],[Daily Vaccination
(vials)]]+Table13[[#This Row],[Outbound 20 clinics
(vials)]])*5</f>
        <v>62285</v>
      </c>
      <c r="R43" s="229"/>
    </row>
    <row r="44" spans="2:47" x14ac:dyDescent="0.3">
      <c r="C44" s="230" t="s">
        <v>464</v>
      </c>
      <c r="D44" s="230"/>
      <c r="E44" s="1">
        <f t="shared" si="1"/>
        <v>0</v>
      </c>
      <c r="F44" s="1">
        <f>IF(Table13[[#This Row],[Daily Vaccination
(vials)]]&gt;J43+Table13[[#This Row],[Problematic 
Vaccine 
Quantity]],IF(Table13[[#This Row],[Daily Vaccination
(vials)]]&gt;$I$26+J43,2*$I$26,$I$26),0)</f>
        <v>975</v>
      </c>
      <c r="G44" s="229">
        <f xml:space="preserve"> E44+G43-F44-Table13[[#This Row],[Outbound 20 clinics
(vials)]]</f>
        <v>4875</v>
      </c>
      <c r="H44" s="229">
        <f t="shared" si="6"/>
        <v>0</v>
      </c>
      <c r="I44" s="229">
        <f t="shared" si="5"/>
        <v>512</v>
      </c>
      <c r="J44" s="229">
        <f>J43+Table13[[#This Row],[ULT Consumption
(vials)]]-Table13[[#This Row],[Daily Vaccination
(vials)]]+Table13[[#This Row],[Problematic 
Vaccine 
Quantity]]</f>
        <v>876</v>
      </c>
      <c r="K44" s="229">
        <f>Table13[[#This Row],[ULT Ending Inventory 
(-75 deg C) (vials)]]+Table13[[#This Row],[Thawed Ending Inventory
(2-8 deg C) (vials)]]</f>
        <v>5751</v>
      </c>
      <c r="L44" s="229">
        <f t="shared" si="2"/>
        <v>5000</v>
      </c>
      <c r="M44" s="229">
        <f t="shared" si="3"/>
        <v>67275</v>
      </c>
      <c r="N44" s="229">
        <f t="shared" si="0"/>
        <v>25000</v>
      </c>
      <c r="O44" s="229" t="str">
        <f>IF(Table13[[#This Row],[Problematic 
Vaccine 
Quantity]]&gt;0, "YES","NO")</f>
        <v>NO</v>
      </c>
      <c r="P44" s="229">
        <v>0</v>
      </c>
      <c r="Q44" s="229">
        <f>Q43+(Table13[[#This Row],[Daily Vaccination
(vials)]]+Table13[[#This Row],[Outbound 20 clinics
(vials)]])*5</f>
        <v>64845</v>
      </c>
      <c r="R44" s="229"/>
      <c r="AR44" t="s">
        <v>579</v>
      </c>
      <c r="AS44" t="s">
        <v>580</v>
      </c>
      <c r="AT44" t="s">
        <v>581</v>
      </c>
      <c r="AU44" t="s">
        <v>582</v>
      </c>
    </row>
    <row r="45" spans="2:47" x14ac:dyDescent="0.3">
      <c r="C45" s="230" t="s">
        <v>465</v>
      </c>
      <c r="D45" s="230"/>
      <c r="E45" s="1">
        <f t="shared" si="1"/>
        <v>0</v>
      </c>
      <c r="F45" s="1">
        <f>IF(Table13[[#This Row],[Daily Vaccination
(vials)]]&gt;J44+Table13[[#This Row],[Problematic 
Vaccine 
Quantity]],IF(Table13[[#This Row],[Daily Vaccination
(vials)]]&gt;$I$26+J44,2*$I$26,$I$26),0)</f>
        <v>0</v>
      </c>
      <c r="G45" s="229">
        <f xml:space="preserve"> E45+G44-F45-Table13[[#This Row],[Outbound 20 clinics
(vials)]]</f>
        <v>4875</v>
      </c>
      <c r="H45" s="229">
        <f t="shared" si="6"/>
        <v>0</v>
      </c>
      <c r="I45" s="229">
        <f t="shared" si="5"/>
        <v>512</v>
      </c>
      <c r="J45" s="229">
        <f>J44+Table13[[#This Row],[ULT Consumption
(vials)]]-Table13[[#This Row],[Daily Vaccination
(vials)]]+Table13[[#This Row],[Problematic 
Vaccine 
Quantity]]</f>
        <v>364</v>
      </c>
      <c r="K45" s="229">
        <f>Table13[[#This Row],[ULT Ending Inventory 
(-75 deg C) (vials)]]+Table13[[#This Row],[Thawed Ending Inventory
(2-8 deg C) (vials)]]</f>
        <v>5239</v>
      </c>
      <c r="L45" s="229">
        <f t="shared" si="2"/>
        <v>5000</v>
      </c>
      <c r="M45" s="229">
        <f t="shared" si="3"/>
        <v>67275</v>
      </c>
      <c r="N45" s="229">
        <f t="shared" si="0"/>
        <v>25000</v>
      </c>
      <c r="O45" s="229" t="str">
        <f>IF(Table13[[#This Row],[Problematic 
Vaccine 
Quantity]]&gt;0, "YES","NO")</f>
        <v>NO</v>
      </c>
      <c r="P45" s="229">
        <v>0</v>
      </c>
      <c r="Q45" s="229">
        <f>Q44+(Table13[[#This Row],[Daily Vaccination
(vials)]]+Table13[[#This Row],[Outbound 20 clinics
(vials)]])*5</f>
        <v>67405</v>
      </c>
      <c r="R45" s="229"/>
    </row>
    <row r="46" spans="2:47" x14ac:dyDescent="0.3">
      <c r="C46" s="230" t="s">
        <v>466</v>
      </c>
      <c r="D46" s="230"/>
      <c r="E46" s="1">
        <f t="shared" si="1"/>
        <v>0</v>
      </c>
      <c r="F46" s="1">
        <f>IF(Table13[[#This Row],[Daily Vaccination
(vials)]]&gt;J45+Table13[[#This Row],[Problematic 
Vaccine 
Quantity]],IF(Table13[[#This Row],[Daily Vaccination
(vials)]]&gt;$I$26+J45,2*$I$26,$I$26),0)</f>
        <v>975</v>
      </c>
      <c r="G46" s="229">
        <f xml:space="preserve"> E46+G45-F46-Table13[[#This Row],[Outbound 20 clinics
(vials)]]</f>
        <v>3900</v>
      </c>
      <c r="H46" s="229">
        <f t="shared" si="6"/>
        <v>0</v>
      </c>
      <c r="I46" s="229">
        <f t="shared" si="5"/>
        <v>512</v>
      </c>
      <c r="J46" s="229">
        <f>J45+Table13[[#This Row],[ULT Consumption
(vials)]]-Table13[[#This Row],[Daily Vaccination
(vials)]]+Table13[[#This Row],[Problematic 
Vaccine 
Quantity]]</f>
        <v>827</v>
      </c>
      <c r="K46" s="229">
        <f>Table13[[#This Row],[ULT Ending Inventory 
(-75 deg C) (vials)]]+Table13[[#This Row],[Thawed Ending Inventory
(2-8 deg C) (vials)]]</f>
        <v>4727</v>
      </c>
      <c r="L46" s="229">
        <f t="shared" si="2"/>
        <v>5000</v>
      </c>
      <c r="M46" s="229">
        <f t="shared" si="3"/>
        <v>67275</v>
      </c>
      <c r="N46" s="229">
        <f t="shared" si="0"/>
        <v>25000</v>
      </c>
      <c r="O46" s="229" t="str">
        <f>IF(Table13[[#This Row],[Problematic 
Vaccine 
Quantity]]&gt;0, "YES","NO")</f>
        <v>NO</v>
      </c>
      <c r="P46" s="229">
        <v>0</v>
      </c>
      <c r="Q46" s="229">
        <f>Q45+(Table13[[#This Row],[Daily Vaccination
(vials)]]+Table13[[#This Row],[Outbound 20 clinics
(vials)]])*5</f>
        <v>69965</v>
      </c>
      <c r="R46" s="229"/>
    </row>
    <row r="47" spans="2:47" x14ac:dyDescent="0.3">
      <c r="C47" s="230" t="s">
        <v>467</v>
      </c>
      <c r="D47" s="230"/>
      <c r="E47" s="1">
        <f t="shared" si="1"/>
        <v>0</v>
      </c>
      <c r="F47" s="1">
        <f>IF(Table13[[#This Row],[Daily Vaccination
(vials)]]&gt;J46+Table13[[#This Row],[Problematic 
Vaccine 
Quantity]],IF(Table13[[#This Row],[Daily Vaccination
(vials)]]&gt;$I$26+J46,2*$I$26,$I$26),0)</f>
        <v>0</v>
      </c>
      <c r="G47" s="229">
        <f xml:space="preserve"> E47+G46-F47-Table13[[#This Row],[Outbound 20 clinics
(vials)]]</f>
        <v>3900</v>
      </c>
      <c r="H47" s="229">
        <f t="shared" si="6"/>
        <v>0</v>
      </c>
      <c r="I47" s="229">
        <f t="shared" si="5"/>
        <v>512</v>
      </c>
      <c r="J47" s="229">
        <f>J46+Table13[[#This Row],[ULT Consumption
(vials)]]-Table13[[#This Row],[Daily Vaccination
(vials)]]+Table13[[#This Row],[Problematic 
Vaccine 
Quantity]]</f>
        <v>315</v>
      </c>
      <c r="K47" s="229">
        <f>Table13[[#This Row],[ULT Ending Inventory 
(-75 deg C) (vials)]]+Table13[[#This Row],[Thawed Ending Inventory
(2-8 deg C) (vials)]]</f>
        <v>4215</v>
      </c>
      <c r="L47" s="229">
        <f t="shared" si="2"/>
        <v>5000</v>
      </c>
      <c r="M47" s="229">
        <f t="shared" si="3"/>
        <v>67275</v>
      </c>
      <c r="N47" s="229">
        <f t="shared" si="0"/>
        <v>25000</v>
      </c>
      <c r="O47" s="229" t="str">
        <f>IF(Table13[[#This Row],[Problematic 
Vaccine 
Quantity]]&gt;0, "YES","NO")</f>
        <v>NO</v>
      </c>
      <c r="P47" s="229">
        <v>0</v>
      </c>
      <c r="Q47" s="229">
        <f>Q46+(Table13[[#This Row],[Daily Vaccination
(vials)]]+Table13[[#This Row],[Outbound 20 clinics
(vials)]])*5</f>
        <v>72525</v>
      </c>
      <c r="R47" s="229"/>
    </row>
    <row r="48" spans="2:47" x14ac:dyDescent="0.3">
      <c r="C48" s="230" t="s">
        <v>468</v>
      </c>
      <c r="D48" s="230"/>
      <c r="E48" s="1">
        <f t="shared" si="1"/>
        <v>0</v>
      </c>
      <c r="F48" s="1">
        <f>IF(Table13[[#This Row],[Daily Vaccination
(vials)]]&gt;J47+Table13[[#This Row],[Problematic 
Vaccine 
Quantity]],IF(Table13[[#This Row],[Daily Vaccination
(vials)]]&gt;$I$26+J47,2*$I$26,$I$26),0)</f>
        <v>975</v>
      </c>
      <c r="G48" s="229">
        <f xml:space="preserve"> E48+G47-F48-Table13[[#This Row],[Outbound 20 clinics
(vials)]]</f>
        <v>2925</v>
      </c>
      <c r="H48" s="229">
        <f t="shared" si="6"/>
        <v>0</v>
      </c>
      <c r="I48" s="229">
        <f t="shared" si="5"/>
        <v>512</v>
      </c>
      <c r="J48" s="229">
        <f>J47+Table13[[#This Row],[ULT Consumption
(vials)]]-Table13[[#This Row],[Daily Vaccination
(vials)]]+Table13[[#This Row],[Problematic 
Vaccine 
Quantity]]</f>
        <v>778</v>
      </c>
      <c r="K48" s="229">
        <f>Table13[[#This Row],[ULT Ending Inventory 
(-75 deg C) (vials)]]+Table13[[#This Row],[Thawed Ending Inventory
(2-8 deg C) (vials)]]</f>
        <v>3703</v>
      </c>
      <c r="L48" s="229">
        <f t="shared" si="2"/>
        <v>5000</v>
      </c>
      <c r="M48" s="229">
        <f t="shared" si="3"/>
        <v>67275</v>
      </c>
      <c r="N48" s="229">
        <f t="shared" si="0"/>
        <v>25000</v>
      </c>
      <c r="O48" s="229" t="str">
        <f>IF(Table13[[#This Row],[Problematic 
Vaccine 
Quantity]]&gt;0, "YES","NO")</f>
        <v>NO</v>
      </c>
      <c r="P48" s="229">
        <v>0</v>
      </c>
      <c r="Q48" s="229">
        <f>Q47+(Table13[[#This Row],[Daily Vaccination
(vials)]]+Table13[[#This Row],[Outbound 20 clinics
(vials)]])*5</f>
        <v>75085</v>
      </c>
      <c r="R48" s="229"/>
      <c r="AR48">
        <v>15</v>
      </c>
      <c r="AS48" t="s">
        <v>483</v>
      </c>
    </row>
    <row r="49" spans="3:63" x14ac:dyDescent="0.3">
      <c r="C49" s="230" t="s">
        <v>469</v>
      </c>
      <c r="D49" s="230"/>
      <c r="E49" s="1">
        <f t="shared" si="1"/>
        <v>5850</v>
      </c>
      <c r="F49" s="1">
        <f>IF(Table13[[#This Row],[Daily Vaccination
(vials)]]&gt;J48+Table13[[#This Row],[Problematic 
Vaccine 
Quantity]],IF(Table13[[#This Row],[Daily Vaccination
(vials)]]&gt;$I$26+J48,2*$I$26,$I$26),0)</f>
        <v>0</v>
      </c>
      <c r="G49" s="229">
        <f xml:space="preserve"> E49+G48-F49-Table13[[#This Row],[Outbound 20 clinics
(vials)]]</f>
        <v>3900</v>
      </c>
      <c r="H49" s="229">
        <f t="shared" si="6"/>
        <v>4875</v>
      </c>
      <c r="I49" s="229">
        <f t="shared" si="5"/>
        <v>512</v>
      </c>
      <c r="J49" s="229">
        <f>J48+Table13[[#This Row],[ULT Consumption
(vials)]]-Table13[[#This Row],[Daily Vaccination
(vials)]]+Table13[[#This Row],[Problematic 
Vaccine 
Quantity]]</f>
        <v>266</v>
      </c>
      <c r="K49" s="229">
        <f>Table13[[#This Row],[ULT Ending Inventory 
(-75 deg C) (vials)]]+Table13[[#This Row],[Thawed Ending Inventory
(2-8 deg C) (vials)]]</f>
        <v>4166</v>
      </c>
      <c r="L49" s="229">
        <f t="shared" si="2"/>
        <v>5000</v>
      </c>
      <c r="M49" s="229">
        <f t="shared" si="3"/>
        <v>67275</v>
      </c>
      <c r="N49" s="229">
        <f t="shared" si="0"/>
        <v>25000</v>
      </c>
      <c r="O49" s="229" t="str">
        <f>IF(Table13[[#This Row],[Problematic 
Vaccine 
Quantity]]&gt;0, "YES","NO")</f>
        <v>NO</v>
      </c>
      <c r="P49" s="229">
        <v>0</v>
      </c>
      <c r="Q49" s="229">
        <f>Q48+(Table13[[#This Row],[Daily Vaccination
(vials)]]+Table13[[#This Row],[Outbound 20 clinics
(vials)]])*5</f>
        <v>102020</v>
      </c>
      <c r="R49" s="229"/>
      <c r="AR49">
        <v>8</v>
      </c>
      <c r="AS49" t="s">
        <v>482</v>
      </c>
    </row>
    <row r="50" spans="3:63" x14ac:dyDescent="0.3">
      <c r="C50" s="230" t="s">
        <v>470</v>
      </c>
      <c r="D50" s="230"/>
      <c r="E50" s="1">
        <f t="shared" si="1"/>
        <v>0</v>
      </c>
      <c r="F50" s="1">
        <f>IF(Table13[[#This Row],[Daily Vaccination
(vials)]]&gt;J49+Table13[[#This Row],[Problematic 
Vaccine 
Quantity]],IF(Table13[[#This Row],[Daily Vaccination
(vials)]]&gt;$I$26+J49,2*$I$26,$I$26),0)</f>
        <v>975</v>
      </c>
      <c r="G50" s="229">
        <f xml:space="preserve"> E50+G49-F50-Table13[[#This Row],[Outbound 20 clinics
(vials)]]</f>
        <v>2925</v>
      </c>
      <c r="H50" s="229">
        <f t="shared" si="6"/>
        <v>0</v>
      </c>
      <c r="I50" s="229">
        <f t="shared" si="5"/>
        <v>512</v>
      </c>
      <c r="J50" s="229">
        <f>J49+Table13[[#This Row],[ULT Consumption
(vials)]]-Table13[[#This Row],[Daily Vaccination
(vials)]]+Table13[[#This Row],[Problematic 
Vaccine 
Quantity]]</f>
        <v>729</v>
      </c>
      <c r="K50" s="229">
        <f>Table13[[#This Row],[ULT Ending Inventory 
(-75 deg C) (vials)]]+Table13[[#This Row],[Thawed Ending Inventory
(2-8 deg C) (vials)]]</f>
        <v>3654</v>
      </c>
      <c r="L50" s="229">
        <f t="shared" si="2"/>
        <v>5000</v>
      </c>
      <c r="M50" s="229">
        <f t="shared" si="3"/>
        <v>67275</v>
      </c>
      <c r="N50" s="229">
        <f t="shared" si="0"/>
        <v>25000</v>
      </c>
      <c r="O50" s="229" t="str">
        <f>IF(Table13[[#This Row],[Problematic 
Vaccine 
Quantity]]&gt;0, "YES","NO")</f>
        <v>NO</v>
      </c>
      <c r="P50" s="229">
        <v>0</v>
      </c>
      <c r="Q50" s="229">
        <f>Q49+(Table13[[#This Row],[Daily Vaccination
(vials)]]+Table13[[#This Row],[Outbound 20 clinics
(vials)]])*5</f>
        <v>104580</v>
      </c>
      <c r="R50" s="229"/>
      <c r="AR50">
        <v>100</v>
      </c>
      <c r="AS50" t="s">
        <v>484</v>
      </c>
      <c r="BD50">
        <v>975</v>
      </c>
    </row>
    <row r="51" spans="3:63" x14ac:dyDescent="0.3">
      <c r="C51" s="230" t="s">
        <v>471</v>
      </c>
      <c r="D51" s="230"/>
      <c r="E51" s="1">
        <f t="shared" si="1"/>
        <v>0</v>
      </c>
      <c r="F51" s="1">
        <f>IF(Table13[[#This Row],[Daily Vaccination
(vials)]]&gt;J50+Table13[[#This Row],[Problematic 
Vaccine 
Quantity]],IF(Table13[[#This Row],[Daily Vaccination
(vials)]]&gt;$I$26+J50,2*$I$26,$I$26),0)</f>
        <v>0</v>
      </c>
      <c r="G51" s="229">
        <f xml:space="preserve"> E51+G50-F51-Table13[[#This Row],[Outbound 20 clinics
(vials)]]</f>
        <v>2925</v>
      </c>
      <c r="H51" s="229">
        <f t="shared" si="6"/>
        <v>0</v>
      </c>
      <c r="I51" s="229">
        <f t="shared" si="5"/>
        <v>512</v>
      </c>
      <c r="J51" s="229">
        <f>J50+Table13[[#This Row],[ULT Consumption
(vials)]]-Table13[[#This Row],[Daily Vaccination
(vials)]]+Table13[[#This Row],[Problematic 
Vaccine 
Quantity]]</f>
        <v>217</v>
      </c>
      <c r="K51" s="229">
        <f>Table13[[#This Row],[ULT Ending Inventory 
(-75 deg C) (vials)]]+Table13[[#This Row],[Thawed Ending Inventory
(2-8 deg C) (vials)]]</f>
        <v>3142</v>
      </c>
      <c r="L51" s="229">
        <f t="shared" si="2"/>
        <v>5000</v>
      </c>
      <c r="M51" s="229">
        <f t="shared" si="3"/>
        <v>67275</v>
      </c>
      <c r="N51" s="229">
        <f t="shared" si="0"/>
        <v>25000</v>
      </c>
      <c r="O51" s="229" t="str">
        <f>IF(Table13[[#This Row],[Problematic 
Vaccine 
Quantity]]&gt;0, "YES","NO")</f>
        <v>NO</v>
      </c>
      <c r="P51" s="229">
        <v>0</v>
      </c>
      <c r="Q51" s="229">
        <f>Q50+(Table13[[#This Row],[Daily Vaccination
(vials)]]+Table13[[#This Row],[Outbound 20 clinics
(vials)]])*5</f>
        <v>107140</v>
      </c>
      <c r="R51" s="229"/>
      <c r="AR51">
        <f>AR50*AR49*60/AR48</f>
        <v>3200</v>
      </c>
      <c r="AS51" t="s">
        <v>485</v>
      </c>
      <c r="BC51">
        <v>6</v>
      </c>
      <c r="BD51">
        <f>BC51*BD50</f>
        <v>5850</v>
      </c>
      <c r="BG51" s="20" t="s">
        <v>291</v>
      </c>
      <c r="BH51" s="331">
        <v>1</v>
      </c>
      <c r="BI51" t="s">
        <v>293</v>
      </c>
    </row>
    <row r="52" spans="3:63" x14ac:dyDescent="0.3">
      <c r="C52" s="230" t="s">
        <v>472</v>
      </c>
      <c r="D52" s="230"/>
      <c r="E52" s="1">
        <f t="shared" si="1"/>
        <v>5850</v>
      </c>
      <c r="F52" s="1">
        <f>IF(Table13[[#This Row],[Daily Vaccination
(vials)]]&gt;J51+Table13[[#This Row],[Problematic 
Vaccine 
Quantity]],IF(Table13[[#This Row],[Daily Vaccination
(vials)]]&gt;$I$26+J51,2*$I$26,$I$26),0)</f>
        <v>975</v>
      </c>
      <c r="G52" s="229">
        <f xml:space="preserve"> E52+G51-F52-Table13[[#This Row],[Outbound 20 clinics
(vials)]]</f>
        <v>7800</v>
      </c>
      <c r="H52" s="229">
        <f t="shared" si="6"/>
        <v>0</v>
      </c>
      <c r="I52" s="229">
        <f t="shared" si="5"/>
        <v>512</v>
      </c>
      <c r="J52" s="229">
        <f>J51+Table13[[#This Row],[ULT Consumption
(vials)]]-Table13[[#This Row],[Daily Vaccination
(vials)]]+Table13[[#This Row],[Problematic 
Vaccine 
Quantity]]</f>
        <v>680</v>
      </c>
      <c r="K52" s="229">
        <f>Table13[[#This Row],[ULT Ending Inventory 
(-75 deg C) (vials)]]+Table13[[#This Row],[Thawed Ending Inventory
(2-8 deg C) (vials)]]</f>
        <v>8480</v>
      </c>
      <c r="L52" s="229">
        <f t="shared" si="2"/>
        <v>5000</v>
      </c>
      <c r="M52" s="229">
        <f t="shared" si="3"/>
        <v>67275</v>
      </c>
      <c r="N52" s="229">
        <f t="shared" si="0"/>
        <v>25000</v>
      </c>
      <c r="O52" s="229" t="str">
        <f>IF(Table13[[#This Row],[Problematic 
Vaccine 
Quantity]]&gt;0, "YES","NO")</f>
        <v>NO</v>
      </c>
      <c r="P52" s="229">
        <v>0</v>
      </c>
      <c r="Q52" s="229">
        <f>Q51+(Table13[[#This Row],[Daily Vaccination
(vials)]]+Table13[[#This Row],[Outbound 20 clinics
(vials)]])*5</f>
        <v>109700</v>
      </c>
      <c r="R52" s="229"/>
      <c r="AV52" t="s">
        <v>733</v>
      </c>
      <c r="AX52" s="43">
        <f>'Indv Hosp fcast_2_10'!F7</f>
        <v>48000</v>
      </c>
      <c r="BG52" s="293" t="s">
        <v>342</v>
      </c>
      <c r="BH52" s="331">
        <v>19500</v>
      </c>
      <c r="BI52" t="s">
        <v>341</v>
      </c>
      <c r="BJ52" s="331">
        <f>BH52/$BC$55</f>
        <v>20</v>
      </c>
      <c r="BK52" t="s">
        <v>435</v>
      </c>
    </row>
    <row r="53" spans="3:63" x14ac:dyDescent="0.3">
      <c r="C53" s="230" t="s">
        <v>473</v>
      </c>
      <c r="D53" s="230"/>
      <c r="E53" s="1">
        <f t="shared" si="1"/>
        <v>0</v>
      </c>
      <c r="F53" s="1">
        <f>IF(Table13[[#This Row],[Daily Vaccination
(vials)]]&gt;J52+Table13[[#This Row],[Problematic 
Vaccine 
Quantity]],IF(Table13[[#This Row],[Daily Vaccination
(vials)]]&gt;$I$26+J52,2*$I$26,$I$26),0)</f>
        <v>0</v>
      </c>
      <c r="G53" s="229">
        <f xml:space="preserve"> E53+G52-F53-Table13[[#This Row],[Outbound 20 clinics
(vials)]]</f>
        <v>7800</v>
      </c>
      <c r="H53" s="229">
        <f t="shared" si="6"/>
        <v>0</v>
      </c>
      <c r="I53" s="229">
        <f t="shared" si="5"/>
        <v>512</v>
      </c>
      <c r="J53" s="229">
        <f>J52+Table13[[#This Row],[ULT Consumption
(vials)]]-Table13[[#This Row],[Daily Vaccination
(vials)]]+Table13[[#This Row],[Problematic 
Vaccine 
Quantity]]</f>
        <v>168</v>
      </c>
      <c r="K53" s="229">
        <f>Table13[[#This Row],[ULT Ending Inventory 
(-75 deg C) (vials)]]+Table13[[#This Row],[Thawed Ending Inventory
(2-8 deg C) (vials)]]</f>
        <v>7968</v>
      </c>
      <c r="L53" s="229">
        <f t="shared" si="2"/>
        <v>5000</v>
      </c>
      <c r="M53" s="229">
        <f t="shared" si="3"/>
        <v>67275</v>
      </c>
      <c r="N53" s="229">
        <f t="shared" si="0"/>
        <v>25000</v>
      </c>
      <c r="O53" s="229" t="str">
        <f>IF(Table13[[#This Row],[Problematic 
Vaccine 
Quantity]]&gt;0, "YES","NO")</f>
        <v>NO</v>
      </c>
      <c r="P53" s="229">
        <v>0</v>
      </c>
      <c r="Q53" s="229">
        <f>Q52+(Table13[[#This Row],[Daily Vaccination
(vials)]]+Table13[[#This Row],[Outbound 20 clinics
(vials)]])*5</f>
        <v>112260</v>
      </c>
      <c r="R53" s="229"/>
      <c r="AD53" s="6" t="s">
        <v>491</v>
      </c>
      <c r="AX53">
        <f>MROUND(AX52/4975,1)</f>
        <v>10</v>
      </c>
      <c r="BG53" s="231" t="s">
        <v>300</v>
      </c>
      <c r="BH53" s="332">
        <v>2925</v>
      </c>
      <c r="BI53" t="s">
        <v>341</v>
      </c>
      <c r="BJ53" s="331">
        <f t="shared" ref="BJ53:BJ54" si="7">BH53/$BC$55</f>
        <v>3</v>
      </c>
      <c r="BK53" t="s">
        <v>435</v>
      </c>
    </row>
    <row r="54" spans="3:63" ht="21" x14ac:dyDescent="0.4">
      <c r="C54" s="230" t="s">
        <v>474</v>
      </c>
      <c r="D54" s="230"/>
      <c r="E54" s="1">
        <f t="shared" si="1"/>
        <v>0</v>
      </c>
      <c r="F54" s="1">
        <f>IF(Table13[[#This Row],[Daily Vaccination
(vials)]]&gt;J53+Table13[[#This Row],[Problematic 
Vaccine 
Quantity]],IF(Table13[[#This Row],[Daily Vaccination
(vials)]]&gt;$I$26+J53,2*$I$26,$I$26),0)</f>
        <v>975</v>
      </c>
      <c r="G54" s="229">
        <f xml:space="preserve"> E54+G53-F54-Table13[[#This Row],[Outbound 20 clinics
(vials)]]</f>
        <v>6825</v>
      </c>
      <c r="H54" s="229">
        <f t="shared" si="6"/>
        <v>0</v>
      </c>
      <c r="I54" s="229">
        <f t="shared" si="5"/>
        <v>512</v>
      </c>
      <c r="J54" s="229">
        <f>J53+Table13[[#This Row],[ULT Consumption
(vials)]]-Table13[[#This Row],[Daily Vaccination
(vials)]]+Table13[[#This Row],[Problematic 
Vaccine 
Quantity]]</f>
        <v>631</v>
      </c>
      <c r="K54" s="229">
        <f>Table13[[#This Row],[ULT Ending Inventory 
(-75 deg C) (vials)]]+Table13[[#This Row],[Thawed Ending Inventory
(2-8 deg C) (vials)]]</f>
        <v>7456</v>
      </c>
      <c r="L54" s="229">
        <f t="shared" si="2"/>
        <v>5000</v>
      </c>
      <c r="M54" s="229">
        <f t="shared" si="3"/>
        <v>67275</v>
      </c>
      <c r="N54" s="229">
        <f t="shared" si="0"/>
        <v>25000</v>
      </c>
      <c r="O54" s="229" t="str">
        <f>IF(Table13[[#This Row],[Problematic 
Vaccine 
Quantity]]&gt;0, "YES","NO")</f>
        <v>NO</v>
      </c>
      <c r="P54" s="229">
        <v>0</v>
      </c>
      <c r="Q54" s="229">
        <f>Q53+(Table13[[#This Row],[Daily Vaccination
(vials)]]+Table13[[#This Row],[Outbound 20 clinics
(vials)]])*5</f>
        <v>114820</v>
      </c>
      <c r="R54" s="229"/>
      <c r="T54" s="946" t="s">
        <v>549</v>
      </c>
      <c r="U54" s="946"/>
      <c r="V54" s="946"/>
      <c r="AD54" s="945" t="s">
        <v>548</v>
      </c>
      <c r="AE54" s="945"/>
      <c r="AF54" s="945"/>
      <c r="AG54" s="945"/>
      <c r="AH54" s="945"/>
      <c r="BB54" t="s">
        <v>341</v>
      </c>
      <c r="BG54" s="45" t="s">
        <v>299</v>
      </c>
      <c r="BH54" s="331">
        <v>5850</v>
      </c>
      <c r="BI54" t="s">
        <v>341</v>
      </c>
      <c r="BJ54" s="331">
        <f t="shared" si="7"/>
        <v>6</v>
      </c>
      <c r="BK54" t="s">
        <v>435</v>
      </c>
    </row>
    <row r="55" spans="3:63" ht="57.6" x14ac:dyDescent="0.3">
      <c r="C55" s="230" t="s">
        <v>475</v>
      </c>
      <c r="D55" s="230"/>
      <c r="E55" s="1">
        <f t="shared" si="1"/>
        <v>0</v>
      </c>
      <c r="F55" s="1">
        <f>IF(Table13[[#This Row],[Daily Vaccination
(vials)]]&gt;J54+Table13[[#This Row],[Problematic 
Vaccine 
Quantity]],IF(Table13[[#This Row],[Daily Vaccination
(vials)]]&gt;$I$26+J54,2*$I$26,$I$26),0)</f>
        <v>0</v>
      </c>
      <c r="G55" s="229">
        <f xml:space="preserve"> E55+G54-F55-Table13[[#This Row],[Outbound 20 clinics
(vials)]]</f>
        <v>6825</v>
      </c>
      <c r="H55" s="229">
        <f t="shared" si="6"/>
        <v>0</v>
      </c>
      <c r="I55" s="229">
        <f t="shared" si="5"/>
        <v>512</v>
      </c>
      <c r="J55" s="229">
        <f>J54+Table13[[#This Row],[ULT Consumption
(vials)]]-Table13[[#This Row],[Daily Vaccination
(vials)]]+Table13[[#This Row],[Problematic 
Vaccine 
Quantity]]</f>
        <v>119</v>
      </c>
      <c r="K55" s="229">
        <f>Table13[[#This Row],[ULT Ending Inventory 
(-75 deg C) (vials)]]+Table13[[#This Row],[Thawed Ending Inventory
(2-8 deg C) (vials)]]</f>
        <v>6944</v>
      </c>
      <c r="L55" s="229">
        <f t="shared" si="2"/>
        <v>5000</v>
      </c>
      <c r="M55" s="229">
        <f t="shared" si="3"/>
        <v>67275</v>
      </c>
      <c r="N55" s="229">
        <f t="shared" si="0"/>
        <v>25000</v>
      </c>
      <c r="O55" s="229" t="str">
        <f>IF(Table13[[#This Row],[Problematic 
Vaccine 
Quantity]]&gt;0, "YES","NO")</f>
        <v>NO</v>
      </c>
      <c r="P55" s="229">
        <v>0</v>
      </c>
      <c r="Q55" s="229">
        <f>Q54+(Table13[[#This Row],[Daily Vaccination
(vials)]]+Table13[[#This Row],[Outbound 20 clinics
(vials)]])*5</f>
        <v>117380</v>
      </c>
      <c r="R55" s="229"/>
      <c r="T55" s="323" t="s">
        <v>68</v>
      </c>
      <c r="U55" s="323" t="s">
        <v>420</v>
      </c>
      <c r="V55" s="324" t="s">
        <v>409</v>
      </c>
      <c r="W55" s="324" t="s">
        <v>302</v>
      </c>
      <c r="X55" s="323" t="s">
        <v>438</v>
      </c>
      <c r="Y55" s="323" t="s">
        <v>511</v>
      </c>
      <c r="Z55" s="323" t="s">
        <v>436</v>
      </c>
      <c r="AA55" s="323" t="s">
        <v>437</v>
      </c>
      <c r="AB55" s="323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31" t="s">
        <v>451</v>
      </c>
      <c r="AQ55" s="931"/>
      <c r="AS55" s="37" t="s">
        <v>498</v>
      </c>
      <c r="AV55" s="932" t="s">
        <v>521</v>
      </c>
      <c r="AW55" s="931"/>
      <c r="AZ55" s="932" t="s">
        <v>583</v>
      </c>
      <c r="BA55" s="931"/>
      <c r="BB55" t="s">
        <v>385</v>
      </c>
      <c r="BC55">
        <v>975</v>
      </c>
      <c r="BE55" s="932" t="s">
        <v>584</v>
      </c>
      <c r="BF55" s="931"/>
      <c r="BG55" s="45" t="s">
        <v>532</v>
      </c>
      <c r="BH55" s="331">
        <v>4875</v>
      </c>
      <c r="BI55" t="s">
        <v>341</v>
      </c>
      <c r="BJ55" s="331">
        <v>0</v>
      </c>
      <c r="BK55" t="s">
        <v>435</v>
      </c>
    </row>
    <row r="56" spans="3:63" ht="43.2" x14ac:dyDescent="0.3">
      <c r="C56" s="230" t="s">
        <v>476</v>
      </c>
      <c r="D56" s="230"/>
      <c r="E56" s="1">
        <f t="shared" si="1"/>
        <v>0</v>
      </c>
      <c r="F56" s="1">
        <f>IF(Table13[[#This Row],[Daily Vaccination
(vials)]]&gt;J55+Table13[[#This Row],[Problematic 
Vaccine 
Quantity]],IF(Table13[[#This Row],[Daily Vaccination
(vials)]]&gt;$I$26+J55,2*$I$26,$I$26),0)</f>
        <v>975</v>
      </c>
      <c r="G56" s="229">
        <f xml:space="preserve"> E56+G55-F56-Table13[[#This Row],[Outbound 20 clinics
(vials)]]</f>
        <v>5850</v>
      </c>
      <c r="H56" s="229">
        <f t="shared" si="6"/>
        <v>0</v>
      </c>
      <c r="I56" s="229">
        <f t="shared" si="5"/>
        <v>512</v>
      </c>
      <c r="J56" s="229">
        <f>J55+Table13[[#This Row],[ULT Consumption
(vials)]]-Table13[[#This Row],[Daily Vaccination
(vials)]]+Table13[[#This Row],[Problematic 
Vaccine 
Quantity]]</f>
        <v>582</v>
      </c>
      <c r="K56" s="229">
        <f>Table13[[#This Row],[ULT Ending Inventory 
(-75 deg C) (vials)]]+Table13[[#This Row],[Thawed Ending Inventory
(2-8 deg C) (vials)]]</f>
        <v>6432</v>
      </c>
      <c r="L56" s="229">
        <f t="shared" si="2"/>
        <v>5000</v>
      </c>
      <c r="M56" s="229">
        <f t="shared" si="3"/>
        <v>67275</v>
      </c>
      <c r="N56" s="229">
        <f t="shared" si="0"/>
        <v>25000</v>
      </c>
      <c r="O56" s="229" t="str">
        <f>IF(Table13[[#This Row],[Problematic 
Vaccine 
Quantity]]&gt;0, "YES","NO")</f>
        <v>NO</v>
      </c>
      <c r="P56" s="229">
        <v>0</v>
      </c>
      <c r="Q56" s="229">
        <f>Q55+(Table13[[#This Row],[Daily Vaccination
(vials)]]+Table13[[#This Row],[Outbound 20 clinics
(vials)]])*5</f>
        <v>119940</v>
      </c>
      <c r="R56" s="229"/>
      <c r="T56" s="311" t="s">
        <v>414</v>
      </c>
      <c r="U56" s="937">
        <v>44186</v>
      </c>
      <c r="V56" s="319" t="s">
        <v>410</v>
      </c>
      <c r="W56" s="319" t="s">
        <v>10</v>
      </c>
      <c r="X56" s="310"/>
      <c r="Y56" s="310"/>
      <c r="Z56" s="326">
        <v>5</v>
      </c>
      <c r="AA56" s="310"/>
      <c r="AB56" s="310" t="s">
        <v>435</v>
      </c>
      <c r="AD56" s="311" t="s">
        <v>414</v>
      </c>
      <c r="AE56" s="937">
        <v>44186</v>
      </c>
      <c r="AF56" s="312" t="s">
        <v>417</v>
      </c>
      <c r="AG56" s="312" t="s">
        <v>418</v>
      </c>
      <c r="AH56" s="310"/>
      <c r="AI56" s="310"/>
      <c r="AJ56" s="310"/>
      <c r="AK56" s="326">
        <v>100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324" t="s">
        <v>486</v>
      </c>
      <c r="AV56" s="69" t="s">
        <v>68</v>
      </c>
      <c r="AW56" s="69" t="s">
        <v>420</v>
      </c>
      <c r="AX56" s="318" t="s">
        <v>528</v>
      </c>
      <c r="AZ56" s="324" t="s">
        <v>420</v>
      </c>
      <c r="BA56" s="324" t="s">
        <v>292</v>
      </c>
      <c r="BB56" s="323" t="s">
        <v>523</v>
      </c>
      <c r="BC56" s="324" t="s">
        <v>406</v>
      </c>
      <c r="BE56" s="324" t="s">
        <v>420</v>
      </c>
      <c r="BF56" s="324" t="s">
        <v>292</v>
      </c>
      <c r="BG56" s="324" t="s">
        <v>290</v>
      </c>
      <c r="BH56" s="324" t="s">
        <v>490</v>
      </c>
      <c r="BI56" s="324" t="s">
        <v>406</v>
      </c>
      <c r="BK56" s="37"/>
    </row>
    <row r="57" spans="3:63" x14ac:dyDescent="0.3">
      <c r="C57" s="230" t="s">
        <v>477</v>
      </c>
      <c r="D57" s="230"/>
      <c r="E57" s="1">
        <f t="shared" si="1"/>
        <v>0</v>
      </c>
      <c r="F57" s="1">
        <f>IF(Table13[[#This Row],[Daily Vaccination
(vials)]]&gt;J56+Table13[[#This Row],[Problematic 
Vaccine 
Quantity]],IF(Table13[[#This Row],[Daily Vaccination
(vials)]]&gt;$I$26+J56,2*$I$26,$I$26),0)</f>
        <v>0</v>
      </c>
      <c r="G57" s="229">
        <f xml:space="preserve"> E57+G56-F57-Table13[[#This Row],[Outbound 20 clinics
(vials)]]</f>
        <v>5850</v>
      </c>
      <c r="H57" s="229">
        <f t="shared" si="6"/>
        <v>0</v>
      </c>
      <c r="I57" s="229">
        <f t="shared" si="5"/>
        <v>512</v>
      </c>
      <c r="J57" s="229">
        <f>J56+Table13[[#This Row],[ULT Consumption
(vials)]]-Table13[[#This Row],[Daily Vaccination
(vials)]]+Table13[[#This Row],[Problematic 
Vaccine 
Quantity]]</f>
        <v>70</v>
      </c>
      <c r="K57" s="229">
        <f>Table13[[#This Row],[ULT Ending Inventory 
(-75 deg C) (vials)]]+Table13[[#This Row],[Thawed Ending Inventory
(2-8 deg C) (vials)]]</f>
        <v>5920</v>
      </c>
      <c r="L57" s="229">
        <f t="shared" si="2"/>
        <v>5000</v>
      </c>
      <c r="M57" s="229">
        <f t="shared" si="3"/>
        <v>67275</v>
      </c>
      <c r="N57" s="229">
        <f t="shared" si="0"/>
        <v>25000</v>
      </c>
      <c r="O57" s="229" t="str">
        <f>IF(Table13[[#This Row],[Problematic 
Vaccine 
Quantity]]&gt;0, "YES","NO")</f>
        <v>NO</v>
      </c>
      <c r="P57" s="229">
        <v>0</v>
      </c>
      <c r="Q57" s="229">
        <f>Q56+(Table13[[#This Row],[Daily Vaccination
(vials)]]+Table13[[#This Row],[Outbound 20 clinics
(vials)]])*5</f>
        <v>122500</v>
      </c>
      <c r="R57" s="229"/>
      <c r="T57" s="310"/>
      <c r="U57" s="938"/>
      <c r="V57" s="314" t="s">
        <v>424</v>
      </c>
      <c r="W57" s="314" t="s">
        <v>11</v>
      </c>
      <c r="X57" s="310"/>
      <c r="Y57" s="310"/>
      <c r="Z57" s="326">
        <v>1</v>
      </c>
      <c r="AA57" s="310"/>
      <c r="AB57" s="310" t="s">
        <v>435</v>
      </c>
      <c r="AD57" s="310"/>
      <c r="AE57" s="938"/>
      <c r="AF57" s="313" t="s">
        <v>415</v>
      </c>
      <c r="AG57" s="313" t="s">
        <v>419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66">
        <f>'Indv Hosp fcast_2_10'!K6</f>
        <v>2560</v>
      </c>
      <c r="AS57" s="327">
        <f>AR57/4875*975</f>
        <v>512</v>
      </c>
      <c r="AT57" s="329">
        <f>AS57/975</f>
        <v>0.52512820512820513</v>
      </c>
      <c r="AV57" s="310" t="s">
        <v>452</v>
      </c>
      <c r="AW57" s="328" t="s">
        <v>489</v>
      </c>
      <c r="AX57" s="71">
        <v>0</v>
      </c>
      <c r="AZ57" s="328" t="s">
        <v>489</v>
      </c>
      <c r="BA57" s="310"/>
      <c r="BB57" s="310"/>
      <c r="BC57" s="326">
        <f>AL66</f>
        <v>195</v>
      </c>
      <c r="BE57" s="328" t="s">
        <v>489</v>
      </c>
      <c r="BF57" s="310"/>
      <c r="BG57" s="310"/>
      <c r="BH57" s="310"/>
      <c r="BI57" s="326">
        <v>5</v>
      </c>
    </row>
    <row r="58" spans="3:63" ht="15" thickBot="1" x14ac:dyDescent="0.35">
      <c r="C58" s="230" t="s">
        <v>478</v>
      </c>
      <c r="D58" s="230"/>
      <c r="E58" s="1">
        <f t="shared" si="1"/>
        <v>0</v>
      </c>
      <c r="F58" s="1">
        <f>IF(Table13[[#This Row],[Daily Vaccination
(vials)]]&gt;J57+Table13[[#This Row],[Problematic 
Vaccine 
Quantity]],IF(Table13[[#This Row],[Daily Vaccination
(vials)]]&gt;$I$26+J57,2*$I$26,$I$26),0)</f>
        <v>975</v>
      </c>
      <c r="G58" s="229">
        <f xml:space="preserve"> E58+G57-F58-Table13[[#This Row],[Outbound 20 clinics
(vials)]]</f>
        <v>4875</v>
      </c>
      <c r="H58" s="229">
        <f t="shared" si="6"/>
        <v>0</v>
      </c>
      <c r="I58" s="229">
        <f t="shared" si="5"/>
        <v>512</v>
      </c>
      <c r="J58" s="229">
        <f>J57+Table13[[#This Row],[ULT Consumption
(vials)]]-Table13[[#This Row],[Daily Vaccination
(vials)]]+Table13[[#This Row],[Problematic 
Vaccine 
Quantity]]</f>
        <v>533</v>
      </c>
      <c r="K58" s="229">
        <f>Table13[[#This Row],[ULT Ending Inventory 
(-75 deg C) (vials)]]+Table13[[#This Row],[Thawed Ending Inventory
(2-8 deg C) (vials)]]</f>
        <v>5408</v>
      </c>
      <c r="L58" s="229">
        <f t="shared" si="2"/>
        <v>5000</v>
      </c>
      <c r="M58" s="229">
        <f t="shared" si="3"/>
        <v>67275</v>
      </c>
      <c r="N58" s="229">
        <f t="shared" si="0"/>
        <v>25000</v>
      </c>
      <c r="O58" s="229" t="str">
        <f>IF(Table13[[#This Row],[Problematic 
Vaccine 
Quantity]]&gt;0, "YES","NO")</f>
        <v>NO</v>
      </c>
      <c r="P58" s="229">
        <v>0</v>
      </c>
      <c r="Q58" s="229">
        <f>Q57+(Table13[[#This Row],[Daily Vaccination
(vials)]]+Table13[[#This Row],[Outbound 20 clinics
(vials)]])*5</f>
        <v>125060</v>
      </c>
      <c r="R58" s="229"/>
      <c r="T58" s="317"/>
      <c r="U58" s="939"/>
      <c r="V58" s="317"/>
      <c r="W58" s="317"/>
      <c r="X58" s="317"/>
      <c r="Y58" s="317"/>
      <c r="Z58" s="317"/>
      <c r="AA58" s="317">
        <f>Z56+Z57</f>
        <v>6</v>
      </c>
      <c r="AB58" s="317" t="s">
        <v>435</v>
      </c>
      <c r="AD58" s="317"/>
      <c r="AE58" s="939"/>
      <c r="AF58" s="317"/>
      <c r="AG58" s="317"/>
      <c r="AH58" s="317"/>
      <c r="AI58" s="317"/>
      <c r="AJ58" s="317"/>
      <c r="AK58" s="317"/>
      <c r="AL58" s="317">
        <f>AK56+AK57</f>
        <v>180</v>
      </c>
      <c r="AM58" s="317" t="s">
        <v>341</v>
      </c>
      <c r="AP58" s="310"/>
      <c r="AQ58" s="328" t="s">
        <v>454</v>
      </c>
      <c r="AR58" s="766">
        <f t="shared" ref="AR58:AR87" si="8">AR57</f>
        <v>2560</v>
      </c>
      <c r="AS58" s="71">
        <f>AR58/4875*975</f>
        <v>512</v>
      </c>
      <c r="AT58" s="329">
        <f>AS58/975</f>
        <v>0.52512820512820513</v>
      </c>
      <c r="AV58" s="310"/>
      <c r="AW58" s="328" t="s">
        <v>454</v>
      </c>
      <c r="AX58" s="71">
        <v>0</v>
      </c>
      <c r="AZ58" s="328" t="s">
        <v>454</v>
      </c>
      <c r="BA58" s="310">
        <f t="shared" ref="BA58:BA87" si="9">IF(BB58&gt;BC57, IF(BB58&gt; BC57+$BC$55, 2*$BC$55,$BC$55),0)</f>
        <v>975</v>
      </c>
      <c r="BB58" s="310">
        <f>AS58</f>
        <v>512</v>
      </c>
      <c r="BC58" s="310">
        <f>BA58+BC57-BB58</f>
        <v>658</v>
      </c>
      <c r="BE58" s="328" t="s">
        <v>454</v>
      </c>
      <c r="BF58" s="194">
        <v>0</v>
      </c>
      <c r="BG58" s="310">
        <f t="shared" ref="BG58:BG87" si="10">BA58/$BC$55</f>
        <v>1</v>
      </c>
      <c r="BH58" s="310">
        <f>AX58</f>
        <v>0</v>
      </c>
      <c r="BI58" s="310">
        <f>BF58+BI57-BG58-BH58</f>
        <v>4</v>
      </c>
    </row>
    <row r="59" spans="3:63" ht="15" thickTop="1" x14ac:dyDescent="0.3">
      <c r="C59" s="230" t="s">
        <v>479</v>
      </c>
      <c r="D59" s="230"/>
      <c r="E59" s="1">
        <f t="shared" si="1"/>
        <v>0</v>
      </c>
      <c r="F59" s="1">
        <f>IF(Table13[[#This Row],[Daily Vaccination
(vials)]]&gt;J58+Table13[[#This Row],[Problematic 
Vaccine 
Quantity]],IF(Table13[[#This Row],[Daily Vaccination
(vials)]]&gt;$I$26+J58,2*$I$26,$I$26),0)</f>
        <v>0</v>
      </c>
      <c r="G59" s="229">
        <f xml:space="preserve"> E59+G58-F59-Table13[[#This Row],[Outbound 20 clinics
(vials)]]</f>
        <v>4875</v>
      </c>
      <c r="H59" s="229">
        <f t="shared" si="6"/>
        <v>0</v>
      </c>
      <c r="I59" s="229">
        <f t="shared" si="5"/>
        <v>512</v>
      </c>
      <c r="J59" s="229">
        <f>J58+Table13[[#This Row],[ULT Consumption
(vials)]]-Table13[[#This Row],[Daily Vaccination
(vials)]]+Table13[[#This Row],[Problematic 
Vaccine 
Quantity]]</f>
        <v>21</v>
      </c>
      <c r="K59" s="229">
        <f>Table13[[#This Row],[ULT Ending Inventory 
(-75 deg C) (vials)]]+Table13[[#This Row],[Thawed Ending Inventory
(2-8 deg C) (vials)]]</f>
        <v>4896</v>
      </c>
      <c r="L59" s="229">
        <f t="shared" si="2"/>
        <v>5000</v>
      </c>
      <c r="M59" s="229">
        <f t="shared" si="3"/>
        <v>67275</v>
      </c>
      <c r="N59" s="229">
        <f t="shared" si="0"/>
        <v>25000</v>
      </c>
      <c r="O59" s="229" t="str">
        <f>IF(Table13[[#This Row],[Problematic 
Vaccine 
Quantity]]&gt;0, "YES","NO")</f>
        <v>NO</v>
      </c>
      <c r="P59" s="229">
        <v>0</v>
      </c>
      <c r="Q59" s="229">
        <f>Q58+(Table13[[#This Row],[Daily Vaccination
(vials)]]+Table13[[#This Row],[Outbound 20 clinics
(vials)]])*5</f>
        <v>127620</v>
      </c>
      <c r="R59" s="229"/>
      <c r="T59" s="315"/>
      <c r="U59" s="940">
        <v>44187</v>
      </c>
      <c r="V59" s="315"/>
      <c r="W59" s="315"/>
      <c r="X59" s="315"/>
      <c r="Y59" s="315"/>
      <c r="Z59" s="315"/>
      <c r="AA59" s="315"/>
      <c r="AB59" s="315" t="s">
        <v>435</v>
      </c>
      <c r="AD59" s="315"/>
      <c r="AE59" s="942">
        <v>44187</v>
      </c>
      <c r="AF59" s="316" t="str">
        <f>Y79</f>
        <v>3 days</v>
      </c>
      <c r="AG59" s="316" t="str">
        <f>Z79</f>
        <v>B</v>
      </c>
      <c r="AH59" s="315">
        <f>Y62*AF72</f>
        <v>975</v>
      </c>
      <c r="AI59" s="315"/>
      <c r="AJ59" s="315"/>
      <c r="AK59" s="315"/>
      <c r="AL59" s="315"/>
      <c r="AM59" s="315" t="s">
        <v>341</v>
      </c>
      <c r="AP59" s="310"/>
      <c r="AQ59" s="328" t="s">
        <v>455</v>
      </c>
      <c r="AR59" s="766">
        <f t="shared" si="8"/>
        <v>2560</v>
      </c>
      <c r="AS59" s="71">
        <f t="shared" ref="AS59:AS87" si="11">AR59/4875*975</f>
        <v>512</v>
      </c>
      <c r="AT59" s="329">
        <f t="shared" ref="AT59:AT87" si="12">AS59/975</f>
        <v>0.52512820512820513</v>
      </c>
      <c r="AV59" s="310"/>
      <c r="AW59" s="328" t="s">
        <v>455</v>
      </c>
      <c r="AX59" s="71">
        <v>0</v>
      </c>
      <c r="AZ59" s="328" t="s">
        <v>455</v>
      </c>
      <c r="BA59" s="310">
        <f t="shared" si="9"/>
        <v>0</v>
      </c>
      <c r="BB59" s="310">
        <f t="shared" ref="BB59:BB87" si="13">AS59</f>
        <v>512</v>
      </c>
      <c r="BC59" s="310">
        <f t="shared" ref="BC59:BC87" si="14">BA59+BC58-BB59</f>
        <v>146</v>
      </c>
      <c r="BE59" s="328" t="s">
        <v>455</v>
      </c>
      <c r="BF59" s="194">
        <v>0</v>
      </c>
      <c r="BG59" s="310">
        <f t="shared" si="10"/>
        <v>0</v>
      </c>
      <c r="BH59" s="310">
        <f t="shared" ref="BH59:BH87" si="15">AX59</f>
        <v>0</v>
      </c>
      <c r="BI59" s="310">
        <f t="shared" ref="BI59:BI87" si="16">BF59+BI58-BG59-BH59</f>
        <v>4</v>
      </c>
    </row>
    <row r="60" spans="3:63" x14ac:dyDescent="0.3">
      <c r="C60" s="230" t="s">
        <v>480</v>
      </c>
      <c r="D60" s="230"/>
      <c r="E60" s="1">
        <f t="shared" si="1"/>
        <v>0</v>
      </c>
      <c r="F60" s="1">
        <f>IF(Table13[[#This Row],[Daily Vaccination
(vials)]]&gt;J59+Table13[[#This Row],[Problematic 
Vaccine 
Quantity]],IF(Table13[[#This Row],[Daily Vaccination
(vials)]]&gt;$I$26+J59,2*$I$26,$I$26),0)</f>
        <v>975</v>
      </c>
      <c r="G60" s="229">
        <f xml:space="preserve"> E60+G59-F60-Table13[[#This Row],[Outbound 20 clinics
(vials)]]</f>
        <v>3900</v>
      </c>
      <c r="H60" s="229">
        <f t="shared" si="6"/>
        <v>0</v>
      </c>
      <c r="I60" s="229">
        <f t="shared" si="5"/>
        <v>512</v>
      </c>
      <c r="J60" s="229">
        <f>J59+Table13[[#This Row],[ULT Consumption
(vials)]]-Table13[[#This Row],[Daily Vaccination
(vials)]]+Table13[[#This Row],[Problematic 
Vaccine 
Quantity]]</f>
        <v>484</v>
      </c>
      <c r="K60" s="229">
        <f>Table13[[#This Row],[ULT Ending Inventory 
(-75 deg C) (vials)]]+Table13[[#This Row],[Thawed Ending Inventory
(2-8 deg C) (vials)]]</f>
        <v>4384</v>
      </c>
      <c r="L60" s="229">
        <f t="shared" si="2"/>
        <v>5000</v>
      </c>
      <c r="M60" s="229">
        <f t="shared" si="3"/>
        <v>67275</v>
      </c>
      <c r="N60" s="229">
        <f t="shared" si="0"/>
        <v>25000</v>
      </c>
      <c r="O60" s="229" t="str">
        <f>IF(Table13[[#This Row],[Problematic 
Vaccine 
Quantity]]&gt;0, "YES","NO")</f>
        <v>NO</v>
      </c>
      <c r="P60" s="229">
        <v>0</v>
      </c>
      <c r="Q60" s="229">
        <f>Q59+(Table13[[#This Row],[Daily Vaccination
(vials)]]+Table13[[#This Row],[Outbound 20 clinics
(vials)]])*5</f>
        <v>130180</v>
      </c>
      <c r="R60" s="229"/>
      <c r="T60" s="310"/>
      <c r="U60" s="938"/>
      <c r="V60" s="310"/>
      <c r="W60" s="310"/>
      <c r="X60" s="310"/>
      <c r="Y60" s="310"/>
      <c r="Z60" s="310"/>
      <c r="AA60" s="310"/>
      <c r="AB60" s="310" t="s">
        <v>435</v>
      </c>
      <c r="AD60" s="310"/>
      <c r="AE60" s="943"/>
      <c r="AF60" s="310"/>
      <c r="AG60" s="310"/>
      <c r="AH60" s="310"/>
      <c r="AI60" s="310"/>
      <c r="AJ60" s="310"/>
      <c r="AK60" s="310"/>
      <c r="AL60" s="310">
        <f>AL58+AH59</f>
        <v>1155</v>
      </c>
      <c r="AM60" s="310" t="s">
        <v>341</v>
      </c>
      <c r="AP60" s="310"/>
      <c r="AQ60" s="328" t="s">
        <v>456</v>
      </c>
      <c r="AR60" s="766">
        <f t="shared" si="8"/>
        <v>2560</v>
      </c>
      <c r="AS60" s="71">
        <f t="shared" si="11"/>
        <v>512</v>
      </c>
      <c r="AT60" s="329">
        <f t="shared" si="12"/>
        <v>0.52512820512820513</v>
      </c>
      <c r="AV60" s="310"/>
      <c r="AW60" s="328" t="s">
        <v>456</v>
      </c>
      <c r="AX60" s="71">
        <v>0</v>
      </c>
      <c r="AZ60" s="328" t="s">
        <v>456</v>
      </c>
      <c r="BA60" s="310">
        <f t="shared" si="9"/>
        <v>975</v>
      </c>
      <c r="BB60" s="310">
        <f t="shared" si="13"/>
        <v>512</v>
      </c>
      <c r="BC60" s="310">
        <f t="shared" si="14"/>
        <v>609</v>
      </c>
      <c r="BE60" s="328" t="s">
        <v>456</v>
      </c>
      <c r="BF60" s="194">
        <v>0</v>
      </c>
      <c r="BG60" s="310">
        <f t="shared" si="10"/>
        <v>1</v>
      </c>
      <c r="BH60" s="310">
        <f t="shared" si="15"/>
        <v>0</v>
      </c>
      <c r="BI60" s="310">
        <f t="shared" si="16"/>
        <v>3</v>
      </c>
    </row>
    <row r="61" spans="3:63" x14ac:dyDescent="0.3">
      <c r="C61" s="230" t="s">
        <v>481</v>
      </c>
      <c r="D61" s="230"/>
      <c r="E61" s="1">
        <f t="shared" si="1"/>
        <v>0</v>
      </c>
      <c r="F61" s="1">
        <f>IF(Table13[[#This Row],[Daily Vaccination
(vials)]]&gt;J60+Table13[[#This Row],[Problematic 
Vaccine 
Quantity]],IF(Table13[[#This Row],[Daily Vaccination
(vials)]]&gt;$I$26+J60,2*$I$26,$I$26),0)</f>
        <v>975</v>
      </c>
      <c r="G61" s="229">
        <f xml:space="preserve"> E61+G60-F61-Table13[[#This Row],[Outbound 20 clinics
(vials)]]</f>
        <v>2925</v>
      </c>
      <c r="H61" s="229">
        <f t="shared" si="6"/>
        <v>0</v>
      </c>
      <c r="I61" s="229">
        <f t="shared" si="5"/>
        <v>512</v>
      </c>
      <c r="J61" s="229">
        <f>J60+Table13[[#This Row],[ULT Consumption
(vials)]]-Table13[[#This Row],[Daily Vaccination
(vials)]]+Table13[[#This Row],[Problematic 
Vaccine 
Quantity]]</f>
        <v>947</v>
      </c>
      <c r="K61" s="229">
        <f>Table13[[#This Row],[ULT Ending Inventory 
(-75 deg C) (vials)]]+Table13[[#This Row],[Thawed Ending Inventory
(2-8 deg C) (vials)]]</f>
        <v>3872</v>
      </c>
      <c r="L61" s="229">
        <f t="shared" si="2"/>
        <v>5000</v>
      </c>
      <c r="M61" s="229">
        <f t="shared" si="3"/>
        <v>67275</v>
      </c>
      <c r="N61" s="229">
        <f t="shared" si="0"/>
        <v>25000</v>
      </c>
      <c r="O61" s="229" t="str">
        <f>IF(Table13[[#This Row],[Problematic 
Vaccine 
Quantity]]&gt;0, "YES","NO")</f>
        <v>NO</v>
      </c>
      <c r="P61" s="229">
        <v>0</v>
      </c>
      <c r="Q61" s="229">
        <f>Q60+(Table13[[#This Row],[Daily Vaccination
(vials)]]+Table13[[#This Row],[Outbound 20 clinics
(vials)]])*5</f>
        <v>132740</v>
      </c>
      <c r="R61" s="229"/>
      <c r="T61" s="310"/>
      <c r="U61" s="938"/>
      <c r="V61" s="310"/>
      <c r="W61" s="310"/>
      <c r="X61" s="310"/>
      <c r="Y61" s="310"/>
      <c r="Z61" s="310"/>
      <c r="AA61" s="310">
        <f>AA58+X60+X59</f>
        <v>6</v>
      </c>
      <c r="AB61" s="310" t="s">
        <v>435</v>
      </c>
      <c r="AD61" s="310"/>
      <c r="AE61" s="943"/>
      <c r="AF61" s="313" t="str">
        <f>Y92</f>
        <v>0 day</v>
      </c>
      <c r="AG61" s="313" t="str">
        <f>Z85</f>
        <v>H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66">
        <f t="shared" si="8"/>
        <v>2560</v>
      </c>
      <c r="AS61" s="71">
        <f t="shared" si="11"/>
        <v>512</v>
      </c>
      <c r="AT61" s="329">
        <f t="shared" si="12"/>
        <v>0.52512820512820513</v>
      </c>
      <c r="AV61" s="310"/>
      <c r="AW61" s="328" t="s">
        <v>457</v>
      </c>
      <c r="AX61" s="71">
        <v>5</v>
      </c>
      <c r="AZ61" s="328" t="s">
        <v>457</v>
      </c>
      <c r="BA61" s="310">
        <f t="shared" si="9"/>
        <v>0</v>
      </c>
      <c r="BB61" s="310">
        <f t="shared" si="13"/>
        <v>512</v>
      </c>
      <c r="BC61" s="310">
        <f t="shared" si="14"/>
        <v>97</v>
      </c>
      <c r="BE61" s="328" t="s">
        <v>457</v>
      </c>
      <c r="BF61" s="194">
        <v>6</v>
      </c>
      <c r="BG61" s="310">
        <f t="shared" si="10"/>
        <v>0</v>
      </c>
      <c r="BH61" s="310">
        <f t="shared" si="15"/>
        <v>5</v>
      </c>
      <c r="BI61" s="310">
        <f t="shared" si="16"/>
        <v>4</v>
      </c>
    </row>
    <row r="62" spans="3:63" x14ac:dyDescent="0.3">
      <c r="C62" s="230" t="s">
        <v>510</v>
      </c>
      <c r="D62" s="230"/>
      <c r="E62" s="1">
        <f t="shared" si="1"/>
        <v>0</v>
      </c>
      <c r="F62" s="1">
        <f>IF(Table13[[#This Row],[Daily Vaccination
(vials)]]&gt;J61+Table13[[#This Row],[Problematic 
Vaccine 
Quantity]],IF(Table13[[#This Row],[Daily Vaccination
(vials)]]&gt;$I$26+J61,2*$I$26,$I$26),0)</f>
        <v>0</v>
      </c>
      <c r="G62" s="229">
        <f xml:space="preserve"> E62+G61-F62-Table13[[#This Row],[Outbound 20 clinics
(vials)]]</f>
        <v>2925</v>
      </c>
      <c r="H62" s="229">
        <f t="shared" si="6"/>
        <v>0</v>
      </c>
      <c r="I62" s="229">
        <f t="shared" si="5"/>
        <v>512</v>
      </c>
      <c r="J62" s="229">
        <f>J61+Table13[[#This Row],[ULT Consumption
(vials)]]-Table13[[#This Row],[Daily Vaccination
(vials)]]+Table13[[#This Row],[Problematic 
Vaccine 
Quantity]]</f>
        <v>435</v>
      </c>
      <c r="K62" s="229">
        <f>Table13[[#This Row],[ULT Ending Inventory 
(-75 deg C) (vials)]]+Table13[[#This Row],[Thawed Ending Inventory
(2-8 deg C) (vials)]]</f>
        <v>3360</v>
      </c>
      <c r="L62" s="229">
        <f t="shared" si="2"/>
        <v>5000</v>
      </c>
      <c r="M62" s="229">
        <f t="shared" si="3"/>
        <v>67275</v>
      </c>
      <c r="N62" s="229">
        <f t="shared" si="0"/>
        <v>25000</v>
      </c>
      <c r="O62" s="229" t="str">
        <f>IF(Table13[[#This Row],[Problematic 
Vaccine 
Quantity]]&gt;0, "YES","NO")</f>
        <v>NO</v>
      </c>
      <c r="P62" s="229">
        <v>0</v>
      </c>
      <c r="Q62" s="229">
        <f>Q61+(Table13[[#This Row],[Daily Vaccination
(vials)]]+Table13[[#This Row],[Outbound 20 clinics
(vials)]])*5</f>
        <v>135300</v>
      </c>
      <c r="R62" s="229"/>
      <c r="T62" s="310"/>
      <c r="U62" s="938"/>
      <c r="V62" s="314" t="str">
        <f>Y84</f>
        <v>4 days</v>
      </c>
      <c r="W62" s="314" t="str">
        <f>Z84</f>
        <v>B</v>
      </c>
      <c r="X62" s="310"/>
      <c r="Y62" s="310">
        <f>W84</f>
        <v>1</v>
      </c>
      <c r="Z62" s="310"/>
      <c r="AA62" s="310"/>
      <c r="AB62" s="310" t="s">
        <v>435</v>
      </c>
      <c r="AD62" s="310"/>
      <c r="AE62" s="943"/>
      <c r="AF62" s="313" t="str">
        <f>Y85</f>
        <v>1 day</v>
      </c>
      <c r="AG62" s="313" t="s">
        <v>419</v>
      </c>
      <c r="AH62" s="310"/>
      <c r="AI62" s="310"/>
      <c r="AJ62" s="310"/>
      <c r="AK62" s="310">
        <f>AK57-AJ61</f>
        <v>30</v>
      </c>
      <c r="AL62" s="310"/>
      <c r="AM62" s="310"/>
      <c r="AP62" s="310"/>
      <c r="AQ62" s="328" t="s">
        <v>458</v>
      </c>
      <c r="AR62" s="766">
        <f t="shared" si="8"/>
        <v>2560</v>
      </c>
      <c r="AS62" s="71">
        <f t="shared" si="11"/>
        <v>512</v>
      </c>
      <c r="AT62" s="329">
        <f t="shared" si="12"/>
        <v>0.52512820512820513</v>
      </c>
      <c r="AV62" s="310"/>
      <c r="AW62" s="328" t="s">
        <v>458</v>
      </c>
      <c r="AX62" s="71">
        <v>0</v>
      </c>
      <c r="AZ62" s="328" t="s">
        <v>458</v>
      </c>
      <c r="BA62" s="310">
        <f t="shared" si="9"/>
        <v>975</v>
      </c>
      <c r="BB62" s="310">
        <f t="shared" si="13"/>
        <v>512</v>
      </c>
      <c r="BC62" s="310">
        <f t="shared" si="14"/>
        <v>560</v>
      </c>
      <c r="BE62" s="328" t="s">
        <v>458</v>
      </c>
      <c r="BF62" s="194">
        <v>0</v>
      </c>
      <c r="BG62" s="310">
        <f t="shared" si="10"/>
        <v>1</v>
      </c>
      <c r="BH62" s="310">
        <f t="shared" si="15"/>
        <v>0</v>
      </c>
      <c r="BI62" s="310">
        <f t="shared" si="16"/>
        <v>3</v>
      </c>
    </row>
    <row r="63" spans="3:63" x14ac:dyDescent="0.3">
      <c r="C63" s="294"/>
      <c r="D63" s="294"/>
      <c r="E63" s="229">
        <f>SUM(Table13[Replenishment
(vials)])+SUM(Table13[Problematic 
Vaccine 
Quantity])</f>
        <v>23400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310"/>
      <c r="U63" s="938"/>
      <c r="V63" s="310"/>
      <c r="W63" s="310"/>
      <c r="X63" s="310"/>
      <c r="Y63" s="310"/>
      <c r="Z63" s="310"/>
      <c r="AA63" s="310">
        <f>AA61-Y62</f>
        <v>5</v>
      </c>
      <c r="AB63" s="310" t="s">
        <v>435</v>
      </c>
      <c r="AD63" s="310"/>
      <c r="AE63" s="943"/>
      <c r="AF63" s="313" t="str">
        <f>Y85</f>
        <v>1 day</v>
      </c>
      <c r="AG63" s="313" t="s">
        <v>419</v>
      </c>
      <c r="AH63" s="310"/>
      <c r="AI63" s="310">
        <f>W85</f>
        <v>30</v>
      </c>
      <c r="AJ63" s="310"/>
      <c r="AK63" s="310"/>
      <c r="AL63" s="310"/>
      <c r="AM63" s="310"/>
      <c r="AP63" s="310"/>
      <c r="AQ63" s="328" t="s">
        <v>459</v>
      </c>
      <c r="AR63" s="766">
        <f t="shared" si="8"/>
        <v>2560</v>
      </c>
      <c r="AS63" s="71">
        <f t="shared" si="11"/>
        <v>512</v>
      </c>
      <c r="AT63" s="329">
        <f t="shared" si="12"/>
        <v>0.52512820512820513</v>
      </c>
      <c r="AV63" s="310"/>
      <c r="AW63" s="328" t="s">
        <v>459</v>
      </c>
      <c r="AX63" s="71">
        <v>0</v>
      </c>
      <c r="AZ63" s="328" t="s">
        <v>459</v>
      </c>
      <c r="BA63" s="310">
        <f t="shared" si="9"/>
        <v>0</v>
      </c>
      <c r="BB63" s="310">
        <f t="shared" si="13"/>
        <v>512</v>
      </c>
      <c r="BC63" s="310">
        <f t="shared" si="14"/>
        <v>48</v>
      </c>
      <c r="BE63" s="328" t="s">
        <v>459</v>
      </c>
      <c r="BF63" s="194">
        <v>0</v>
      </c>
      <c r="BG63" s="310">
        <f t="shared" si="10"/>
        <v>0</v>
      </c>
      <c r="BH63" s="310">
        <f t="shared" si="15"/>
        <v>0</v>
      </c>
      <c r="BI63" s="310">
        <f t="shared" si="16"/>
        <v>3</v>
      </c>
    </row>
    <row r="64" spans="3:63" x14ac:dyDescent="0.3">
      <c r="D64" t="s">
        <v>495</v>
      </c>
      <c r="E64" s="295"/>
      <c r="T64" s="310"/>
      <c r="U64" s="938"/>
      <c r="V64" s="319" t="s">
        <v>422</v>
      </c>
      <c r="W64" s="319" t="s">
        <v>10</v>
      </c>
      <c r="X64" s="310"/>
      <c r="Y64" s="310"/>
      <c r="Z64" s="310">
        <v>5</v>
      </c>
      <c r="AA64" s="310"/>
      <c r="AB64" s="310" t="s">
        <v>435</v>
      </c>
      <c r="AD64" s="310"/>
      <c r="AE64" s="943"/>
      <c r="AF64" s="312" t="str">
        <f>Y86</f>
        <v>2 days</v>
      </c>
      <c r="AG64" s="312" t="str">
        <f>Z86</f>
        <v>G</v>
      </c>
      <c r="AH64" s="310"/>
      <c r="AI64" s="310">
        <f>W86</f>
        <v>100</v>
      </c>
      <c r="AJ64" s="310"/>
      <c r="AK64" s="310"/>
      <c r="AL64" s="310"/>
      <c r="AM64" s="310" t="s">
        <v>341</v>
      </c>
      <c r="AP64" s="310"/>
      <c r="AQ64" s="328" t="s">
        <v>460</v>
      </c>
      <c r="AR64" s="766">
        <f t="shared" si="8"/>
        <v>2560</v>
      </c>
      <c r="AS64" s="71">
        <f t="shared" si="11"/>
        <v>512</v>
      </c>
      <c r="AT64" s="329">
        <f t="shared" si="12"/>
        <v>0.52512820512820513</v>
      </c>
      <c r="AV64" s="310"/>
      <c r="AW64" s="328" t="s">
        <v>460</v>
      </c>
      <c r="AX64" s="71">
        <v>0</v>
      </c>
      <c r="AZ64" s="328" t="s">
        <v>460</v>
      </c>
      <c r="BA64" s="310">
        <f t="shared" si="9"/>
        <v>975</v>
      </c>
      <c r="BB64" s="310">
        <f t="shared" si="13"/>
        <v>512</v>
      </c>
      <c r="BC64" s="310">
        <f t="shared" si="14"/>
        <v>511</v>
      </c>
      <c r="BE64" s="328" t="s">
        <v>460</v>
      </c>
      <c r="BF64" s="194">
        <v>6</v>
      </c>
      <c r="BG64" s="310">
        <f t="shared" si="10"/>
        <v>1</v>
      </c>
      <c r="BH64" s="310">
        <f t="shared" si="15"/>
        <v>0</v>
      </c>
      <c r="BI64" s="310">
        <f t="shared" si="16"/>
        <v>8</v>
      </c>
    </row>
    <row r="65" spans="5:61" x14ac:dyDescent="0.3">
      <c r="E65" s="295" t="s">
        <v>497</v>
      </c>
      <c r="T65" s="310"/>
      <c r="U65" s="938"/>
      <c r="V65" s="310"/>
      <c r="W65" s="310"/>
      <c r="X65" s="310"/>
      <c r="Y65" s="310"/>
      <c r="Z65" s="310"/>
      <c r="AA65" s="310"/>
      <c r="AB65" s="310" t="s">
        <v>435</v>
      </c>
      <c r="AD65" s="310"/>
      <c r="AE65" s="943"/>
      <c r="AF65" s="314" t="str">
        <f>Y87</f>
        <v>3 days</v>
      </c>
      <c r="AG65" s="314" t="str">
        <f>Z87</f>
        <v>B</v>
      </c>
      <c r="AH65" s="310"/>
      <c r="AI65" s="310">
        <f>W87</f>
        <v>830</v>
      </c>
      <c r="AJ65" s="310"/>
      <c r="AK65" s="310"/>
      <c r="AL65" s="310"/>
      <c r="AM65" s="310" t="s">
        <v>341</v>
      </c>
      <c r="AP65" s="310"/>
      <c r="AQ65" s="328" t="s">
        <v>461</v>
      </c>
      <c r="AR65" s="766">
        <f t="shared" si="8"/>
        <v>2560</v>
      </c>
      <c r="AS65" s="71">
        <f t="shared" si="11"/>
        <v>512</v>
      </c>
      <c r="AT65" s="329">
        <f t="shared" si="12"/>
        <v>0.52512820512820513</v>
      </c>
      <c r="AV65" s="310"/>
      <c r="AW65" s="328" t="s">
        <v>461</v>
      </c>
      <c r="AX65" s="71">
        <v>0</v>
      </c>
      <c r="AZ65" s="328" t="s">
        <v>461</v>
      </c>
      <c r="BA65" s="310">
        <f t="shared" si="9"/>
        <v>975</v>
      </c>
      <c r="BB65" s="310">
        <f t="shared" si="13"/>
        <v>512</v>
      </c>
      <c r="BC65" s="310">
        <f t="shared" si="14"/>
        <v>974</v>
      </c>
      <c r="BE65" s="328" t="s">
        <v>461</v>
      </c>
      <c r="BF65" s="194">
        <v>0</v>
      </c>
      <c r="BG65" s="310">
        <f t="shared" si="10"/>
        <v>1</v>
      </c>
      <c r="BH65" s="310">
        <f t="shared" si="15"/>
        <v>0</v>
      </c>
      <c r="BI65" s="310">
        <f t="shared" si="16"/>
        <v>7</v>
      </c>
    </row>
    <row r="66" spans="5:61" x14ac:dyDescent="0.3">
      <c r="T66" s="310"/>
      <c r="U66" s="941"/>
      <c r="V66" s="310"/>
      <c r="W66" s="310"/>
      <c r="X66" s="310"/>
      <c r="Y66" s="310"/>
      <c r="Z66" s="310"/>
      <c r="AA66" s="310"/>
      <c r="AB66" s="310" t="s">
        <v>435</v>
      </c>
      <c r="AD66" s="310"/>
      <c r="AE66" s="943"/>
      <c r="AF66" s="310" t="s">
        <v>417</v>
      </c>
      <c r="AG66" s="310" t="s">
        <v>11</v>
      </c>
      <c r="AH66" s="310"/>
      <c r="AI66" s="310"/>
      <c r="AJ66" s="310"/>
      <c r="AK66" s="310"/>
      <c r="AL66" s="310">
        <f>AL60-AI64-AI63-AI65</f>
        <v>195</v>
      </c>
      <c r="AM66" s="310" t="s">
        <v>341</v>
      </c>
      <c r="AP66" s="310"/>
      <c r="AQ66" s="328" t="s">
        <v>462</v>
      </c>
      <c r="AR66" s="766">
        <f t="shared" si="8"/>
        <v>2560</v>
      </c>
      <c r="AS66" s="71">
        <f t="shared" si="11"/>
        <v>512</v>
      </c>
      <c r="AT66" s="329">
        <f t="shared" si="12"/>
        <v>0.52512820512820513</v>
      </c>
      <c r="AV66" s="310"/>
      <c r="AW66" s="328" t="s">
        <v>462</v>
      </c>
      <c r="AX66" s="71">
        <v>0</v>
      </c>
      <c r="AZ66" s="328" t="s">
        <v>462</v>
      </c>
      <c r="BA66" s="310">
        <f t="shared" si="9"/>
        <v>0</v>
      </c>
      <c r="BB66" s="310">
        <f t="shared" si="13"/>
        <v>512</v>
      </c>
      <c r="BC66" s="310">
        <f t="shared" si="14"/>
        <v>462</v>
      </c>
      <c r="BE66" s="328" t="s">
        <v>462</v>
      </c>
      <c r="BF66" s="194">
        <v>0</v>
      </c>
      <c r="BG66" s="310">
        <f t="shared" si="10"/>
        <v>0</v>
      </c>
      <c r="BH66" s="310">
        <f t="shared" si="15"/>
        <v>0</v>
      </c>
      <c r="BI66" s="310">
        <f t="shared" si="16"/>
        <v>7</v>
      </c>
    </row>
    <row r="67" spans="5:61" x14ac:dyDescent="0.3">
      <c r="F67" s="119"/>
      <c r="P67" s="20"/>
      <c r="AD67" s="310"/>
      <c r="AE67" s="944"/>
      <c r="AF67" s="310" t="s">
        <v>417</v>
      </c>
      <c r="AG67" s="310" t="s">
        <v>11</v>
      </c>
      <c r="AH67" s="310"/>
      <c r="AI67" s="310"/>
      <c r="AJ67" s="310"/>
      <c r="AK67" s="310">
        <f>AL66</f>
        <v>195</v>
      </c>
      <c r="AL67" s="310"/>
      <c r="AM67" s="310" t="s">
        <v>341</v>
      </c>
      <c r="AP67" s="310"/>
      <c r="AQ67" s="328" t="s">
        <v>463</v>
      </c>
      <c r="AR67" s="766">
        <f t="shared" si="8"/>
        <v>2560</v>
      </c>
      <c r="AS67" s="71">
        <f t="shared" si="11"/>
        <v>512</v>
      </c>
      <c r="AT67" s="329">
        <f t="shared" si="12"/>
        <v>0.52512820512820513</v>
      </c>
      <c r="AV67" s="310"/>
      <c r="AW67" s="328" t="s">
        <v>463</v>
      </c>
      <c r="AX67" s="71">
        <v>0</v>
      </c>
      <c r="AZ67" s="328" t="s">
        <v>463</v>
      </c>
      <c r="BA67" s="310">
        <f t="shared" si="9"/>
        <v>975</v>
      </c>
      <c r="BB67" s="310">
        <f t="shared" si="13"/>
        <v>512</v>
      </c>
      <c r="BC67" s="310">
        <f t="shared" si="14"/>
        <v>925</v>
      </c>
      <c r="BE67" s="328" t="s">
        <v>463</v>
      </c>
      <c r="BF67" s="194">
        <v>0</v>
      </c>
      <c r="BG67" s="310">
        <f t="shared" si="10"/>
        <v>1</v>
      </c>
      <c r="BH67" s="310">
        <f t="shared" si="15"/>
        <v>0</v>
      </c>
      <c r="BI67" s="310">
        <f t="shared" si="16"/>
        <v>6</v>
      </c>
    </row>
    <row r="68" spans="5:61" x14ac:dyDescent="0.3">
      <c r="AP68" s="310"/>
      <c r="AQ68" s="328" t="s">
        <v>453</v>
      </c>
      <c r="AR68" s="766">
        <f t="shared" si="8"/>
        <v>2560</v>
      </c>
      <c r="AS68" s="71">
        <f t="shared" si="11"/>
        <v>512</v>
      </c>
      <c r="AT68" s="329">
        <f t="shared" si="12"/>
        <v>0.52512820512820513</v>
      </c>
      <c r="AV68" s="310"/>
      <c r="AW68" s="328" t="s">
        <v>453</v>
      </c>
      <c r="AX68" s="71">
        <v>0</v>
      </c>
      <c r="AZ68" s="328" t="s">
        <v>453</v>
      </c>
      <c r="BA68" s="310">
        <f t="shared" si="9"/>
        <v>0</v>
      </c>
      <c r="BB68" s="310">
        <f t="shared" si="13"/>
        <v>512</v>
      </c>
      <c r="BC68" s="310">
        <f t="shared" si="14"/>
        <v>413</v>
      </c>
      <c r="BE68" s="328" t="s">
        <v>453</v>
      </c>
      <c r="BF68" s="194">
        <v>0</v>
      </c>
      <c r="BG68" s="310">
        <f t="shared" si="10"/>
        <v>0</v>
      </c>
      <c r="BH68" s="310">
        <f t="shared" si="15"/>
        <v>0</v>
      </c>
      <c r="BI68" s="310">
        <f t="shared" si="16"/>
        <v>6</v>
      </c>
    </row>
    <row r="69" spans="5:61" x14ac:dyDescent="0.3">
      <c r="N69" s="20"/>
      <c r="AP69" s="310"/>
      <c r="AQ69" s="328" t="s">
        <v>464</v>
      </c>
      <c r="AR69" s="766">
        <f t="shared" si="8"/>
        <v>2560</v>
      </c>
      <c r="AS69" s="71">
        <f t="shared" si="11"/>
        <v>512</v>
      </c>
      <c r="AT69" s="329">
        <f t="shared" si="12"/>
        <v>0.52512820512820513</v>
      </c>
      <c r="AV69" s="310"/>
      <c r="AW69" s="328" t="s">
        <v>464</v>
      </c>
      <c r="AX69" s="71">
        <v>0</v>
      </c>
      <c r="AZ69" s="328" t="s">
        <v>464</v>
      </c>
      <c r="BA69" s="310">
        <f t="shared" si="9"/>
        <v>975</v>
      </c>
      <c r="BB69" s="310">
        <f t="shared" si="13"/>
        <v>512</v>
      </c>
      <c r="BC69" s="310">
        <f t="shared" si="14"/>
        <v>876</v>
      </c>
      <c r="BE69" s="328" t="s">
        <v>464</v>
      </c>
      <c r="BF69" s="194">
        <v>0</v>
      </c>
      <c r="BG69" s="310">
        <f t="shared" si="10"/>
        <v>1</v>
      </c>
      <c r="BH69" s="310">
        <f t="shared" si="15"/>
        <v>0</v>
      </c>
      <c r="BI69" s="310">
        <f t="shared" si="16"/>
        <v>5</v>
      </c>
    </row>
    <row r="70" spans="5:61" x14ac:dyDescent="0.3">
      <c r="T70" t="s">
        <v>421</v>
      </c>
      <c r="AI70" t="s">
        <v>508</v>
      </c>
      <c r="AP70" s="310"/>
      <c r="AQ70" s="328" t="s">
        <v>465</v>
      </c>
      <c r="AR70" s="766">
        <f t="shared" si="8"/>
        <v>2560</v>
      </c>
      <c r="AS70" s="71">
        <f t="shared" si="11"/>
        <v>512</v>
      </c>
      <c r="AT70" s="329">
        <f t="shared" si="12"/>
        <v>0.52512820512820513</v>
      </c>
      <c r="AV70" s="310"/>
      <c r="AW70" s="328" t="s">
        <v>465</v>
      </c>
      <c r="AX70" s="71">
        <v>0</v>
      </c>
      <c r="AZ70" s="328" t="s">
        <v>465</v>
      </c>
      <c r="BA70" s="310">
        <f t="shared" si="9"/>
        <v>0</v>
      </c>
      <c r="BB70" s="310">
        <f t="shared" si="13"/>
        <v>512</v>
      </c>
      <c r="BC70" s="310">
        <f t="shared" si="14"/>
        <v>364</v>
      </c>
      <c r="BE70" s="328" t="s">
        <v>465</v>
      </c>
      <c r="BF70" s="194">
        <v>0</v>
      </c>
      <c r="BG70" s="310">
        <f t="shared" si="10"/>
        <v>0</v>
      </c>
      <c r="BH70" s="310">
        <f t="shared" si="15"/>
        <v>0</v>
      </c>
      <c r="BI70" s="310">
        <f t="shared" si="16"/>
        <v>5</v>
      </c>
    </row>
    <row r="71" spans="5:61" x14ac:dyDescent="0.3">
      <c r="T71" t="s">
        <v>500</v>
      </c>
      <c r="AD71">
        <v>1</v>
      </c>
      <c r="AP71" s="310"/>
      <c r="AQ71" s="328" t="s">
        <v>466</v>
      </c>
      <c r="AR71" s="766">
        <f t="shared" si="8"/>
        <v>2560</v>
      </c>
      <c r="AS71" s="71">
        <f t="shared" si="11"/>
        <v>512</v>
      </c>
      <c r="AT71" s="329">
        <f t="shared" si="12"/>
        <v>0.52512820512820513</v>
      </c>
      <c r="AV71" s="310"/>
      <c r="AW71" s="328" t="s">
        <v>466</v>
      </c>
      <c r="AX71" s="71">
        <v>0</v>
      </c>
      <c r="AZ71" s="328" t="s">
        <v>466</v>
      </c>
      <c r="BA71" s="310">
        <f t="shared" si="9"/>
        <v>975</v>
      </c>
      <c r="BB71" s="310">
        <f t="shared" si="13"/>
        <v>512</v>
      </c>
      <c r="BC71" s="310">
        <f t="shared" si="14"/>
        <v>827</v>
      </c>
      <c r="BE71" s="328" t="s">
        <v>466</v>
      </c>
      <c r="BF71" s="194">
        <v>0</v>
      </c>
      <c r="BG71" s="310">
        <f t="shared" si="10"/>
        <v>1</v>
      </c>
      <c r="BH71" s="310">
        <f t="shared" si="15"/>
        <v>0</v>
      </c>
      <c r="BI71" s="310">
        <f t="shared" si="16"/>
        <v>4</v>
      </c>
    </row>
    <row r="72" spans="5:61" x14ac:dyDescent="0.3">
      <c r="P72" s="20"/>
      <c r="T72" t="s">
        <v>426</v>
      </c>
      <c r="AD72" t="s">
        <v>429</v>
      </c>
      <c r="AE72" t="s">
        <v>427</v>
      </c>
      <c r="AF72">
        <v>975</v>
      </c>
      <c r="AG72" t="s">
        <v>367</v>
      </c>
      <c r="AP72" s="310"/>
      <c r="AQ72" s="328" t="s">
        <v>467</v>
      </c>
      <c r="AR72" s="766">
        <f t="shared" si="8"/>
        <v>2560</v>
      </c>
      <c r="AS72" s="71">
        <f t="shared" si="11"/>
        <v>512</v>
      </c>
      <c r="AT72" s="329">
        <f t="shared" si="12"/>
        <v>0.52512820512820513</v>
      </c>
      <c r="AV72" s="310"/>
      <c r="AW72" s="328" t="s">
        <v>467</v>
      </c>
      <c r="AX72" s="71">
        <v>0</v>
      </c>
      <c r="AZ72" s="328" t="s">
        <v>467</v>
      </c>
      <c r="BA72" s="310">
        <f t="shared" si="9"/>
        <v>0</v>
      </c>
      <c r="BB72" s="310">
        <f t="shared" si="13"/>
        <v>512</v>
      </c>
      <c r="BC72" s="310">
        <f t="shared" si="14"/>
        <v>315</v>
      </c>
      <c r="BE72" s="328" t="s">
        <v>467</v>
      </c>
      <c r="BF72" s="194">
        <v>0</v>
      </c>
      <c r="BG72" s="310">
        <f t="shared" si="10"/>
        <v>0</v>
      </c>
      <c r="BH72" s="310">
        <f t="shared" si="15"/>
        <v>0</v>
      </c>
      <c r="BI72" s="310">
        <f t="shared" si="16"/>
        <v>4</v>
      </c>
    </row>
    <row r="73" spans="5:61" x14ac:dyDescent="0.3">
      <c r="AC73" s="20" t="s">
        <v>428</v>
      </c>
      <c r="AD73" t="s">
        <v>430</v>
      </c>
      <c r="AP73" s="310"/>
      <c r="AQ73" s="328" t="s">
        <v>468</v>
      </c>
      <c r="AR73" s="766">
        <f t="shared" si="8"/>
        <v>2560</v>
      </c>
      <c r="AS73" s="71">
        <f t="shared" si="11"/>
        <v>512</v>
      </c>
      <c r="AT73" s="329">
        <f t="shared" si="12"/>
        <v>0.52512820512820513</v>
      </c>
      <c r="AV73" s="310"/>
      <c r="AW73" s="328" t="s">
        <v>468</v>
      </c>
      <c r="AX73" s="71">
        <v>0</v>
      </c>
      <c r="AZ73" s="328" t="s">
        <v>468</v>
      </c>
      <c r="BA73" s="310">
        <f t="shared" si="9"/>
        <v>975</v>
      </c>
      <c r="BB73" s="310">
        <f t="shared" si="13"/>
        <v>512</v>
      </c>
      <c r="BC73" s="310">
        <f t="shared" si="14"/>
        <v>778</v>
      </c>
      <c r="BE73" s="328" t="s">
        <v>468</v>
      </c>
      <c r="BF73" s="194"/>
      <c r="BG73" s="310">
        <f t="shared" si="10"/>
        <v>1</v>
      </c>
      <c r="BH73" s="310">
        <f t="shared" si="15"/>
        <v>0</v>
      </c>
      <c r="BI73" s="310">
        <f t="shared" si="16"/>
        <v>3</v>
      </c>
    </row>
    <row r="74" spans="5:61" x14ac:dyDescent="0.3">
      <c r="AD74" t="s">
        <v>431</v>
      </c>
      <c r="AP74" s="310"/>
      <c r="AQ74" s="328" t="s">
        <v>469</v>
      </c>
      <c r="AR74" s="766">
        <f t="shared" si="8"/>
        <v>2560</v>
      </c>
      <c r="AS74" s="71">
        <f t="shared" si="11"/>
        <v>512</v>
      </c>
      <c r="AT74" s="329">
        <f t="shared" si="12"/>
        <v>0.52512820512820513</v>
      </c>
      <c r="AV74" s="310"/>
      <c r="AW74" s="328" t="s">
        <v>469</v>
      </c>
      <c r="AX74" s="71">
        <v>5</v>
      </c>
      <c r="AZ74" s="328" t="s">
        <v>469</v>
      </c>
      <c r="BA74" s="310">
        <f t="shared" si="9"/>
        <v>0</v>
      </c>
      <c r="BB74" s="310">
        <f t="shared" si="13"/>
        <v>512</v>
      </c>
      <c r="BC74" s="310">
        <f t="shared" si="14"/>
        <v>266</v>
      </c>
      <c r="BE74" s="328" t="s">
        <v>469</v>
      </c>
      <c r="BF74" s="194">
        <v>6</v>
      </c>
      <c r="BG74" s="310">
        <f t="shared" si="10"/>
        <v>0</v>
      </c>
      <c r="BH74" s="310">
        <f t="shared" si="15"/>
        <v>5</v>
      </c>
      <c r="BI74" s="310">
        <f t="shared" si="16"/>
        <v>4</v>
      </c>
    </row>
    <row r="75" spans="5:61" ht="28.8" x14ac:dyDescent="0.3">
      <c r="T75" s="301" t="s">
        <v>441</v>
      </c>
      <c r="AD75" t="s">
        <v>434</v>
      </c>
      <c r="AP75" s="310"/>
      <c r="AQ75" s="328" t="s">
        <v>470</v>
      </c>
      <c r="AR75" s="766">
        <f t="shared" si="8"/>
        <v>2560</v>
      </c>
      <c r="AS75" s="71">
        <f t="shared" si="11"/>
        <v>512</v>
      </c>
      <c r="AT75" s="329">
        <f t="shared" si="12"/>
        <v>0.52512820512820513</v>
      </c>
      <c r="AV75" s="310"/>
      <c r="AW75" s="328" t="s">
        <v>470</v>
      </c>
      <c r="AX75" s="71">
        <v>0</v>
      </c>
      <c r="AZ75" s="328" t="s">
        <v>470</v>
      </c>
      <c r="BA75" s="310">
        <f t="shared" si="9"/>
        <v>975</v>
      </c>
      <c r="BB75" s="310">
        <f t="shared" si="13"/>
        <v>512</v>
      </c>
      <c r="BC75" s="310">
        <f t="shared" si="14"/>
        <v>729</v>
      </c>
      <c r="BE75" s="328" t="s">
        <v>470</v>
      </c>
      <c r="BF75" s="194">
        <v>0</v>
      </c>
      <c r="BG75" s="310">
        <f t="shared" si="10"/>
        <v>1</v>
      </c>
      <c r="BH75" s="310">
        <f t="shared" si="15"/>
        <v>0</v>
      </c>
      <c r="BI75" s="310">
        <f t="shared" si="16"/>
        <v>3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P76" s="310"/>
      <c r="AQ76" s="328" t="s">
        <v>471</v>
      </c>
      <c r="AR76" s="766">
        <f t="shared" si="8"/>
        <v>2560</v>
      </c>
      <c r="AS76" s="71">
        <f t="shared" si="11"/>
        <v>512</v>
      </c>
      <c r="AT76" s="329">
        <f t="shared" si="12"/>
        <v>0.52512820512820513</v>
      </c>
      <c r="AV76" s="310"/>
      <c r="AW76" s="328" t="s">
        <v>471</v>
      </c>
      <c r="AX76" s="71">
        <v>0</v>
      </c>
      <c r="AZ76" s="328" t="s">
        <v>471</v>
      </c>
      <c r="BA76" s="310">
        <f t="shared" si="9"/>
        <v>0</v>
      </c>
      <c r="BB76" s="310">
        <f t="shared" si="13"/>
        <v>512</v>
      </c>
      <c r="BC76" s="310">
        <f t="shared" si="14"/>
        <v>217</v>
      </c>
      <c r="BE76" s="328" t="s">
        <v>471</v>
      </c>
      <c r="BF76" s="194">
        <v>0</v>
      </c>
      <c r="BG76" s="310">
        <f t="shared" si="10"/>
        <v>0</v>
      </c>
      <c r="BH76" s="310">
        <f t="shared" si="15"/>
        <v>0</v>
      </c>
      <c r="BI76" s="310">
        <f t="shared" si="16"/>
        <v>3</v>
      </c>
    </row>
    <row r="77" spans="5:61" ht="47.4" customHeight="1" x14ac:dyDescent="0.3">
      <c r="T77" s="37" t="s">
        <v>414</v>
      </c>
      <c r="U77" s="296">
        <v>44187</v>
      </c>
      <c r="V77" t="s">
        <v>408</v>
      </c>
      <c r="W77">
        <v>25</v>
      </c>
      <c r="X77" t="s">
        <v>435</v>
      </c>
      <c r="Y77" s="303" t="s">
        <v>411</v>
      </c>
      <c r="Z77" s="303" t="s">
        <v>12</v>
      </c>
      <c r="AD77" s="37" t="s">
        <v>443</v>
      </c>
      <c r="AE77" s="323" t="s">
        <v>432</v>
      </c>
      <c r="AF77" s="323" t="s">
        <v>433</v>
      </c>
      <c r="AG77" s="323" t="s">
        <v>413</v>
      </c>
      <c r="AP77" s="310"/>
      <c r="AQ77" s="328" t="s">
        <v>472</v>
      </c>
      <c r="AR77" s="766">
        <f t="shared" si="8"/>
        <v>2560</v>
      </c>
      <c r="AS77" s="71">
        <f t="shared" si="11"/>
        <v>512</v>
      </c>
      <c r="AT77" s="329">
        <f t="shared" si="12"/>
        <v>0.52512820512820513</v>
      </c>
      <c r="AV77" s="310"/>
      <c r="AW77" s="328" t="s">
        <v>472</v>
      </c>
      <c r="AX77" s="71">
        <v>0</v>
      </c>
      <c r="AZ77" s="328" t="s">
        <v>472</v>
      </c>
      <c r="BA77" s="310">
        <f t="shared" si="9"/>
        <v>975</v>
      </c>
      <c r="BB77" s="310">
        <f t="shared" si="13"/>
        <v>512</v>
      </c>
      <c r="BC77" s="310">
        <f t="shared" si="14"/>
        <v>680</v>
      </c>
      <c r="BE77" s="328" t="s">
        <v>472</v>
      </c>
      <c r="BF77" s="194">
        <v>6</v>
      </c>
      <c r="BG77" s="310">
        <f t="shared" si="10"/>
        <v>1</v>
      </c>
      <c r="BH77" s="310">
        <f t="shared" si="15"/>
        <v>0</v>
      </c>
      <c r="BI77" s="310">
        <f t="shared" si="16"/>
        <v>8</v>
      </c>
    </row>
    <row r="78" spans="5:61" x14ac:dyDescent="0.3">
      <c r="T78" s="37" t="s">
        <v>414</v>
      </c>
      <c r="U78" s="296">
        <v>44187</v>
      </c>
      <c r="V78" t="s">
        <v>408</v>
      </c>
      <c r="W78">
        <v>20</v>
      </c>
      <c r="X78" t="s">
        <v>435</v>
      </c>
      <c r="Y78" s="235" t="s">
        <v>423</v>
      </c>
      <c r="Z78" s="235" t="s">
        <v>412</v>
      </c>
      <c r="AP78" s="310"/>
      <c r="AQ78" s="328" t="s">
        <v>473</v>
      </c>
      <c r="AR78" s="766">
        <f t="shared" si="8"/>
        <v>2560</v>
      </c>
      <c r="AS78" s="71">
        <f t="shared" si="11"/>
        <v>512</v>
      </c>
      <c r="AT78" s="329">
        <f t="shared" si="12"/>
        <v>0.52512820512820513</v>
      </c>
      <c r="AV78" s="310"/>
      <c r="AW78" s="328" t="s">
        <v>473</v>
      </c>
      <c r="AX78" s="71">
        <v>0</v>
      </c>
      <c r="AZ78" s="328" t="s">
        <v>473</v>
      </c>
      <c r="BA78" s="310">
        <f t="shared" si="9"/>
        <v>0</v>
      </c>
      <c r="BB78" s="310">
        <f t="shared" si="13"/>
        <v>512</v>
      </c>
      <c r="BC78" s="310">
        <f t="shared" si="14"/>
        <v>168</v>
      </c>
      <c r="BE78" s="328" t="s">
        <v>473</v>
      </c>
      <c r="BF78" s="194">
        <v>0</v>
      </c>
      <c r="BG78" s="310">
        <f t="shared" si="10"/>
        <v>0</v>
      </c>
      <c r="BH78" s="310">
        <f t="shared" si="15"/>
        <v>0</v>
      </c>
      <c r="BI78" s="310">
        <f t="shared" si="16"/>
        <v>8</v>
      </c>
    </row>
    <row r="79" spans="5:61" x14ac:dyDescent="0.3">
      <c r="T79" s="37" t="s">
        <v>414</v>
      </c>
      <c r="U79" s="296">
        <v>44187</v>
      </c>
      <c r="V79" t="s">
        <v>407</v>
      </c>
      <c r="W79">
        <v>975</v>
      </c>
      <c r="X79" t="s">
        <v>341</v>
      </c>
      <c r="Y79" s="298" t="s">
        <v>417</v>
      </c>
      <c r="Z79" s="298" t="s">
        <v>11</v>
      </c>
      <c r="AP79" s="310"/>
      <c r="AQ79" s="328" t="s">
        <v>474</v>
      </c>
      <c r="AR79" s="766">
        <f t="shared" si="8"/>
        <v>2560</v>
      </c>
      <c r="AS79" s="71">
        <f t="shared" si="11"/>
        <v>512</v>
      </c>
      <c r="AT79" s="329">
        <f t="shared" si="12"/>
        <v>0.52512820512820513</v>
      </c>
      <c r="AV79" s="310"/>
      <c r="AW79" s="328" t="s">
        <v>474</v>
      </c>
      <c r="AX79" s="71">
        <v>0</v>
      </c>
      <c r="AZ79" s="328" t="s">
        <v>474</v>
      </c>
      <c r="BA79" s="310">
        <f t="shared" si="9"/>
        <v>975</v>
      </c>
      <c r="BB79" s="310">
        <f t="shared" si="13"/>
        <v>512</v>
      </c>
      <c r="BC79" s="310">
        <f t="shared" si="14"/>
        <v>631</v>
      </c>
      <c r="BE79" s="328" t="s">
        <v>474</v>
      </c>
      <c r="BF79" s="194"/>
      <c r="BG79" s="310">
        <f t="shared" si="10"/>
        <v>1</v>
      </c>
      <c r="BH79" s="310">
        <f t="shared" si="15"/>
        <v>0</v>
      </c>
      <c r="BI79" s="310">
        <f t="shared" si="16"/>
        <v>7</v>
      </c>
    </row>
    <row r="80" spans="5:61" x14ac:dyDescent="0.3">
      <c r="T80" s="37"/>
      <c r="U80" s="297"/>
      <c r="AP80" s="310"/>
      <c r="AQ80" s="328" t="s">
        <v>475</v>
      </c>
      <c r="AR80" s="766">
        <f t="shared" si="8"/>
        <v>2560</v>
      </c>
      <c r="AS80" s="71">
        <f t="shared" si="11"/>
        <v>512</v>
      </c>
      <c r="AT80" s="329">
        <f t="shared" si="12"/>
        <v>0.52512820512820513</v>
      </c>
      <c r="AV80" s="310"/>
      <c r="AW80" s="328" t="s">
        <v>475</v>
      </c>
      <c r="AX80" s="71">
        <v>0</v>
      </c>
      <c r="AZ80" s="328" t="s">
        <v>475</v>
      </c>
      <c r="BA80" s="310">
        <f t="shared" si="9"/>
        <v>0</v>
      </c>
      <c r="BB80" s="310">
        <f t="shared" si="13"/>
        <v>512</v>
      </c>
      <c r="BC80" s="310">
        <f t="shared" si="14"/>
        <v>119</v>
      </c>
      <c r="BE80" s="328" t="s">
        <v>475</v>
      </c>
      <c r="BF80" s="194">
        <v>0</v>
      </c>
      <c r="BG80" s="310">
        <f t="shared" si="10"/>
        <v>0</v>
      </c>
      <c r="BH80" s="310">
        <f t="shared" si="15"/>
        <v>0</v>
      </c>
      <c r="BI80" s="310">
        <f t="shared" si="16"/>
        <v>7</v>
      </c>
    </row>
    <row r="81" spans="20:61" x14ac:dyDescent="0.3">
      <c r="AP81" s="310"/>
      <c r="AQ81" s="328" t="s">
        <v>476</v>
      </c>
      <c r="AR81" s="766">
        <f t="shared" si="8"/>
        <v>2560</v>
      </c>
      <c r="AS81" s="71">
        <f t="shared" si="11"/>
        <v>512</v>
      </c>
      <c r="AT81" s="329">
        <f t="shared" si="12"/>
        <v>0.52512820512820513</v>
      </c>
      <c r="AV81" s="310"/>
      <c r="AW81" s="328" t="s">
        <v>476</v>
      </c>
      <c r="AX81" s="71">
        <v>0</v>
      </c>
      <c r="AZ81" s="328" t="s">
        <v>476</v>
      </c>
      <c r="BA81" s="310">
        <f t="shared" si="9"/>
        <v>975</v>
      </c>
      <c r="BB81" s="310">
        <f t="shared" si="13"/>
        <v>512</v>
      </c>
      <c r="BC81" s="310">
        <f t="shared" si="14"/>
        <v>582</v>
      </c>
      <c r="BE81" s="328" t="s">
        <v>476</v>
      </c>
      <c r="BF81" s="194">
        <v>0</v>
      </c>
      <c r="BG81" s="310">
        <f t="shared" si="10"/>
        <v>1</v>
      </c>
      <c r="BH81" s="310">
        <f t="shared" si="15"/>
        <v>0</v>
      </c>
      <c r="BI81" s="310">
        <f t="shared" si="16"/>
        <v>6</v>
      </c>
    </row>
    <row r="82" spans="20:61" ht="28.8" x14ac:dyDescent="0.3">
      <c r="T82" s="301" t="s">
        <v>444</v>
      </c>
      <c r="AP82" s="310"/>
      <c r="AQ82" s="328" t="s">
        <v>477</v>
      </c>
      <c r="AR82" s="766">
        <f t="shared" si="8"/>
        <v>2560</v>
      </c>
      <c r="AS82" s="71">
        <f t="shared" si="11"/>
        <v>512</v>
      </c>
      <c r="AT82" s="329">
        <f t="shared" si="12"/>
        <v>0.52512820512820513</v>
      </c>
      <c r="AV82" s="310"/>
      <c r="AW82" s="328" t="s">
        <v>477</v>
      </c>
      <c r="AX82" s="71">
        <v>0</v>
      </c>
      <c r="AZ82" s="328" t="s">
        <v>477</v>
      </c>
      <c r="BA82" s="310">
        <f t="shared" si="9"/>
        <v>0</v>
      </c>
      <c r="BB82" s="310">
        <f t="shared" si="13"/>
        <v>512</v>
      </c>
      <c r="BC82" s="310">
        <f t="shared" si="14"/>
        <v>70</v>
      </c>
      <c r="BE82" s="328" t="s">
        <v>477</v>
      </c>
      <c r="BF82" s="194">
        <v>0</v>
      </c>
      <c r="BG82" s="310">
        <f t="shared" si="10"/>
        <v>0</v>
      </c>
      <c r="BH82" s="310">
        <f t="shared" si="15"/>
        <v>0</v>
      </c>
      <c r="BI82" s="310">
        <f t="shared" si="16"/>
        <v>6</v>
      </c>
    </row>
    <row r="83" spans="20:61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66">
        <f t="shared" si="8"/>
        <v>2560</v>
      </c>
      <c r="AS83" s="71">
        <f t="shared" si="11"/>
        <v>512</v>
      </c>
      <c r="AT83" s="329">
        <f t="shared" si="12"/>
        <v>0.52512820512820513</v>
      </c>
      <c r="AV83" s="310"/>
      <c r="AW83" s="328" t="s">
        <v>478</v>
      </c>
      <c r="AX83" s="71">
        <v>0</v>
      </c>
      <c r="AZ83" s="328" t="s">
        <v>478</v>
      </c>
      <c r="BA83" s="310">
        <f t="shared" si="9"/>
        <v>975</v>
      </c>
      <c r="BB83" s="310">
        <f t="shared" si="13"/>
        <v>512</v>
      </c>
      <c r="BC83" s="310">
        <f t="shared" si="14"/>
        <v>533</v>
      </c>
      <c r="BE83" s="328" t="s">
        <v>478</v>
      </c>
      <c r="BF83" s="194">
        <v>0</v>
      </c>
      <c r="BG83" s="310">
        <f t="shared" si="10"/>
        <v>1</v>
      </c>
      <c r="BH83" s="310">
        <f t="shared" si="15"/>
        <v>0</v>
      </c>
      <c r="BI83" s="310">
        <f t="shared" si="16"/>
        <v>5</v>
      </c>
    </row>
    <row r="84" spans="20:61" ht="42" customHeight="1" x14ac:dyDescent="0.3">
      <c r="T84" s="37" t="s">
        <v>414</v>
      </c>
      <c r="U84" s="296">
        <v>44187</v>
      </c>
      <c r="V84" t="s">
        <v>408</v>
      </c>
      <c r="W84">
        <v>1</v>
      </c>
      <c r="X84" t="s">
        <v>435</v>
      </c>
      <c r="Y84" s="298" t="s">
        <v>425</v>
      </c>
      <c r="Z84" s="298" t="s">
        <v>11</v>
      </c>
      <c r="AP84" s="310"/>
      <c r="AQ84" s="328" t="s">
        <v>479</v>
      </c>
      <c r="AR84" s="766">
        <f t="shared" si="8"/>
        <v>2560</v>
      </c>
      <c r="AS84" s="71">
        <f t="shared" si="11"/>
        <v>512</v>
      </c>
      <c r="AT84" s="329">
        <f t="shared" si="12"/>
        <v>0.52512820512820513</v>
      </c>
      <c r="AV84" s="310"/>
      <c r="AW84" s="328" t="s">
        <v>479</v>
      </c>
      <c r="AX84" s="71">
        <v>0</v>
      </c>
      <c r="AZ84" s="328" t="s">
        <v>479</v>
      </c>
      <c r="BA84" s="310">
        <f t="shared" si="9"/>
        <v>0</v>
      </c>
      <c r="BB84" s="310">
        <f t="shared" si="13"/>
        <v>512</v>
      </c>
      <c r="BC84" s="310">
        <f t="shared" si="14"/>
        <v>21</v>
      </c>
      <c r="BE84" s="328" t="s">
        <v>479</v>
      </c>
      <c r="BF84" s="194">
        <v>0</v>
      </c>
      <c r="BG84" s="310">
        <f t="shared" si="10"/>
        <v>0</v>
      </c>
      <c r="BH84" s="310">
        <f t="shared" si="15"/>
        <v>0</v>
      </c>
      <c r="BI84" s="310">
        <f t="shared" si="16"/>
        <v>5</v>
      </c>
    </row>
    <row r="85" spans="20:61" x14ac:dyDescent="0.3">
      <c r="T85" s="37" t="s">
        <v>414</v>
      </c>
      <c r="U85" s="296">
        <v>44187</v>
      </c>
      <c r="V85" t="s">
        <v>407</v>
      </c>
      <c r="W85">
        <v>30</v>
      </c>
      <c r="X85" t="s">
        <v>341</v>
      </c>
      <c r="Y85" s="302" t="s">
        <v>416</v>
      </c>
      <c r="Z85" s="302" t="s">
        <v>419</v>
      </c>
      <c r="AP85" s="310"/>
      <c r="AQ85" s="328" t="s">
        <v>480</v>
      </c>
      <c r="AR85" s="766">
        <f t="shared" si="8"/>
        <v>2560</v>
      </c>
      <c r="AS85" s="71">
        <f t="shared" si="11"/>
        <v>512</v>
      </c>
      <c r="AT85" s="329">
        <f t="shared" si="12"/>
        <v>0.52512820512820513</v>
      </c>
      <c r="AV85" s="310"/>
      <c r="AW85" s="328" t="s">
        <v>480</v>
      </c>
      <c r="AX85" s="71">
        <v>0</v>
      </c>
      <c r="AZ85" s="328" t="s">
        <v>480</v>
      </c>
      <c r="BA85" s="310">
        <f t="shared" si="9"/>
        <v>975</v>
      </c>
      <c r="BB85" s="310">
        <f t="shared" si="13"/>
        <v>512</v>
      </c>
      <c r="BC85" s="310">
        <f t="shared" si="14"/>
        <v>484</v>
      </c>
      <c r="BE85" s="328" t="s">
        <v>480</v>
      </c>
      <c r="BF85" s="194">
        <v>0</v>
      </c>
      <c r="BG85" s="310">
        <f t="shared" si="10"/>
        <v>1</v>
      </c>
      <c r="BH85" s="310">
        <f t="shared" si="15"/>
        <v>0</v>
      </c>
      <c r="BI85" s="310">
        <f t="shared" si="16"/>
        <v>4</v>
      </c>
    </row>
    <row r="86" spans="20:61" x14ac:dyDescent="0.3">
      <c r="T86" s="37" t="s">
        <v>414</v>
      </c>
      <c r="U86" s="296">
        <v>44187</v>
      </c>
      <c r="V86" t="s">
        <v>407</v>
      </c>
      <c r="W86">
        <v>100</v>
      </c>
      <c r="X86" t="s">
        <v>341</v>
      </c>
      <c r="Y86" s="299" t="s">
        <v>415</v>
      </c>
      <c r="Z86" s="299" t="s">
        <v>418</v>
      </c>
      <c r="AP86" s="310"/>
      <c r="AQ86" s="328" t="s">
        <v>481</v>
      </c>
      <c r="AR86" s="766">
        <f t="shared" si="8"/>
        <v>2560</v>
      </c>
      <c r="AS86" s="71">
        <f t="shared" si="11"/>
        <v>512</v>
      </c>
      <c r="AT86" s="329">
        <f t="shared" si="12"/>
        <v>0.52512820512820513</v>
      </c>
      <c r="AV86" s="310"/>
      <c r="AW86" s="328" t="s">
        <v>481</v>
      </c>
      <c r="AX86" s="71">
        <v>0</v>
      </c>
      <c r="AZ86" s="328" t="s">
        <v>481</v>
      </c>
      <c r="BA86" s="310">
        <f t="shared" si="9"/>
        <v>975</v>
      </c>
      <c r="BB86" s="310">
        <f t="shared" si="13"/>
        <v>512</v>
      </c>
      <c r="BC86" s="310">
        <f t="shared" si="14"/>
        <v>947</v>
      </c>
      <c r="BE86" s="328" t="s">
        <v>481</v>
      </c>
      <c r="BF86" s="194">
        <v>0</v>
      </c>
      <c r="BG86" s="310">
        <f t="shared" si="10"/>
        <v>1</v>
      </c>
      <c r="BH86" s="310">
        <f t="shared" si="15"/>
        <v>0</v>
      </c>
      <c r="BI86" s="310">
        <f t="shared" si="16"/>
        <v>3</v>
      </c>
    </row>
    <row r="87" spans="20:61" x14ac:dyDescent="0.3">
      <c r="T87" s="37" t="s">
        <v>414</v>
      </c>
      <c r="U87" s="296">
        <v>44187</v>
      </c>
      <c r="V87" t="s">
        <v>407</v>
      </c>
      <c r="W87" s="305">
        <v>830</v>
      </c>
      <c r="X87" t="s">
        <v>341</v>
      </c>
      <c r="Y87" s="298" t="s">
        <v>417</v>
      </c>
      <c r="Z87" s="298" t="s">
        <v>11</v>
      </c>
      <c r="AP87" s="310"/>
      <c r="AQ87" s="328" t="s">
        <v>510</v>
      </c>
      <c r="AR87" s="766">
        <f t="shared" si="8"/>
        <v>2560</v>
      </c>
      <c r="AS87" s="71">
        <f t="shared" si="11"/>
        <v>512</v>
      </c>
      <c r="AT87" s="329">
        <f t="shared" si="12"/>
        <v>0.52512820512820513</v>
      </c>
      <c r="AV87" s="310"/>
      <c r="AW87" s="328" t="s">
        <v>510</v>
      </c>
      <c r="AX87" s="71">
        <v>0</v>
      </c>
      <c r="AZ87" s="328" t="s">
        <v>510</v>
      </c>
      <c r="BA87" s="310">
        <f t="shared" si="9"/>
        <v>0</v>
      </c>
      <c r="BB87" s="310">
        <f t="shared" si="13"/>
        <v>512</v>
      </c>
      <c r="BC87" s="310">
        <f t="shared" si="14"/>
        <v>435</v>
      </c>
      <c r="BE87" s="328" t="s">
        <v>510</v>
      </c>
      <c r="BF87" s="194">
        <v>0</v>
      </c>
      <c r="BG87" s="310">
        <f t="shared" si="10"/>
        <v>0</v>
      </c>
      <c r="BH87" s="310">
        <f t="shared" si="15"/>
        <v>0</v>
      </c>
      <c r="BI87" s="310">
        <f t="shared" si="16"/>
        <v>3</v>
      </c>
    </row>
    <row r="88" spans="20:61" x14ac:dyDescent="0.3">
      <c r="AQ88" s="333" t="s">
        <v>66</v>
      </c>
      <c r="AR88">
        <f>SUM(AR57:AR87)</f>
        <v>79360</v>
      </c>
      <c r="AS88">
        <f>SUM(AS57:AS87)</f>
        <v>15872</v>
      </c>
      <c r="AW88" s="333" t="s">
        <v>66</v>
      </c>
      <c r="AX88">
        <f>SUM(AX57:AX87)</f>
        <v>10</v>
      </c>
      <c r="AZ88" s="333" t="s">
        <v>66</v>
      </c>
      <c r="BA88">
        <f>SUM(BA57:BA87)</f>
        <v>15600</v>
      </c>
      <c r="BB88" t="s">
        <v>341</v>
      </c>
      <c r="BE88" s="333" t="s">
        <v>66</v>
      </c>
      <c r="BF88">
        <f>SUM(BF57:BF87)</f>
        <v>24</v>
      </c>
      <c r="BG88" t="s">
        <v>435</v>
      </c>
      <c r="BH88">
        <f>SUM(BH57:BH87)</f>
        <v>10</v>
      </c>
    </row>
    <row r="90" spans="20:61" x14ac:dyDescent="0.3">
      <c r="T90" s="301" t="s">
        <v>445</v>
      </c>
      <c r="BB90">
        <f>BA88/975</f>
        <v>16</v>
      </c>
    </row>
    <row r="91" spans="20:61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</row>
    <row r="92" spans="20:61" x14ac:dyDescent="0.3">
      <c r="T92" s="37" t="s">
        <v>414</v>
      </c>
      <c r="U92" s="296">
        <v>44187</v>
      </c>
      <c r="V92" t="s">
        <v>407</v>
      </c>
      <c r="W92">
        <v>50</v>
      </c>
      <c r="X92" t="s">
        <v>341</v>
      </c>
      <c r="Y92" s="302" t="s">
        <v>447</v>
      </c>
      <c r="Z92" s="302" t="s">
        <v>419</v>
      </c>
      <c r="AA92" t="s">
        <v>449</v>
      </c>
    </row>
  </sheetData>
  <mergeCells count="10">
    <mergeCell ref="AV55:AW55"/>
    <mergeCell ref="AZ55:BA55"/>
    <mergeCell ref="BE55:BF55"/>
    <mergeCell ref="U56:U58"/>
    <mergeCell ref="AE56:AE58"/>
    <mergeCell ref="U59:U66"/>
    <mergeCell ref="AE59:AE67"/>
    <mergeCell ref="AD54:AH54"/>
    <mergeCell ref="T54:V54"/>
    <mergeCell ref="AP55:AQ55"/>
  </mergeCells>
  <conditionalFormatting sqref="F32:F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{B80D579E-0A0B-4401-A80A-583FECEF6396}</x14:id>
        </ext>
      </extLst>
    </cfRule>
  </conditionalFormatting>
  <conditionalFormatting sqref="G32:K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{EC53637E-4461-49E0-8EE5-A1DAA74EBA4A}</x14:id>
        </ext>
      </extLst>
    </cfRule>
  </conditionalFormatting>
  <hyperlinks>
    <hyperlink ref="E3" r:id="rId1" xr:uid="{A221433A-BEC9-42F5-9894-981D58CA07DF}"/>
    <hyperlink ref="E5" r:id="rId2" xr:uid="{B09EC680-5C2A-4FA6-9D1D-374A612A37BF}"/>
    <hyperlink ref="E10" r:id="rId3" xr:uid="{8FEEF548-9ADC-4BC2-BBE4-E3C1C29EA6FB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0D579E-0A0B-4401-A80A-583FECEF63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EC53637E-4461-49E0-8EE5-A1DAA74EB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1DFE-0CAC-4F30-A4CA-B60319DBFF64}">
  <sheetPr>
    <tabColor theme="5" tint="0.39997558519241921"/>
  </sheetPr>
  <dimension ref="A1:BW92"/>
  <sheetViews>
    <sheetView topLeftCell="AK32" zoomScale="85" zoomScaleNormal="85" workbookViewId="0">
      <selection activeCell="AK124" sqref="AK124"/>
    </sheetView>
  </sheetViews>
  <sheetFormatPr defaultRowHeight="14.4" x14ac:dyDescent="0.3"/>
  <cols>
    <col min="2" max="2" width="11.109375" customWidth="1"/>
    <col min="3" max="3" width="9.33203125" bestFit="1" customWidth="1"/>
    <col min="4" max="4" width="14.5546875" customWidth="1"/>
    <col min="5" max="5" width="19.88671875" customWidth="1"/>
    <col min="6" max="6" width="15.886718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9" max="29" width="11.6640625" customWidth="1"/>
    <col min="32" max="32" width="15.6640625" customWidth="1"/>
    <col min="33" max="33" width="16.109375" customWidth="1"/>
    <col min="34" max="34" width="12.44140625" customWidth="1"/>
    <col min="35" max="35" width="13" customWidth="1"/>
    <col min="36" max="36" width="10.44140625" customWidth="1"/>
    <col min="37" max="37" width="10.109375" customWidth="1"/>
    <col min="38" max="38" width="11.21875" customWidth="1"/>
    <col min="39" max="39" width="14.109375" customWidth="1"/>
    <col min="40" max="40" width="11" bestFit="1" customWidth="1"/>
    <col min="41" max="41" width="12" bestFit="1" customWidth="1"/>
    <col min="43" max="43" width="13" bestFit="1" customWidth="1"/>
    <col min="45" max="45" width="9.5546875" customWidth="1"/>
    <col min="49" max="49" width="9.88671875" customWidth="1"/>
    <col min="50" max="50" width="9.44140625" customWidth="1"/>
    <col min="54" max="54" width="12.77734375" bestFit="1" customWidth="1"/>
    <col min="56" max="56" width="9.44140625" bestFit="1" customWidth="1"/>
    <col min="57" max="57" width="17.6640625" bestFit="1" customWidth="1"/>
    <col min="58" max="58" width="7.6640625" bestFit="1" customWidth="1"/>
    <col min="60" max="60" width="12.77734375" bestFit="1" customWidth="1"/>
    <col min="61" max="61" width="9.77734375" customWidth="1"/>
    <col min="62" max="62" width="8.88671875" bestFit="1" customWidth="1"/>
    <col min="64" max="64" width="9.6640625" bestFit="1" customWidth="1"/>
    <col min="65" max="65" width="14.6640625" bestFit="1" customWidth="1"/>
    <col min="66" max="66" width="13" bestFit="1" customWidth="1"/>
    <col min="67" max="67" width="10" bestFit="1" customWidth="1"/>
    <col min="69" max="69" width="8.88671875" bestFit="1" customWidth="1"/>
    <col min="70" max="70" width="13.6640625" bestFit="1" customWidth="1"/>
    <col min="71" max="71" width="21.33203125" bestFit="1" customWidth="1"/>
    <col min="72" max="72" width="10.33203125" bestFit="1" customWidth="1"/>
    <col min="73" max="73" width="10" bestFit="1" customWidth="1"/>
    <col min="74" max="74" width="5" bestFit="1" customWidth="1"/>
  </cols>
  <sheetData>
    <row r="1" spans="1:15" ht="21" x14ac:dyDescent="0.4">
      <c r="A1" s="152" t="s">
        <v>537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</row>
    <row r="17" spans="1:41" ht="14.4" customHeight="1" x14ac:dyDescent="0.4">
      <c r="A17" s="152"/>
      <c r="E17" t="s">
        <v>343</v>
      </c>
      <c r="K17" s="249" t="s">
        <v>450</v>
      </c>
      <c r="L17" t="s">
        <v>397</v>
      </c>
    </row>
    <row r="18" spans="1:41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41" ht="14.4" customHeight="1" x14ac:dyDescent="0.4">
      <c r="A19" s="152"/>
      <c r="E19" s="290" t="s">
        <v>345</v>
      </c>
    </row>
    <row r="20" spans="1:41" ht="14.4" customHeight="1" x14ac:dyDescent="0.4">
      <c r="A20" s="152"/>
      <c r="E20" s="291" t="s">
        <v>348</v>
      </c>
      <c r="J20" s="249" t="s">
        <v>398</v>
      </c>
      <c r="L20" s="249" t="s">
        <v>399</v>
      </c>
    </row>
    <row r="21" spans="1:41" x14ac:dyDescent="0.3">
      <c r="A21" s="26"/>
      <c r="E21" s="6" t="s">
        <v>346</v>
      </c>
      <c r="J21" t="s">
        <v>504</v>
      </c>
      <c r="L21" t="s">
        <v>505</v>
      </c>
    </row>
    <row r="22" spans="1:41" x14ac:dyDescent="0.3">
      <c r="A22" s="26"/>
      <c r="E22" s="6"/>
    </row>
    <row r="23" spans="1:41" x14ac:dyDescent="0.3">
      <c r="A23" s="26"/>
      <c r="E23" s="20" t="s">
        <v>56</v>
      </c>
      <c r="F23" s="331" t="s">
        <v>57</v>
      </c>
    </row>
    <row r="24" spans="1:41" ht="28.8" x14ac:dyDescent="0.3">
      <c r="A24" s="26"/>
      <c r="E24" s="20" t="s">
        <v>352</v>
      </c>
      <c r="F24" s="347" t="s">
        <v>540</v>
      </c>
      <c r="G24" s="241" t="s">
        <v>357</v>
      </c>
      <c r="H24" s="241">
        <v>20</v>
      </c>
      <c r="I24" s="241"/>
      <c r="J24" s="241"/>
      <c r="K24" s="241"/>
    </row>
    <row r="25" spans="1:41" x14ac:dyDescent="0.3">
      <c r="D25" s="295" t="s">
        <v>379</v>
      </c>
      <c r="E25" s="20" t="s">
        <v>291</v>
      </c>
      <c r="F25" s="331">
        <v>1</v>
      </c>
      <c r="G25" t="s">
        <v>293</v>
      </c>
    </row>
    <row r="26" spans="1:41" x14ac:dyDescent="0.3">
      <c r="E26" s="293" t="s">
        <v>342</v>
      </c>
      <c r="F26" s="331">
        <v>67275</v>
      </c>
      <c r="G26" t="s">
        <v>341</v>
      </c>
      <c r="H26" s="3" t="s">
        <v>369</v>
      </c>
      <c r="I26" s="326">
        <v>975</v>
      </c>
      <c r="J26" t="s">
        <v>367</v>
      </c>
    </row>
    <row r="27" spans="1:41" s="6" customFormat="1" x14ac:dyDescent="0.3">
      <c r="E27" s="231" t="s">
        <v>300</v>
      </c>
      <c r="F27" s="332">
        <v>5000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41" s="6" customFormat="1" x14ac:dyDescent="0.3">
      <c r="E28" s="45" t="s">
        <v>299</v>
      </c>
      <c r="F28" s="331">
        <v>25350</v>
      </c>
      <c r="G28" t="s">
        <v>341</v>
      </c>
      <c r="H28"/>
      <c r="I28"/>
      <c r="J28"/>
      <c r="K28"/>
    </row>
    <row r="29" spans="1:41" s="6" customFormat="1" x14ac:dyDescent="0.3">
      <c r="E29" s="45" t="s">
        <v>298</v>
      </c>
      <c r="F29" s="331">
        <v>25000</v>
      </c>
      <c r="G29" t="s">
        <v>341</v>
      </c>
      <c r="H29"/>
      <c r="I29"/>
      <c r="J29"/>
      <c r="K29"/>
    </row>
    <row r="30" spans="1:41" s="6" customFormat="1" x14ac:dyDescent="0.3">
      <c r="AL30" s="295" t="s">
        <v>401</v>
      </c>
    </row>
    <row r="31" spans="1:41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AI31" s="295" t="s">
        <v>401</v>
      </c>
      <c r="AM31" t="s">
        <v>381</v>
      </c>
    </row>
    <row r="32" spans="1:41" x14ac:dyDescent="0.3">
      <c r="B32" t="s">
        <v>25</v>
      </c>
      <c r="C32" s="230" t="s">
        <v>509</v>
      </c>
      <c r="D32" s="229">
        <f t="shared" ref="D32:D62" si="0">BR57*$I$26</f>
        <v>0</v>
      </c>
      <c r="E32" s="1"/>
      <c r="F32" s="1"/>
      <c r="G32" s="307">
        <f>AM63*975</f>
        <v>7800</v>
      </c>
      <c r="H32" s="1"/>
      <c r="I32" s="1"/>
      <c r="J32" s="308">
        <f>AX66</f>
        <v>195</v>
      </c>
      <c r="K32" s="229">
        <f>Table136[[#This Row],[ULT Ending Inventory 
(-75 deg C) (vials)]]+Table136[[#This Row],[Thawed Ending Inventory
(2-8 deg C) (vials)]]</f>
        <v>7995</v>
      </c>
      <c r="L32" s="229">
        <f>$F$27</f>
        <v>5000</v>
      </c>
      <c r="M32" s="229">
        <f>$F$26</f>
        <v>67275</v>
      </c>
      <c r="N32" s="229">
        <f t="shared" ref="N32:N62" si="1">$F$29</f>
        <v>25000</v>
      </c>
      <c r="O32" s="229" t="str">
        <f>IF(Table136[[#This Row],[Problematic 
Vaccine 
Quantity]]&gt;0, "YES","NO")</f>
        <v>NO</v>
      </c>
      <c r="P32" s="229">
        <v>0</v>
      </c>
      <c r="Q32" s="229">
        <v>9750</v>
      </c>
      <c r="R32" s="229"/>
      <c r="AI32" t="s">
        <v>380</v>
      </c>
      <c r="AN32" t="s">
        <v>402</v>
      </c>
      <c r="AO32" t="s">
        <v>403</v>
      </c>
    </row>
    <row r="33" spans="2:57" x14ac:dyDescent="0.3">
      <c r="C33" s="230" t="s">
        <v>512</v>
      </c>
      <c r="D33" s="229">
        <f t="shared" si="0"/>
        <v>25350</v>
      </c>
      <c r="E33" s="1">
        <f t="shared" ref="E33:E62" si="2">BR58*$I$26</f>
        <v>25350</v>
      </c>
      <c r="F33" s="1">
        <f>IF(Table136[[#This Row],[Daily Vaccination
(vials)]]&gt;J32+Table136[[#This Row],[Problematic 
Vaccine 
Quantity]],IF(Table136[[#This Row],[Daily Vaccination
(vials)]]&gt;$I$26+J32,2*$I$26,$I$26),0)</f>
        <v>975</v>
      </c>
      <c r="G33" s="229">
        <f xml:space="preserve"> E33+G32-F33-Table136[[#This Row],[Outbound 20 clinics
(vials)]]</f>
        <v>32175</v>
      </c>
      <c r="H33" s="229">
        <f>BJ58*975</f>
        <v>0</v>
      </c>
      <c r="I33" s="229">
        <f>BE58</f>
        <v>960</v>
      </c>
      <c r="J33" s="229">
        <f>J32+Table136[[#This Row],[ULT Consumption
(vials)]]-Table136[[#This Row],[Daily Vaccination
(vials)]]+Table136[[#This Row],[Problematic 
Vaccine 
Quantity]]</f>
        <v>210</v>
      </c>
      <c r="K33" s="229">
        <f>Table136[[#This Row],[ULT Ending Inventory 
(-75 deg C) (vials)]]+Table136[[#This Row],[Thawed Ending Inventory
(2-8 deg C) (vials)]]</f>
        <v>32385</v>
      </c>
      <c r="L33" s="229">
        <f t="shared" ref="L33:L62" si="3">$F$27</f>
        <v>5000</v>
      </c>
      <c r="M33" s="229">
        <f t="shared" ref="M33:M62" si="4">$F$26</f>
        <v>67275</v>
      </c>
      <c r="N33" s="229">
        <f t="shared" si="1"/>
        <v>25000</v>
      </c>
      <c r="O33" s="229" t="str">
        <f>IF(Table136[[#This Row],[Problematic 
Vaccine 
Quantity]]&gt;0, "YES","NO")</f>
        <v>NO</v>
      </c>
      <c r="P33" s="229">
        <v>0</v>
      </c>
      <c r="Q33" s="229">
        <f>Q32+(Table136[[#This Row],[Daily Vaccination
(vials)]]+Table136[[#This Row],[Outbound 20 clinics
(vials)]])*5</f>
        <v>14550</v>
      </c>
      <c r="R33" s="229"/>
      <c r="AM33" t="s">
        <v>381</v>
      </c>
      <c r="AN33" t="s">
        <v>404</v>
      </c>
      <c r="AO33" t="s">
        <v>405</v>
      </c>
    </row>
    <row r="34" spans="2:57" x14ac:dyDescent="0.3">
      <c r="C34" s="230" t="s">
        <v>513</v>
      </c>
      <c r="D34" s="229">
        <f t="shared" si="0"/>
        <v>25350</v>
      </c>
      <c r="E34" s="1">
        <f t="shared" si="2"/>
        <v>25350</v>
      </c>
      <c r="F34" s="1">
        <f>IF(Table136[[#This Row],[Daily Vaccination
(vials)]]&gt;J33+Table136[[#This Row],[Problematic 
Vaccine 
Quantity]],IF(Table136[[#This Row],[Daily Vaccination
(vials)]]&gt;$I$26+J33,2*$I$26,$I$26),0)</f>
        <v>975</v>
      </c>
      <c r="G34" s="229">
        <f xml:space="preserve"> E34+G33-F34-Table136[[#This Row],[Outbound 20 clinics
(vials)]]</f>
        <v>41925</v>
      </c>
      <c r="H34" s="229">
        <f t="shared" ref="H34:H35" si="5">BJ59*975</f>
        <v>14625</v>
      </c>
      <c r="I34" s="229">
        <f t="shared" ref="I34:I38" si="6">BE59</f>
        <v>960</v>
      </c>
      <c r="J34" s="229">
        <f>J33+Table136[[#This Row],[ULT Consumption
(vials)]]-Table136[[#This Row],[Daily Vaccination
(vials)]]+Table136[[#This Row],[Problematic 
Vaccine 
Quantity]]</f>
        <v>225</v>
      </c>
      <c r="K34" s="229">
        <f>Table136[[#This Row],[ULT Ending Inventory 
(-75 deg C) (vials)]]+Table136[[#This Row],[Thawed Ending Inventory
(2-8 deg C) (vials)]]</f>
        <v>42150</v>
      </c>
      <c r="L34" s="229">
        <f t="shared" si="3"/>
        <v>5000</v>
      </c>
      <c r="M34" s="229">
        <f t="shared" si="4"/>
        <v>67275</v>
      </c>
      <c r="N34" s="229">
        <f t="shared" si="1"/>
        <v>25000</v>
      </c>
      <c r="O34" s="229" t="str">
        <f>IF(Table136[[#This Row],[Problematic 
Vaccine 
Quantity]]&gt;0, "YES","NO")</f>
        <v>NO</v>
      </c>
      <c r="P34" s="229">
        <v>0</v>
      </c>
      <c r="Q34" s="229">
        <f>Q33+(Table136[[#This Row],[Daily Vaccination
(vials)]]+Table136[[#This Row],[Outbound 20 clinics
(vials)]])*5</f>
        <v>92475</v>
      </c>
      <c r="R34" s="229"/>
      <c r="AF34" t="s">
        <v>82</v>
      </c>
    </row>
    <row r="35" spans="2:57" x14ac:dyDescent="0.3">
      <c r="C35" s="230" t="s">
        <v>514</v>
      </c>
      <c r="D35" s="229">
        <f t="shared" si="0"/>
        <v>0</v>
      </c>
      <c r="E35" s="1">
        <f t="shared" si="2"/>
        <v>0</v>
      </c>
      <c r="F35" s="1">
        <f>IF(Table136[[#This Row],[Daily Vaccination
(vials)]]&gt;J34+Table136[[#This Row],[Problematic 
Vaccine 
Quantity]],IF(Table136[[#This Row],[Daily Vaccination
(vials)]]&gt;$I$26+J34,2*$I$26,$I$26),0)</f>
        <v>975</v>
      </c>
      <c r="G35" s="229">
        <f xml:space="preserve"> E35+G34-F35-Table136[[#This Row],[Outbound 20 clinics
(vials)]]</f>
        <v>33150</v>
      </c>
      <c r="H35" s="229">
        <f t="shared" si="5"/>
        <v>7800</v>
      </c>
      <c r="I35" s="229">
        <f t="shared" si="6"/>
        <v>960</v>
      </c>
      <c r="J35" s="229">
        <f>J34+Table136[[#This Row],[ULT Consumption
(vials)]]-Table136[[#This Row],[Daily Vaccination
(vials)]]+Table136[[#This Row],[Problematic 
Vaccine 
Quantity]]</f>
        <v>240</v>
      </c>
      <c r="K35" s="229">
        <f>Table136[[#This Row],[ULT Ending Inventory 
(-75 deg C) (vials)]]+Table136[[#This Row],[Thawed Ending Inventory
(2-8 deg C) (vials)]]</f>
        <v>33390</v>
      </c>
      <c r="L35" s="229">
        <f t="shared" si="3"/>
        <v>5000</v>
      </c>
      <c r="M35" s="229">
        <f t="shared" si="4"/>
        <v>67275</v>
      </c>
      <c r="N35" s="229">
        <f t="shared" si="1"/>
        <v>25000</v>
      </c>
      <c r="O35" s="229" t="str">
        <f>IF(Table136[[#This Row],[Problematic 
Vaccine 
Quantity]]&gt;0, "YES","NO")</f>
        <v>NO</v>
      </c>
      <c r="P35" s="229">
        <v>0</v>
      </c>
      <c r="Q35" s="229">
        <f>Q34+(Table136[[#This Row],[Daily Vaccination
(vials)]]+Table136[[#This Row],[Outbound 20 clinics
(vials)]])*5</f>
        <v>136275</v>
      </c>
      <c r="R35" s="229"/>
      <c r="AI35" t="s">
        <v>383</v>
      </c>
      <c r="AM35" t="s">
        <v>382</v>
      </c>
    </row>
    <row r="36" spans="2:57" x14ac:dyDescent="0.3">
      <c r="C36" s="230" t="s">
        <v>515</v>
      </c>
      <c r="D36" s="229">
        <f t="shared" si="0"/>
        <v>0</v>
      </c>
      <c r="E36" s="1">
        <f t="shared" si="2"/>
        <v>0</v>
      </c>
      <c r="F36" s="1">
        <f>IF(Table136[[#This Row],[Daily Vaccination
(vials)]]&gt;J35+Table136[[#This Row],[Problematic 
Vaccine 
Quantity]],IF(Table136[[#This Row],[Daily Vaccination
(vials)]]&gt;$I$26+J35,2*$I$26,$I$26),0)</f>
        <v>975</v>
      </c>
      <c r="G36" s="229">
        <f xml:space="preserve"> E36+G35-F36-Table136[[#This Row],[Outbound 20 clinics
(vials)]]</f>
        <v>32175</v>
      </c>
      <c r="H36" s="229">
        <f>BJ61*975</f>
        <v>0</v>
      </c>
      <c r="I36" s="229">
        <f t="shared" si="6"/>
        <v>960</v>
      </c>
      <c r="J36" s="229">
        <f>J35+Table136[[#This Row],[ULT Consumption
(vials)]]-Table136[[#This Row],[Daily Vaccination
(vials)]]+Table136[[#This Row],[Problematic 
Vaccine 
Quantity]]</f>
        <v>255</v>
      </c>
      <c r="K36" s="229">
        <f>Table136[[#This Row],[ULT Ending Inventory 
(-75 deg C) (vials)]]+Table136[[#This Row],[Thawed Ending Inventory
(2-8 deg C) (vials)]]</f>
        <v>32430</v>
      </c>
      <c r="L36" s="229">
        <f t="shared" si="3"/>
        <v>5000</v>
      </c>
      <c r="M36" s="229">
        <f t="shared" si="4"/>
        <v>67275</v>
      </c>
      <c r="N36" s="229">
        <f t="shared" si="1"/>
        <v>25000</v>
      </c>
      <c r="O36" s="229" t="str">
        <f>IF(Table136[[#This Row],[Problematic 
Vaccine 
Quantity]]&gt;0, "YES","NO")</f>
        <v>NO</v>
      </c>
      <c r="P36" s="229">
        <v>0</v>
      </c>
      <c r="Q36" s="229">
        <f>Q35+(Table136[[#This Row],[Daily Vaccination
(vials)]]+Table136[[#This Row],[Outbound 20 clinics
(vials)]])*5</f>
        <v>141075</v>
      </c>
      <c r="R36" s="229"/>
    </row>
    <row r="37" spans="2:57" x14ac:dyDescent="0.3">
      <c r="C37" s="230" t="s">
        <v>516</v>
      </c>
      <c r="D37" s="229">
        <f t="shared" si="0"/>
        <v>0</v>
      </c>
      <c r="E37" s="1">
        <f t="shared" si="2"/>
        <v>0</v>
      </c>
      <c r="F37" s="1">
        <f>IF(Table136[[#This Row],[Daily Vaccination
(vials)]]&gt;J36+Table136[[#This Row],[Problematic 
Vaccine 
Quantity]],IF(Table136[[#This Row],[Daily Vaccination
(vials)]]&gt;$I$26+J36,2*$I$26,$I$26),0)</f>
        <v>975</v>
      </c>
      <c r="G37" s="229">
        <f xml:space="preserve"> E37+G36-F37-Table136[[#This Row],[Outbound 20 clinics
(vials)]]</f>
        <v>16575</v>
      </c>
      <c r="H37" s="229">
        <f t="shared" ref="H37:H38" si="7">BJ62*975</f>
        <v>14625</v>
      </c>
      <c r="I37" s="229">
        <f t="shared" si="6"/>
        <v>960</v>
      </c>
      <c r="J37" s="229">
        <f>J36+Table136[[#This Row],[ULT Consumption
(vials)]]-Table136[[#This Row],[Daily Vaccination
(vials)]]+Table136[[#This Row],[Problematic 
Vaccine 
Quantity]]</f>
        <v>270</v>
      </c>
      <c r="K37" s="229">
        <f>Table136[[#This Row],[ULT Ending Inventory 
(-75 deg C) (vials)]]+Table136[[#This Row],[Thawed Ending Inventory
(2-8 deg C) (vials)]]</f>
        <v>16845</v>
      </c>
      <c r="L37" s="229">
        <f t="shared" si="3"/>
        <v>5000</v>
      </c>
      <c r="M37" s="229">
        <f t="shared" si="4"/>
        <v>67275</v>
      </c>
      <c r="N37" s="229">
        <f t="shared" si="1"/>
        <v>25000</v>
      </c>
      <c r="O37" s="229" t="str">
        <f>IF(Table136[[#This Row],[Problematic 
Vaccine 
Quantity]]&gt;0, "YES","NO")</f>
        <v>NO</v>
      </c>
      <c r="P37" s="229">
        <v>0</v>
      </c>
      <c r="Q37" s="229">
        <f>Q36+(Table136[[#This Row],[Daily Vaccination
(vials)]]+Table136[[#This Row],[Outbound 20 clinics
(vials)]])*5</f>
        <v>219000</v>
      </c>
      <c r="R37" s="229"/>
    </row>
    <row r="38" spans="2:57" x14ac:dyDescent="0.3">
      <c r="C38" s="230" t="s">
        <v>517</v>
      </c>
      <c r="D38" s="229">
        <f t="shared" si="0"/>
        <v>25350</v>
      </c>
      <c r="E38" s="1">
        <f t="shared" si="2"/>
        <v>25350</v>
      </c>
      <c r="F38" s="1">
        <f>IF(Table136[[#This Row],[Daily Vaccination
(vials)]]&gt;J37+Table136[[#This Row],[Problematic 
Vaccine 
Quantity]],IF(Table136[[#This Row],[Daily Vaccination
(vials)]]&gt;$I$26+J37,2*$I$26,$I$26),0)</f>
        <v>975</v>
      </c>
      <c r="G38" s="229">
        <f xml:space="preserve"> E38+G37-F38-Table136[[#This Row],[Outbound 20 clinics
(vials)]]</f>
        <v>33150</v>
      </c>
      <c r="H38" s="229">
        <f t="shared" si="7"/>
        <v>7800</v>
      </c>
      <c r="I38" s="229">
        <f t="shared" si="6"/>
        <v>960</v>
      </c>
      <c r="J38" s="229">
        <f>J37+Table136[[#This Row],[ULT Consumption
(vials)]]-Table136[[#This Row],[Daily Vaccination
(vials)]]+Table136[[#This Row],[Problematic 
Vaccine 
Quantity]]</f>
        <v>285</v>
      </c>
      <c r="K38" s="229">
        <f>Table136[[#This Row],[ULT Ending Inventory 
(-75 deg C) (vials)]]+Table136[[#This Row],[Thawed Ending Inventory
(2-8 deg C) (vials)]]</f>
        <v>33435</v>
      </c>
      <c r="L38" s="229">
        <f t="shared" si="3"/>
        <v>5000</v>
      </c>
      <c r="M38" s="229">
        <f t="shared" si="4"/>
        <v>67275</v>
      </c>
      <c r="N38" s="229">
        <f t="shared" si="1"/>
        <v>25000</v>
      </c>
      <c r="O38" s="229" t="str">
        <f>IF(Table136[[#This Row],[Problematic 
Vaccine 
Quantity]]&gt;0, "YES","NO")</f>
        <v>NO</v>
      </c>
      <c r="P38" s="229">
        <v>0</v>
      </c>
      <c r="Q38" s="229">
        <f>Q37+(Table136[[#This Row],[Daily Vaccination
(vials)]]+Table136[[#This Row],[Outbound 20 clinics
(vials)]])*5</f>
        <v>262800</v>
      </c>
      <c r="R38" s="229"/>
      <c r="AH38" t="s">
        <v>385</v>
      </c>
    </row>
    <row r="39" spans="2:57" x14ac:dyDescent="0.3">
      <c r="C39" s="230" t="s">
        <v>518</v>
      </c>
      <c r="D39" s="229">
        <f t="shared" si="0"/>
        <v>0</v>
      </c>
      <c r="E39" s="1">
        <f t="shared" si="2"/>
        <v>0</v>
      </c>
      <c r="F39" s="1">
        <f>IF(Table136[[#This Row],[Daily Vaccination
(vials)]]&gt;J38+Table136[[#This Row],[Problematic 
Vaccine 
Quantity]],IF(Table136[[#This Row],[Daily Vaccination
(vials)]]&gt;$I$26+J38,2*$I$26,$I$26),0)</f>
        <v>975</v>
      </c>
      <c r="G39" s="229">
        <f xml:space="preserve"> E39+G38-F39-Table136[[#This Row],[Outbound 20 clinics
(vials)]]</f>
        <v>32175</v>
      </c>
      <c r="H39" s="229">
        <f t="shared" ref="H39:H62" si="8">BJ64*975</f>
        <v>0</v>
      </c>
      <c r="I39" s="229">
        <f t="shared" ref="I39:I62" si="9">BE64</f>
        <v>960</v>
      </c>
      <c r="J39" s="229">
        <f>J38+Table136[[#This Row],[ULT Consumption
(vials)]]-Table136[[#This Row],[Daily Vaccination
(vials)]]+Table136[[#This Row],[Problematic 
Vaccine 
Quantity]]</f>
        <v>300</v>
      </c>
      <c r="K39" s="229">
        <f>Table136[[#This Row],[ULT Ending Inventory 
(-75 deg C) (vials)]]+Table136[[#This Row],[Thawed Ending Inventory
(2-8 deg C) (vials)]]</f>
        <v>32475</v>
      </c>
      <c r="L39" s="229">
        <f t="shared" si="3"/>
        <v>5000</v>
      </c>
      <c r="M39" s="229">
        <f t="shared" si="4"/>
        <v>67275</v>
      </c>
      <c r="N39" s="229">
        <f t="shared" si="1"/>
        <v>25000</v>
      </c>
      <c r="O39" s="229" t="str">
        <f>IF(Table136[[#This Row],[Problematic 
Vaccine 
Quantity]]&gt;0, "YES","NO")</f>
        <v>NO</v>
      </c>
      <c r="P39" s="229">
        <v>0</v>
      </c>
      <c r="Q39" s="229">
        <f>Q38+(Table136[[#This Row],[Daily Vaccination
(vials)]]+Table136[[#This Row],[Outbound 20 clinics
(vials)]])*5</f>
        <v>267600</v>
      </c>
      <c r="R39" s="229"/>
      <c r="AH39">
        <v>5000</v>
      </c>
      <c r="AJ39" t="s">
        <v>384</v>
      </c>
      <c r="AM39" s="295" t="s">
        <v>401</v>
      </c>
    </row>
    <row r="40" spans="2:57" x14ac:dyDescent="0.3">
      <c r="C40" s="230" t="s">
        <v>519</v>
      </c>
      <c r="D40" s="229">
        <f t="shared" si="0"/>
        <v>0</v>
      </c>
      <c r="E40" s="1">
        <f t="shared" si="2"/>
        <v>0</v>
      </c>
      <c r="F40" s="1">
        <f>IF(Table136[[#This Row],[Daily Vaccination
(vials)]]&gt;J39+Table136[[#This Row],[Problematic 
Vaccine 
Quantity]],IF(Table136[[#This Row],[Daily Vaccination
(vials)]]&gt;$I$26+J39,2*$I$26,$I$26),0)</f>
        <v>975</v>
      </c>
      <c r="G40" s="229">
        <f xml:space="preserve"> E40+G39-F40-Table136[[#This Row],[Outbound 20 clinics
(vials)]]</f>
        <v>16575</v>
      </c>
      <c r="H40" s="229">
        <f t="shared" si="8"/>
        <v>14625</v>
      </c>
      <c r="I40" s="229">
        <f t="shared" si="9"/>
        <v>960</v>
      </c>
      <c r="J40" s="229">
        <f>J39+Table136[[#This Row],[ULT Consumption
(vials)]]-Table136[[#This Row],[Daily Vaccination
(vials)]]+Table136[[#This Row],[Problematic 
Vaccine 
Quantity]]</f>
        <v>315</v>
      </c>
      <c r="K40" s="229">
        <f>Table136[[#This Row],[ULT Ending Inventory 
(-75 deg C) (vials)]]+Table136[[#This Row],[Thawed Ending Inventory
(2-8 deg C) (vials)]]</f>
        <v>16890</v>
      </c>
      <c r="L40" s="229">
        <f t="shared" si="3"/>
        <v>5000</v>
      </c>
      <c r="M40" s="229">
        <f t="shared" si="4"/>
        <v>67275</v>
      </c>
      <c r="N40" s="229">
        <f t="shared" si="1"/>
        <v>25000</v>
      </c>
      <c r="O40" s="229" t="str">
        <f>IF(Table136[[#This Row],[Problematic 
Vaccine 
Quantity]]&gt;0, "YES","NO")</f>
        <v>NO</v>
      </c>
      <c r="P40" s="229">
        <v>0</v>
      </c>
      <c r="Q40" s="229">
        <f>Q39+(Table136[[#This Row],[Daily Vaccination
(vials)]]+Table136[[#This Row],[Outbound 20 clinics
(vials)]])*5</f>
        <v>345525</v>
      </c>
      <c r="R40" s="229"/>
    </row>
    <row r="41" spans="2:57" x14ac:dyDescent="0.3">
      <c r="C41" s="230" t="s">
        <v>520</v>
      </c>
      <c r="D41" s="229">
        <f t="shared" si="0"/>
        <v>25350</v>
      </c>
      <c r="E41" s="1">
        <f t="shared" si="2"/>
        <v>25350</v>
      </c>
      <c r="F41" s="1">
        <f>IF(Table136[[#This Row],[Daily Vaccination
(vials)]]&gt;J40+Table136[[#This Row],[Problematic 
Vaccine 
Quantity]],IF(Table136[[#This Row],[Daily Vaccination
(vials)]]&gt;$I$26+J40,2*$I$26,$I$26),0)</f>
        <v>975</v>
      </c>
      <c r="G41" s="229">
        <f xml:space="preserve"> E41+G40-F41-Table136[[#This Row],[Outbound 20 clinics
(vials)]]</f>
        <v>33150</v>
      </c>
      <c r="H41" s="229">
        <f t="shared" si="8"/>
        <v>7800</v>
      </c>
      <c r="I41" s="229">
        <f t="shared" si="9"/>
        <v>960</v>
      </c>
      <c r="J41" s="229">
        <f>J40+Table136[[#This Row],[ULT Consumption
(vials)]]-Table136[[#This Row],[Daily Vaccination
(vials)]]+Table136[[#This Row],[Problematic 
Vaccine 
Quantity]]</f>
        <v>330</v>
      </c>
      <c r="K41" s="229">
        <f>Table136[[#This Row],[ULT Ending Inventory 
(-75 deg C) (vials)]]+Table136[[#This Row],[Thawed Ending Inventory
(2-8 deg C) (vials)]]</f>
        <v>33480</v>
      </c>
      <c r="L41" s="229">
        <f t="shared" si="3"/>
        <v>5000</v>
      </c>
      <c r="M41" s="229">
        <f t="shared" si="4"/>
        <v>67275</v>
      </c>
      <c r="N41" s="229">
        <f t="shared" si="1"/>
        <v>25000</v>
      </c>
      <c r="O41" s="229" t="str">
        <f>IF(Table136[[#This Row],[Problematic 
Vaccine 
Quantity]]&gt;0, "YES","NO")</f>
        <v>NO</v>
      </c>
      <c r="P41" s="229">
        <v>0</v>
      </c>
      <c r="Q41" s="229">
        <f>Q40+(Table136[[#This Row],[Daily Vaccination
(vials)]]+Table136[[#This Row],[Outbound 20 clinics
(vials)]])*5</f>
        <v>389325</v>
      </c>
      <c r="R41" s="229"/>
    </row>
    <row r="42" spans="2:57" x14ac:dyDescent="0.3">
      <c r="B42" t="s">
        <v>248</v>
      </c>
      <c r="C42" s="230" t="s">
        <v>463</v>
      </c>
      <c r="D42" s="229">
        <f t="shared" si="0"/>
        <v>0</v>
      </c>
      <c r="E42" s="1">
        <f t="shared" si="2"/>
        <v>0</v>
      </c>
      <c r="F42" s="1">
        <f>IF(Table136[[#This Row],[Daily Vaccination
(vials)]]&gt;J41+Table136[[#This Row],[Problematic 
Vaccine 
Quantity]],IF(Table136[[#This Row],[Daily Vaccination
(vials)]]&gt;$I$26+J41,2*$I$26,$I$26),0)</f>
        <v>975</v>
      </c>
      <c r="G42" s="229">
        <f xml:space="preserve"> E42+G41-F42-Table136[[#This Row],[Outbound 20 clinics
(vials)]]</f>
        <v>32175</v>
      </c>
      <c r="H42" s="229">
        <f t="shared" si="8"/>
        <v>0</v>
      </c>
      <c r="I42" s="229">
        <f t="shared" si="9"/>
        <v>960</v>
      </c>
      <c r="J42" s="229">
        <f>J41+Table136[[#This Row],[ULT Consumption
(vials)]]-Table136[[#This Row],[Daily Vaccination
(vials)]]+Table136[[#This Row],[Problematic 
Vaccine 
Quantity]]</f>
        <v>345</v>
      </c>
      <c r="K42" s="229">
        <f>Table136[[#This Row],[ULT Ending Inventory 
(-75 deg C) (vials)]]+Table136[[#This Row],[Thawed Ending Inventory
(2-8 deg C) (vials)]]</f>
        <v>32520</v>
      </c>
      <c r="L42" s="229">
        <f t="shared" si="3"/>
        <v>5000</v>
      </c>
      <c r="M42" s="229">
        <f t="shared" si="4"/>
        <v>67275</v>
      </c>
      <c r="N42" s="229">
        <f t="shared" si="1"/>
        <v>25000</v>
      </c>
      <c r="O42" s="229" t="str">
        <f>IF(Table136[[#This Row],[Problematic 
Vaccine 
Quantity]]&gt;0, "YES","NO")</f>
        <v>NO</v>
      </c>
      <c r="P42" s="229">
        <v>0</v>
      </c>
      <c r="Q42" s="229">
        <f>Q41+(Table136[[#This Row],[Daily Vaccination
(vials)]]+Table136[[#This Row],[Outbound 20 clinics
(vials)]])*5</f>
        <v>394125</v>
      </c>
      <c r="R42" s="229"/>
    </row>
    <row r="43" spans="2:57" x14ac:dyDescent="0.3">
      <c r="C43" s="230" t="s">
        <v>453</v>
      </c>
      <c r="D43" s="229">
        <f t="shared" si="0"/>
        <v>0</v>
      </c>
      <c r="E43" s="1">
        <f t="shared" si="2"/>
        <v>0</v>
      </c>
      <c r="F43" s="1">
        <f>IF(Table136[[#This Row],[Daily Vaccination
(vials)]]&gt;J42+Table136[[#This Row],[Problematic 
Vaccine 
Quantity]],IF(Table136[[#This Row],[Daily Vaccination
(vials)]]&gt;$I$26+J42,2*$I$26,$I$26),0)</f>
        <v>975</v>
      </c>
      <c r="G43" s="229">
        <f xml:space="preserve"> E43+G42-F43-Table136[[#This Row],[Outbound 20 clinics
(vials)]]</f>
        <v>16575</v>
      </c>
      <c r="H43" s="229">
        <f t="shared" si="8"/>
        <v>14625</v>
      </c>
      <c r="I43" s="229">
        <f t="shared" si="9"/>
        <v>960</v>
      </c>
      <c r="J43" s="229">
        <f>J42+Table136[[#This Row],[ULT Consumption
(vials)]]-Table136[[#This Row],[Daily Vaccination
(vials)]]+Table136[[#This Row],[Problematic 
Vaccine 
Quantity]]</f>
        <v>360</v>
      </c>
      <c r="K43" s="229">
        <f>Table136[[#This Row],[ULT Ending Inventory 
(-75 deg C) (vials)]]+Table136[[#This Row],[Thawed Ending Inventory
(2-8 deg C) (vials)]]</f>
        <v>16935</v>
      </c>
      <c r="L43" s="229">
        <f t="shared" si="3"/>
        <v>5000</v>
      </c>
      <c r="M43" s="229">
        <f t="shared" si="4"/>
        <v>67275</v>
      </c>
      <c r="N43" s="229">
        <f t="shared" si="1"/>
        <v>25000</v>
      </c>
      <c r="O43" s="229" t="str">
        <f>IF(Table136[[#This Row],[Problematic 
Vaccine 
Quantity]]&gt;0, "YES","NO")</f>
        <v>NO</v>
      </c>
      <c r="P43" s="229">
        <v>0</v>
      </c>
      <c r="Q43" s="229">
        <f>Q42+(Table136[[#This Row],[Daily Vaccination
(vials)]]+Table136[[#This Row],[Outbound 20 clinics
(vials)]])*5</f>
        <v>472050</v>
      </c>
      <c r="R43" s="229"/>
    </row>
    <row r="44" spans="2:57" x14ac:dyDescent="0.3">
      <c r="C44" s="230" t="s">
        <v>464</v>
      </c>
      <c r="D44" s="229">
        <f t="shared" si="0"/>
        <v>25350</v>
      </c>
      <c r="E44" s="1">
        <f t="shared" si="2"/>
        <v>25350</v>
      </c>
      <c r="F44" s="1">
        <f>IF(Table136[[#This Row],[Daily Vaccination
(vials)]]&gt;J43+Table136[[#This Row],[Problematic 
Vaccine 
Quantity]],IF(Table136[[#This Row],[Daily Vaccination
(vials)]]&gt;$I$26+J43,2*$I$26,$I$26),0)</f>
        <v>975</v>
      </c>
      <c r="G44" s="229">
        <f xml:space="preserve"> E44+G43-F44-Table136[[#This Row],[Outbound 20 clinics
(vials)]]</f>
        <v>33150</v>
      </c>
      <c r="H44" s="229">
        <f t="shared" si="8"/>
        <v>7800</v>
      </c>
      <c r="I44" s="229">
        <f t="shared" si="9"/>
        <v>960</v>
      </c>
      <c r="J44" s="229">
        <f>J43+Table136[[#This Row],[ULT Consumption
(vials)]]-Table136[[#This Row],[Daily Vaccination
(vials)]]+Table136[[#This Row],[Problematic 
Vaccine 
Quantity]]</f>
        <v>375</v>
      </c>
      <c r="K44" s="229">
        <f>Table136[[#This Row],[ULT Ending Inventory 
(-75 deg C) (vials)]]+Table136[[#This Row],[Thawed Ending Inventory
(2-8 deg C) (vials)]]</f>
        <v>33525</v>
      </c>
      <c r="L44" s="229">
        <f t="shared" si="3"/>
        <v>5000</v>
      </c>
      <c r="M44" s="229">
        <f t="shared" si="4"/>
        <v>67275</v>
      </c>
      <c r="N44" s="229">
        <f t="shared" si="1"/>
        <v>25000</v>
      </c>
      <c r="O44" s="229" t="str">
        <f>IF(Table136[[#This Row],[Problematic 
Vaccine 
Quantity]]&gt;0, "YES","NO")</f>
        <v>NO</v>
      </c>
      <c r="P44" s="229">
        <v>0</v>
      </c>
      <c r="Q44" s="229">
        <f>Q43+(Table136[[#This Row],[Daily Vaccination
(vials)]]+Table136[[#This Row],[Outbound 20 clinics
(vials)]])*5</f>
        <v>515850</v>
      </c>
      <c r="R44" s="229"/>
    </row>
    <row r="45" spans="2:57" x14ac:dyDescent="0.3">
      <c r="C45" s="230" t="s">
        <v>465</v>
      </c>
      <c r="D45" s="229">
        <f t="shared" si="0"/>
        <v>0</v>
      </c>
      <c r="E45" s="1">
        <f t="shared" si="2"/>
        <v>0</v>
      </c>
      <c r="F45" s="1">
        <f>IF(Table136[[#This Row],[Daily Vaccination
(vials)]]&gt;J44+Table136[[#This Row],[Problematic 
Vaccine 
Quantity]],IF(Table136[[#This Row],[Daily Vaccination
(vials)]]&gt;$I$26+J44,2*$I$26,$I$26),0)</f>
        <v>975</v>
      </c>
      <c r="G45" s="229">
        <f xml:space="preserve"> E45+G44-F45-Table136[[#This Row],[Outbound 20 clinics
(vials)]]</f>
        <v>32175</v>
      </c>
      <c r="H45" s="229">
        <f t="shared" si="8"/>
        <v>0</v>
      </c>
      <c r="I45" s="229">
        <f t="shared" si="9"/>
        <v>960</v>
      </c>
      <c r="J45" s="229">
        <f>J44+Table136[[#This Row],[ULT Consumption
(vials)]]-Table136[[#This Row],[Daily Vaccination
(vials)]]+Table136[[#This Row],[Problematic 
Vaccine 
Quantity]]</f>
        <v>390</v>
      </c>
      <c r="K45" s="229">
        <f>Table136[[#This Row],[ULT Ending Inventory 
(-75 deg C) (vials)]]+Table136[[#This Row],[Thawed Ending Inventory
(2-8 deg C) (vials)]]</f>
        <v>32565</v>
      </c>
      <c r="L45" s="229">
        <f t="shared" si="3"/>
        <v>5000</v>
      </c>
      <c r="M45" s="229">
        <f t="shared" si="4"/>
        <v>67275</v>
      </c>
      <c r="N45" s="229">
        <f t="shared" si="1"/>
        <v>25000</v>
      </c>
      <c r="O45" s="229" t="str">
        <f>IF(Table136[[#This Row],[Problematic 
Vaccine 
Quantity]]&gt;0, "YES","NO")</f>
        <v>NO</v>
      </c>
      <c r="P45" s="229">
        <v>0</v>
      </c>
      <c r="Q45" s="229">
        <f>Q44+(Table136[[#This Row],[Daily Vaccination
(vials)]]+Table136[[#This Row],[Outbound 20 clinics
(vials)]])*5</f>
        <v>520650</v>
      </c>
      <c r="R45" s="229"/>
    </row>
    <row r="46" spans="2:57" x14ac:dyDescent="0.3">
      <c r="C46" s="230" t="s">
        <v>466</v>
      </c>
      <c r="D46" s="229">
        <f t="shared" si="0"/>
        <v>0</v>
      </c>
      <c r="E46" s="1">
        <f t="shared" si="2"/>
        <v>0</v>
      </c>
      <c r="F46" s="1">
        <f>IF(Table136[[#This Row],[Daily Vaccination
(vials)]]&gt;J45+Table136[[#This Row],[Problematic 
Vaccine 
Quantity]],IF(Table136[[#This Row],[Daily Vaccination
(vials)]]&gt;$I$26+J45,2*$I$26,$I$26),0)</f>
        <v>975</v>
      </c>
      <c r="G46" s="229">
        <f xml:space="preserve"> E46+G45-F46-Table136[[#This Row],[Outbound 20 clinics
(vials)]]</f>
        <v>16575</v>
      </c>
      <c r="H46" s="229">
        <f t="shared" si="8"/>
        <v>14625</v>
      </c>
      <c r="I46" s="229">
        <f t="shared" si="9"/>
        <v>960</v>
      </c>
      <c r="J46" s="229">
        <f>J45+Table136[[#This Row],[ULT Consumption
(vials)]]-Table136[[#This Row],[Daily Vaccination
(vials)]]+Table136[[#This Row],[Problematic 
Vaccine 
Quantity]]</f>
        <v>405</v>
      </c>
      <c r="K46" s="229">
        <f>Table136[[#This Row],[ULT Ending Inventory 
(-75 deg C) (vials)]]+Table136[[#This Row],[Thawed Ending Inventory
(2-8 deg C) (vials)]]</f>
        <v>16980</v>
      </c>
      <c r="L46" s="229">
        <f t="shared" si="3"/>
        <v>5000</v>
      </c>
      <c r="M46" s="229">
        <f t="shared" si="4"/>
        <v>67275</v>
      </c>
      <c r="N46" s="229">
        <f t="shared" si="1"/>
        <v>25000</v>
      </c>
      <c r="O46" s="229" t="str">
        <f>IF(Table136[[#This Row],[Problematic 
Vaccine 
Quantity]]&gt;0, "YES","NO")</f>
        <v>NO</v>
      </c>
      <c r="P46" s="229">
        <v>0</v>
      </c>
      <c r="Q46" s="229">
        <f>Q45+(Table136[[#This Row],[Daily Vaccination
(vials)]]+Table136[[#This Row],[Outbound 20 clinics
(vials)]])*5</f>
        <v>598575</v>
      </c>
      <c r="R46" s="229"/>
    </row>
    <row r="47" spans="2:57" x14ac:dyDescent="0.3">
      <c r="C47" s="230" t="s">
        <v>467</v>
      </c>
      <c r="D47" s="229">
        <f t="shared" si="0"/>
        <v>25350</v>
      </c>
      <c r="E47" s="1">
        <f t="shared" si="2"/>
        <v>25350</v>
      </c>
      <c r="F47" s="1">
        <f>IF(Table136[[#This Row],[Daily Vaccination
(vials)]]&gt;J46+Table136[[#This Row],[Problematic 
Vaccine 
Quantity]],IF(Table136[[#This Row],[Daily Vaccination
(vials)]]&gt;$I$26+J46,2*$I$26,$I$26),0)</f>
        <v>975</v>
      </c>
      <c r="G47" s="229">
        <f xml:space="preserve"> E47+G46-F47-Table136[[#This Row],[Outbound 20 clinics
(vials)]]</f>
        <v>33150</v>
      </c>
      <c r="H47" s="229">
        <f t="shared" si="8"/>
        <v>7800</v>
      </c>
      <c r="I47" s="229">
        <f t="shared" si="9"/>
        <v>960</v>
      </c>
      <c r="J47" s="229">
        <f>J46+Table136[[#This Row],[ULT Consumption
(vials)]]-Table136[[#This Row],[Daily Vaccination
(vials)]]+Table136[[#This Row],[Problematic 
Vaccine 
Quantity]]</f>
        <v>420</v>
      </c>
      <c r="K47" s="229">
        <f>Table136[[#This Row],[ULT Ending Inventory 
(-75 deg C) (vials)]]+Table136[[#This Row],[Thawed Ending Inventory
(2-8 deg C) (vials)]]</f>
        <v>33570</v>
      </c>
      <c r="L47" s="229">
        <f t="shared" si="3"/>
        <v>5000</v>
      </c>
      <c r="M47" s="229">
        <f t="shared" si="4"/>
        <v>67275</v>
      </c>
      <c r="N47" s="229">
        <f t="shared" si="1"/>
        <v>25000</v>
      </c>
      <c r="O47" s="229" t="str">
        <f>IF(Table136[[#This Row],[Problematic 
Vaccine 
Quantity]]&gt;0, "YES","NO")</f>
        <v>NO</v>
      </c>
      <c r="P47" s="229">
        <v>0</v>
      </c>
      <c r="Q47" s="229">
        <f>Q46+(Table136[[#This Row],[Daily Vaccination
(vials)]]+Table136[[#This Row],[Outbound 20 clinics
(vials)]])*5</f>
        <v>642375</v>
      </c>
      <c r="R47" s="229"/>
    </row>
    <row r="48" spans="2:57" x14ac:dyDescent="0.3">
      <c r="C48" s="230" t="s">
        <v>468</v>
      </c>
      <c r="D48" s="229">
        <f t="shared" si="0"/>
        <v>0</v>
      </c>
      <c r="E48" s="1">
        <f t="shared" si="2"/>
        <v>0</v>
      </c>
      <c r="F48" s="1">
        <f>IF(Table136[[#This Row],[Daily Vaccination
(vials)]]&gt;J47+Table136[[#This Row],[Problematic 
Vaccine 
Quantity]],IF(Table136[[#This Row],[Daily Vaccination
(vials)]]&gt;$I$26+J47,2*$I$26,$I$26),0)</f>
        <v>975</v>
      </c>
      <c r="G48" s="229">
        <f xml:space="preserve"> E48+G47-F48-Table136[[#This Row],[Outbound 20 clinics
(vials)]]</f>
        <v>32175</v>
      </c>
      <c r="H48" s="229">
        <f t="shared" si="8"/>
        <v>0</v>
      </c>
      <c r="I48" s="229">
        <f t="shared" si="9"/>
        <v>960</v>
      </c>
      <c r="J48" s="229">
        <f>J47+Table136[[#This Row],[ULT Consumption
(vials)]]-Table136[[#This Row],[Daily Vaccination
(vials)]]+Table136[[#This Row],[Problematic 
Vaccine 
Quantity]]</f>
        <v>435</v>
      </c>
      <c r="K48" s="229">
        <f>Table136[[#This Row],[ULT Ending Inventory 
(-75 deg C) (vials)]]+Table136[[#This Row],[Thawed Ending Inventory
(2-8 deg C) (vials)]]</f>
        <v>32610</v>
      </c>
      <c r="L48" s="229">
        <f t="shared" si="3"/>
        <v>5000</v>
      </c>
      <c r="M48" s="229">
        <f t="shared" si="4"/>
        <v>67275</v>
      </c>
      <c r="N48" s="229">
        <f t="shared" si="1"/>
        <v>25000</v>
      </c>
      <c r="O48" s="229" t="str">
        <f>IF(Table136[[#This Row],[Problematic 
Vaccine 
Quantity]]&gt;0, "YES","NO")</f>
        <v>NO</v>
      </c>
      <c r="P48" s="229">
        <v>0</v>
      </c>
      <c r="Q48" s="229">
        <f>Q47+(Table136[[#This Row],[Daily Vaccination
(vials)]]+Table136[[#This Row],[Outbound 20 clinics
(vials)]])*5</f>
        <v>647175</v>
      </c>
      <c r="R48" s="229"/>
      <c r="BD48">
        <v>15</v>
      </c>
      <c r="BE48" t="s">
        <v>483</v>
      </c>
    </row>
    <row r="49" spans="3:75" x14ac:dyDescent="0.3">
      <c r="C49" s="230" t="s">
        <v>469</v>
      </c>
      <c r="D49" s="229">
        <f t="shared" si="0"/>
        <v>0</v>
      </c>
      <c r="E49" s="1">
        <f t="shared" si="2"/>
        <v>0</v>
      </c>
      <c r="F49" s="1">
        <f>IF(Table136[[#This Row],[Daily Vaccination
(vials)]]&gt;J48+Table136[[#This Row],[Problematic 
Vaccine 
Quantity]],IF(Table136[[#This Row],[Daily Vaccination
(vials)]]&gt;$I$26+J48,2*$I$26,$I$26),0)</f>
        <v>975</v>
      </c>
      <c r="G49" s="229">
        <f xml:space="preserve"> E49+G48-F49-Table136[[#This Row],[Outbound 20 clinics
(vials)]]</f>
        <v>16575</v>
      </c>
      <c r="H49" s="229">
        <f t="shared" si="8"/>
        <v>14625</v>
      </c>
      <c r="I49" s="229">
        <f t="shared" si="9"/>
        <v>960</v>
      </c>
      <c r="J49" s="229">
        <f>J48+Table136[[#This Row],[ULT Consumption
(vials)]]-Table136[[#This Row],[Daily Vaccination
(vials)]]+Table136[[#This Row],[Problematic 
Vaccine 
Quantity]]</f>
        <v>450</v>
      </c>
      <c r="K49" s="229">
        <f>Table136[[#This Row],[ULT Ending Inventory 
(-75 deg C) (vials)]]+Table136[[#This Row],[Thawed Ending Inventory
(2-8 deg C) (vials)]]</f>
        <v>17025</v>
      </c>
      <c r="L49" s="229">
        <f t="shared" si="3"/>
        <v>5000</v>
      </c>
      <c r="M49" s="229">
        <f t="shared" si="4"/>
        <v>67275</v>
      </c>
      <c r="N49" s="229">
        <f t="shared" si="1"/>
        <v>25000</v>
      </c>
      <c r="O49" s="229" t="str">
        <f>IF(Table136[[#This Row],[Problematic 
Vaccine 
Quantity]]&gt;0, "YES","NO")</f>
        <v>NO</v>
      </c>
      <c r="P49" s="229">
        <v>0</v>
      </c>
      <c r="Q49" s="229">
        <f>Q48+(Table136[[#This Row],[Daily Vaccination
(vials)]]+Table136[[#This Row],[Outbound 20 clinics
(vials)]])*5</f>
        <v>725100</v>
      </c>
      <c r="R49" s="229"/>
      <c r="BD49">
        <v>8</v>
      </c>
      <c r="BE49" t="s">
        <v>482</v>
      </c>
    </row>
    <row r="50" spans="3:75" x14ac:dyDescent="0.3">
      <c r="C50" s="230" t="s">
        <v>470</v>
      </c>
      <c r="D50" s="229">
        <f t="shared" si="0"/>
        <v>25350</v>
      </c>
      <c r="E50" s="1">
        <f t="shared" si="2"/>
        <v>25350</v>
      </c>
      <c r="F50" s="1">
        <f>IF(Table136[[#This Row],[Daily Vaccination
(vials)]]&gt;J49+Table136[[#This Row],[Problematic 
Vaccine 
Quantity]],IF(Table136[[#This Row],[Daily Vaccination
(vials)]]&gt;$I$26+J49,2*$I$26,$I$26),0)</f>
        <v>975</v>
      </c>
      <c r="G50" s="229">
        <f xml:space="preserve"> E50+G49-F50-Table136[[#This Row],[Outbound 20 clinics
(vials)]]</f>
        <v>33150</v>
      </c>
      <c r="H50" s="229">
        <f t="shared" si="8"/>
        <v>7800</v>
      </c>
      <c r="I50" s="229">
        <f t="shared" si="9"/>
        <v>960</v>
      </c>
      <c r="J50" s="229">
        <f>J49+Table136[[#This Row],[ULT Consumption
(vials)]]-Table136[[#This Row],[Daily Vaccination
(vials)]]+Table136[[#This Row],[Problematic 
Vaccine 
Quantity]]</f>
        <v>465</v>
      </c>
      <c r="K50" s="229">
        <f>Table136[[#This Row],[ULT Ending Inventory 
(-75 deg C) (vials)]]+Table136[[#This Row],[Thawed Ending Inventory
(2-8 deg C) (vials)]]</f>
        <v>33615</v>
      </c>
      <c r="L50" s="229">
        <f t="shared" si="3"/>
        <v>5000</v>
      </c>
      <c r="M50" s="229">
        <f t="shared" si="4"/>
        <v>67275</v>
      </c>
      <c r="N50" s="229">
        <f t="shared" si="1"/>
        <v>25000</v>
      </c>
      <c r="O50" s="229" t="str">
        <f>IF(Table136[[#This Row],[Problematic 
Vaccine 
Quantity]]&gt;0, "YES","NO")</f>
        <v>NO</v>
      </c>
      <c r="P50" s="229">
        <v>0</v>
      </c>
      <c r="Q50" s="229">
        <f>Q49+(Table136[[#This Row],[Daily Vaccination
(vials)]]+Table136[[#This Row],[Outbound 20 clinics
(vials)]])*5</f>
        <v>768900</v>
      </c>
      <c r="R50" s="229"/>
      <c r="BD50">
        <v>150</v>
      </c>
      <c r="BE50" t="s">
        <v>484</v>
      </c>
    </row>
    <row r="51" spans="3:75" x14ac:dyDescent="0.3">
      <c r="C51" s="230" t="s">
        <v>471</v>
      </c>
      <c r="D51" s="229">
        <f t="shared" si="0"/>
        <v>0</v>
      </c>
      <c r="E51" s="1">
        <f t="shared" si="2"/>
        <v>0</v>
      </c>
      <c r="F51" s="1">
        <f>IF(Table136[[#This Row],[Daily Vaccination
(vials)]]&gt;J50+Table136[[#This Row],[Problematic 
Vaccine 
Quantity]],IF(Table136[[#This Row],[Daily Vaccination
(vials)]]&gt;$I$26+J50,2*$I$26,$I$26),0)</f>
        <v>975</v>
      </c>
      <c r="G51" s="229">
        <f xml:space="preserve"> E51+G50-F51-Table136[[#This Row],[Outbound 20 clinics
(vials)]]</f>
        <v>32175</v>
      </c>
      <c r="H51" s="229">
        <f t="shared" si="8"/>
        <v>0</v>
      </c>
      <c r="I51" s="229">
        <f t="shared" si="9"/>
        <v>960</v>
      </c>
      <c r="J51" s="229">
        <f>J50+Table136[[#This Row],[ULT Consumption
(vials)]]-Table136[[#This Row],[Daily Vaccination
(vials)]]+Table136[[#This Row],[Problematic 
Vaccine 
Quantity]]</f>
        <v>480</v>
      </c>
      <c r="K51" s="229">
        <f>Table136[[#This Row],[ULT Ending Inventory 
(-75 deg C) (vials)]]+Table136[[#This Row],[Thawed Ending Inventory
(2-8 deg C) (vials)]]</f>
        <v>32655</v>
      </c>
      <c r="L51" s="229">
        <f t="shared" si="3"/>
        <v>5000</v>
      </c>
      <c r="M51" s="229">
        <f t="shared" si="4"/>
        <v>67275</v>
      </c>
      <c r="N51" s="229">
        <f t="shared" si="1"/>
        <v>25000</v>
      </c>
      <c r="O51" s="229" t="str">
        <f>IF(Table136[[#This Row],[Problematic 
Vaccine 
Quantity]]&gt;0, "YES","NO")</f>
        <v>NO</v>
      </c>
      <c r="P51" s="229">
        <v>0</v>
      </c>
      <c r="Q51" s="229">
        <f>Q50+(Table136[[#This Row],[Daily Vaccination
(vials)]]+Table136[[#This Row],[Outbound 20 clinics
(vials)]])*5</f>
        <v>773700</v>
      </c>
      <c r="R51" s="229"/>
      <c r="BD51">
        <f>BD50*BD49*60/BD48</f>
        <v>4800</v>
      </c>
      <c r="BE51" t="s">
        <v>485</v>
      </c>
      <c r="BS51" s="20" t="s">
        <v>291</v>
      </c>
      <c r="BT51" s="331">
        <v>1</v>
      </c>
      <c r="BU51" t="s">
        <v>293</v>
      </c>
    </row>
    <row r="52" spans="3:75" x14ac:dyDescent="0.3">
      <c r="C52" s="230" t="s">
        <v>472</v>
      </c>
      <c r="D52" s="229">
        <f t="shared" si="0"/>
        <v>0</v>
      </c>
      <c r="E52" s="1">
        <f t="shared" si="2"/>
        <v>0</v>
      </c>
      <c r="F52" s="1">
        <f>IF(Table136[[#This Row],[Daily Vaccination
(vials)]]&gt;J51+Table136[[#This Row],[Problematic 
Vaccine 
Quantity]],IF(Table136[[#This Row],[Daily Vaccination
(vials)]]&gt;$I$26+J51,2*$I$26,$I$26),0)</f>
        <v>975</v>
      </c>
      <c r="G52" s="229">
        <f xml:space="preserve"> E52+G51-F52-Table136[[#This Row],[Outbound 20 clinics
(vials)]]</f>
        <v>16575</v>
      </c>
      <c r="H52" s="229">
        <f t="shared" si="8"/>
        <v>14625</v>
      </c>
      <c r="I52" s="229">
        <f t="shared" si="9"/>
        <v>960</v>
      </c>
      <c r="J52" s="229">
        <f>J51+Table136[[#This Row],[ULT Consumption
(vials)]]-Table136[[#This Row],[Daily Vaccination
(vials)]]+Table136[[#This Row],[Problematic 
Vaccine 
Quantity]]</f>
        <v>495</v>
      </c>
      <c r="K52" s="229">
        <f>Table136[[#This Row],[ULT Ending Inventory 
(-75 deg C) (vials)]]+Table136[[#This Row],[Thawed Ending Inventory
(2-8 deg C) (vials)]]</f>
        <v>17070</v>
      </c>
      <c r="L52" s="229">
        <f t="shared" si="3"/>
        <v>5000</v>
      </c>
      <c r="M52" s="229">
        <f t="shared" si="4"/>
        <v>67275</v>
      </c>
      <c r="N52" s="229">
        <f t="shared" si="1"/>
        <v>25000</v>
      </c>
      <c r="O52" s="229" t="str">
        <f>IF(Table136[[#This Row],[Problematic 
Vaccine 
Quantity]]&gt;0, "YES","NO")</f>
        <v>NO</v>
      </c>
      <c r="P52" s="229">
        <v>0</v>
      </c>
      <c r="Q52" s="229">
        <f>Q51+(Table136[[#This Row],[Daily Vaccination
(vials)]]+Table136[[#This Row],[Outbound 20 clinics
(vials)]])*5</f>
        <v>851625</v>
      </c>
      <c r="R52" s="229"/>
      <c r="BS52" s="293" t="s">
        <v>342</v>
      </c>
      <c r="BT52" s="331">
        <v>67275</v>
      </c>
      <c r="BU52" t="s">
        <v>341</v>
      </c>
      <c r="BV52" s="331">
        <f>BT52/$BO$55</f>
        <v>69</v>
      </c>
      <c r="BW52" t="s">
        <v>435</v>
      </c>
    </row>
    <row r="53" spans="3:75" x14ac:dyDescent="0.3">
      <c r="C53" s="230" t="s">
        <v>473</v>
      </c>
      <c r="D53" s="229">
        <f t="shared" si="0"/>
        <v>25350</v>
      </c>
      <c r="E53" s="1">
        <f t="shared" si="2"/>
        <v>25350</v>
      </c>
      <c r="F53" s="1">
        <f>IF(Table136[[#This Row],[Daily Vaccination
(vials)]]&gt;J52+Table136[[#This Row],[Problematic 
Vaccine 
Quantity]],IF(Table136[[#This Row],[Daily Vaccination
(vials)]]&gt;$I$26+J52,2*$I$26,$I$26),0)</f>
        <v>975</v>
      </c>
      <c r="G53" s="229">
        <f xml:space="preserve"> E53+G52-F53-Table136[[#This Row],[Outbound 20 clinics
(vials)]]</f>
        <v>33150</v>
      </c>
      <c r="H53" s="229">
        <f t="shared" si="8"/>
        <v>7800</v>
      </c>
      <c r="I53" s="229">
        <f t="shared" si="9"/>
        <v>960</v>
      </c>
      <c r="J53" s="229">
        <f>J52+Table136[[#This Row],[ULT Consumption
(vials)]]-Table136[[#This Row],[Daily Vaccination
(vials)]]+Table136[[#This Row],[Problematic 
Vaccine 
Quantity]]</f>
        <v>510</v>
      </c>
      <c r="K53" s="229">
        <f>Table136[[#This Row],[ULT Ending Inventory 
(-75 deg C) (vials)]]+Table136[[#This Row],[Thawed Ending Inventory
(2-8 deg C) (vials)]]</f>
        <v>33660</v>
      </c>
      <c r="L53" s="229">
        <f t="shared" si="3"/>
        <v>5000</v>
      </c>
      <c r="M53" s="229">
        <f t="shared" si="4"/>
        <v>67275</v>
      </c>
      <c r="N53" s="229">
        <f t="shared" si="1"/>
        <v>25000</v>
      </c>
      <c r="O53" s="229" t="str">
        <f>IF(Table136[[#This Row],[Problematic 
Vaccine 
Quantity]]&gt;0, "YES","NO")</f>
        <v>NO</v>
      </c>
      <c r="P53" s="229">
        <v>0</v>
      </c>
      <c r="Q53" s="229">
        <f>Q52+(Table136[[#This Row],[Daily Vaccination
(vials)]]+Table136[[#This Row],[Outbound 20 clinics
(vials)]])*5</f>
        <v>895425</v>
      </c>
      <c r="R53" s="229"/>
      <c r="AP53" s="295" t="s">
        <v>491</v>
      </c>
      <c r="BS53" s="231" t="s">
        <v>300</v>
      </c>
      <c r="BT53" s="332">
        <v>4875</v>
      </c>
      <c r="BU53" t="s">
        <v>341</v>
      </c>
      <c r="BV53" s="331">
        <f>BT53/$BO$55</f>
        <v>5</v>
      </c>
      <c r="BW53" t="s">
        <v>435</v>
      </c>
    </row>
    <row r="54" spans="3:75" ht="21" x14ac:dyDescent="0.4">
      <c r="C54" s="230" t="s">
        <v>474</v>
      </c>
      <c r="D54" s="229">
        <f t="shared" si="0"/>
        <v>0</v>
      </c>
      <c r="E54" s="1">
        <f t="shared" si="2"/>
        <v>0</v>
      </c>
      <c r="F54" s="1">
        <f>IF(Table136[[#This Row],[Daily Vaccination
(vials)]]&gt;J53+Table136[[#This Row],[Problematic 
Vaccine 
Quantity]],IF(Table136[[#This Row],[Daily Vaccination
(vials)]]&gt;$I$26+J53,2*$I$26,$I$26),0)</f>
        <v>975</v>
      </c>
      <c r="G54" s="229">
        <f xml:space="preserve"> E54+G53-F54-Table136[[#This Row],[Outbound 20 clinics
(vials)]]</f>
        <v>32175</v>
      </c>
      <c r="H54" s="229">
        <f t="shared" si="8"/>
        <v>0</v>
      </c>
      <c r="I54" s="229">
        <f t="shared" si="9"/>
        <v>960</v>
      </c>
      <c r="J54" s="229">
        <f>J53+Table136[[#This Row],[ULT Consumption
(vials)]]-Table136[[#This Row],[Daily Vaccination
(vials)]]+Table136[[#This Row],[Problematic 
Vaccine 
Quantity]]</f>
        <v>525</v>
      </c>
      <c r="K54" s="229">
        <f>Table136[[#This Row],[ULT Ending Inventory 
(-75 deg C) (vials)]]+Table136[[#This Row],[Thawed Ending Inventory
(2-8 deg C) (vials)]]</f>
        <v>32700</v>
      </c>
      <c r="L54" s="229">
        <f t="shared" si="3"/>
        <v>5000</v>
      </c>
      <c r="M54" s="229">
        <f t="shared" si="4"/>
        <v>67275</v>
      </c>
      <c r="N54" s="229">
        <f t="shared" si="1"/>
        <v>25000</v>
      </c>
      <c r="O54" s="229" t="str">
        <f>IF(Table136[[#This Row],[Problematic 
Vaccine 
Quantity]]&gt;0, "YES","NO")</f>
        <v>NO</v>
      </c>
      <c r="P54" s="229">
        <v>0</v>
      </c>
      <c r="Q54" s="229">
        <f>Q53+(Table136[[#This Row],[Daily Vaccination
(vials)]]+Table136[[#This Row],[Outbound 20 clinics
(vials)]])*5</f>
        <v>900225</v>
      </c>
      <c r="R54" s="229"/>
      <c r="AF54" s="322" t="s">
        <v>507</v>
      </c>
      <c r="AG54" s="40"/>
      <c r="AH54" t="s">
        <v>502</v>
      </c>
      <c r="AP54" s="309" t="s">
        <v>506</v>
      </c>
      <c r="AQ54" s="309"/>
      <c r="AT54" t="s">
        <v>503</v>
      </c>
      <c r="BS54" s="45" t="s">
        <v>299</v>
      </c>
      <c r="BT54" s="331">
        <v>25350</v>
      </c>
      <c r="BU54" t="s">
        <v>341</v>
      </c>
      <c r="BV54" s="331">
        <f>BT54/$BO$55</f>
        <v>26</v>
      </c>
      <c r="BW54" t="s">
        <v>435</v>
      </c>
    </row>
    <row r="55" spans="3:75" ht="57.6" x14ac:dyDescent="0.3">
      <c r="C55" s="230" t="s">
        <v>475</v>
      </c>
      <c r="D55" s="229">
        <f t="shared" si="0"/>
        <v>0</v>
      </c>
      <c r="E55" s="1">
        <f t="shared" si="2"/>
        <v>0</v>
      </c>
      <c r="F55" s="1">
        <f>IF(Table136[[#This Row],[Daily Vaccination
(vials)]]&gt;J54+Table136[[#This Row],[Problematic 
Vaccine 
Quantity]],IF(Table136[[#This Row],[Daily Vaccination
(vials)]]&gt;$I$26+J54,2*$I$26,$I$26),0)</f>
        <v>975</v>
      </c>
      <c r="G55" s="229">
        <f xml:space="preserve"> E55+G54-F55-Table136[[#This Row],[Outbound 20 clinics
(vials)]]</f>
        <v>16575</v>
      </c>
      <c r="H55" s="229">
        <f t="shared" si="8"/>
        <v>14625</v>
      </c>
      <c r="I55" s="229">
        <f t="shared" si="9"/>
        <v>960</v>
      </c>
      <c r="J55" s="229">
        <f>J54+Table136[[#This Row],[ULT Consumption
(vials)]]-Table136[[#This Row],[Daily Vaccination
(vials)]]+Table136[[#This Row],[Problematic 
Vaccine 
Quantity]]</f>
        <v>540</v>
      </c>
      <c r="K55" s="229">
        <f>Table136[[#This Row],[ULT Ending Inventory 
(-75 deg C) (vials)]]+Table136[[#This Row],[Thawed Ending Inventory
(2-8 deg C) (vials)]]</f>
        <v>17115</v>
      </c>
      <c r="L55" s="229">
        <f t="shared" si="3"/>
        <v>5000</v>
      </c>
      <c r="M55" s="229">
        <f t="shared" si="4"/>
        <v>67275</v>
      </c>
      <c r="N55" s="229">
        <f t="shared" si="1"/>
        <v>25000</v>
      </c>
      <c r="O55" s="229" t="str">
        <f>IF(Table136[[#This Row],[Problematic 
Vaccine 
Quantity]]&gt;0, "YES","NO")</f>
        <v>NO</v>
      </c>
      <c r="P55" s="229">
        <v>0</v>
      </c>
      <c r="Q55" s="229">
        <f>Q54+(Table136[[#This Row],[Daily Vaccination
(vials)]]+Table136[[#This Row],[Outbound 20 clinics
(vials)]])*5</f>
        <v>978150</v>
      </c>
      <c r="R55" s="229"/>
      <c r="AF55" s="323" t="s">
        <v>68</v>
      </c>
      <c r="AG55" s="323" t="s">
        <v>420</v>
      </c>
      <c r="AH55" s="324" t="s">
        <v>409</v>
      </c>
      <c r="AI55" s="324" t="s">
        <v>302</v>
      </c>
      <c r="AJ55" s="323" t="s">
        <v>438</v>
      </c>
      <c r="AK55" s="323" t="s">
        <v>511</v>
      </c>
      <c r="AL55" s="323" t="s">
        <v>436</v>
      </c>
      <c r="AM55" s="323" t="s">
        <v>437</v>
      </c>
      <c r="AN55" s="323" t="s">
        <v>428</v>
      </c>
      <c r="AO55" s="37"/>
      <c r="AP55" s="323" t="s">
        <v>68</v>
      </c>
      <c r="AQ55" s="323" t="s">
        <v>420</v>
      </c>
      <c r="AR55" s="324" t="s">
        <v>409</v>
      </c>
      <c r="AS55" s="324" t="s">
        <v>302</v>
      </c>
      <c r="AT55" s="323" t="s">
        <v>438</v>
      </c>
      <c r="AU55" s="323" t="s">
        <v>511</v>
      </c>
      <c r="AV55" s="323" t="s">
        <v>446</v>
      </c>
      <c r="AW55" s="323" t="s">
        <v>440</v>
      </c>
      <c r="AX55" s="323" t="s">
        <v>439</v>
      </c>
      <c r="AY55" s="323" t="s">
        <v>428</v>
      </c>
      <c r="BB55" s="931" t="s">
        <v>451</v>
      </c>
      <c r="BC55" s="931"/>
      <c r="BE55" s="37" t="s">
        <v>498</v>
      </c>
      <c r="BH55" s="932" t="s">
        <v>521</v>
      </c>
      <c r="BI55" s="931"/>
      <c r="BL55" s="932" t="s">
        <v>522</v>
      </c>
      <c r="BM55" s="931"/>
      <c r="BN55" t="s">
        <v>385</v>
      </c>
      <c r="BO55">
        <v>975</v>
      </c>
      <c r="BQ55" s="932" t="s">
        <v>524</v>
      </c>
      <c r="BR55" s="931"/>
      <c r="BS55" s="45" t="s">
        <v>532</v>
      </c>
      <c r="BT55" s="331">
        <v>4875</v>
      </c>
      <c r="BU55" t="s">
        <v>341</v>
      </c>
      <c r="BV55" s="331">
        <v>0</v>
      </c>
      <c r="BW55" t="s">
        <v>435</v>
      </c>
    </row>
    <row r="56" spans="3:75" ht="43.2" x14ac:dyDescent="0.3">
      <c r="C56" s="230" t="s">
        <v>476</v>
      </c>
      <c r="D56" s="229">
        <f t="shared" si="0"/>
        <v>25350</v>
      </c>
      <c r="E56" s="1">
        <f t="shared" si="2"/>
        <v>25350</v>
      </c>
      <c r="F56" s="1">
        <f>IF(Table136[[#This Row],[Daily Vaccination
(vials)]]&gt;J55+Table136[[#This Row],[Problematic 
Vaccine 
Quantity]],IF(Table136[[#This Row],[Daily Vaccination
(vials)]]&gt;$I$26+J55,2*$I$26,$I$26),0)</f>
        <v>975</v>
      </c>
      <c r="G56" s="229">
        <f xml:space="preserve"> E56+G55-F56-Table136[[#This Row],[Outbound 20 clinics
(vials)]]</f>
        <v>33150</v>
      </c>
      <c r="H56" s="229">
        <f t="shared" si="8"/>
        <v>7800</v>
      </c>
      <c r="I56" s="229">
        <f t="shared" si="9"/>
        <v>960</v>
      </c>
      <c r="J56" s="229">
        <f>J55+Table136[[#This Row],[ULT Consumption
(vials)]]-Table136[[#This Row],[Daily Vaccination
(vials)]]+Table136[[#This Row],[Problematic 
Vaccine 
Quantity]]</f>
        <v>555</v>
      </c>
      <c r="K56" s="229">
        <f>Table136[[#This Row],[ULT Ending Inventory 
(-75 deg C) (vials)]]+Table136[[#This Row],[Thawed Ending Inventory
(2-8 deg C) (vials)]]</f>
        <v>33705</v>
      </c>
      <c r="L56" s="229">
        <f t="shared" si="3"/>
        <v>5000</v>
      </c>
      <c r="M56" s="229">
        <f t="shared" si="4"/>
        <v>67275</v>
      </c>
      <c r="N56" s="229">
        <f t="shared" si="1"/>
        <v>25000</v>
      </c>
      <c r="O56" s="229" t="str">
        <f>IF(Table136[[#This Row],[Problematic 
Vaccine 
Quantity]]&gt;0, "YES","NO")</f>
        <v>NO</v>
      </c>
      <c r="P56" s="229">
        <v>0</v>
      </c>
      <c r="Q56" s="229">
        <f>Q55+(Table136[[#This Row],[Daily Vaccination
(vials)]]+Table136[[#This Row],[Outbound 20 clinics
(vials)]])*5</f>
        <v>1021950</v>
      </c>
      <c r="R56" s="229"/>
      <c r="T56" s="295" t="s">
        <v>501</v>
      </c>
      <c r="AF56" s="311" t="s">
        <v>414</v>
      </c>
      <c r="AG56" s="937">
        <v>44186</v>
      </c>
      <c r="AH56" s="319" t="s">
        <v>410</v>
      </c>
      <c r="AI56" s="319" t="s">
        <v>10</v>
      </c>
      <c r="AJ56" s="310"/>
      <c r="AK56" s="310"/>
      <c r="AL56" s="326">
        <v>8</v>
      </c>
      <c r="AM56" s="310"/>
      <c r="AN56" s="310" t="s">
        <v>435</v>
      </c>
      <c r="AP56" s="311" t="s">
        <v>414</v>
      </c>
      <c r="AQ56" s="937">
        <v>44186</v>
      </c>
      <c r="AR56" s="312" t="s">
        <v>417</v>
      </c>
      <c r="AS56" s="312" t="s">
        <v>418</v>
      </c>
      <c r="AT56" s="310"/>
      <c r="AU56" s="310"/>
      <c r="AV56" s="310"/>
      <c r="AW56" s="326">
        <v>100</v>
      </c>
      <c r="AX56" s="310"/>
      <c r="AY56" s="310" t="s">
        <v>341</v>
      </c>
      <c r="BB56" s="324" t="s">
        <v>68</v>
      </c>
      <c r="BC56" s="324" t="s">
        <v>420</v>
      </c>
      <c r="BD56" s="323" t="s">
        <v>488</v>
      </c>
      <c r="BE56" s="323" t="s">
        <v>487</v>
      </c>
      <c r="BF56" s="324" t="s">
        <v>486</v>
      </c>
      <c r="BH56" s="69" t="s">
        <v>68</v>
      </c>
      <c r="BI56" s="69" t="s">
        <v>420</v>
      </c>
      <c r="BJ56" s="318" t="s">
        <v>528</v>
      </c>
      <c r="BL56" s="324" t="s">
        <v>420</v>
      </c>
      <c r="BM56" s="324" t="s">
        <v>292</v>
      </c>
      <c r="BN56" s="323" t="s">
        <v>523</v>
      </c>
      <c r="BO56" s="324" t="s">
        <v>406</v>
      </c>
      <c r="BQ56" s="324" t="s">
        <v>420</v>
      </c>
      <c r="BR56" s="324" t="s">
        <v>292</v>
      </c>
      <c r="BS56" s="324" t="s">
        <v>290</v>
      </c>
      <c r="BT56" s="324" t="s">
        <v>490</v>
      </c>
      <c r="BU56" s="324" t="s">
        <v>406</v>
      </c>
      <c r="BW56" s="37"/>
    </row>
    <row r="57" spans="3:75" x14ac:dyDescent="0.3">
      <c r="C57" s="230" t="s">
        <v>477</v>
      </c>
      <c r="D57" s="229">
        <f t="shared" si="0"/>
        <v>0</v>
      </c>
      <c r="E57" s="1">
        <f t="shared" si="2"/>
        <v>0</v>
      </c>
      <c r="F57" s="1">
        <f>IF(Table136[[#This Row],[Daily Vaccination
(vials)]]&gt;J56+Table136[[#This Row],[Problematic 
Vaccine 
Quantity]],IF(Table136[[#This Row],[Daily Vaccination
(vials)]]&gt;$I$26+J56,2*$I$26,$I$26),0)</f>
        <v>975</v>
      </c>
      <c r="G57" s="229">
        <f xml:space="preserve"> E57+G56-F57-Table136[[#This Row],[Outbound 20 clinics
(vials)]]</f>
        <v>32175</v>
      </c>
      <c r="H57" s="229">
        <f t="shared" si="8"/>
        <v>0</v>
      </c>
      <c r="I57" s="229">
        <f t="shared" si="9"/>
        <v>960</v>
      </c>
      <c r="J57" s="229">
        <f>J56+Table136[[#This Row],[ULT Consumption
(vials)]]-Table136[[#This Row],[Daily Vaccination
(vials)]]+Table136[[#This Row],[Problematic 
Vaccine 
Quantity]]</f>
        <v>570</v>
      </c>
      <c r="K57" s="229">
        <f>Table136[[#This Row],[ULT Ending Inventory 
(-75 deg C) (vials)]]+Table136[[#This Row],[Thawed Ending Inventory
(2-8 deg C) (vials)]]</f>
        <v>32745</v>
      </c>
      <c r="L57" s="229">
        <f t="shared" si="3"/>
        <v>5000</v>
      </c>
      <c r="M57" s="229">
        <f t="shared" si="4"/>
        <v>67275</v>
      </c>
      <c r="N57" s="229">
        <f t="shared" si="1"/>
        <v>25000</v>
      </c>
      <c r="O57" s="229" t="str">
        <f>IF(Table136[[#This Row],[Problematic 
Vaccine 
Quantity]]&gt;0, "YES","NO")</f>
        <v>NO</v>
      </c>
      <c r="P57" s="229">
        <v>0</v>
      </c>
      <c r="Q57" s="229">
        <f>Q56+(Table136[[#This Row],[Daily Vaccination
(vials)]]+Table136[[#This Row],[Outbound 20 clinics
(vials)]])*5</f>
        <v>1026750</v>
      </c>
      <c r="R57" s="229"/>
      <c r="T57" s="295" t="s">
        <v>499</v>
      </c>
      <c r="AF57" s="310"/>
      <c r="AG57" s="938"/>
      <c r="AH57" s="314" t="s">
        <v>424</v>
      </c>
      <c r="AI57" s="314" t="s">
        <v>11</v>
      </c>
      <c r="AJ57" s="310"/>
      <c r="AK57" s="310"/>
      <c r="AL57" s="326">
        <v>1</v>
      </c>
      <c r="AM57" s="310"/>
      <c r="AN57" s="310" t="s">
        <v>435</v>
      </c>
      <c r="AP57" s="310"/>
      <c r="AQ57" s="938"/>
      <c r="AR57" s="313" t="s">
        <v>415</v>
      </c>
      <c r="AS57" s="313" t="s">
        <v>419</v>
      </c>
      <c r="AT57" s="310"/>
      <c r="AU57" s="310"/>
      <c r="AV57" s="310"/>
      <c r="AW57" s="326">
        <v>80</v>
      </c>
      <c r="AX57" s="310"/>
      <c r="AY57" s="310" t="s">
        <v>341</v>
      </c>
      <c r="BB57" s="310" t="s">
        <v>452</v>
      </c>
      <c r="BC57" s="328" t="s">
        <v>489</v>
      </c>
      <c r="BD57" s="71">
        <f t="shared" ref="BD57:BD87" si="10">$BD$51</f>
        <v>4800</v>
      </c>
      <c r="BE57" s="327">
        <f>BD57/4875*975</f>
        <v>960</v>
      </c>
      <c r="BF57" s="329">
        <f>BE57/975</f>
        <v>0.98461538461538467</v>
      </c>
      <c r="BH57" s="310" t="s">
        <v>452</v>
      </c>
      <c r="BI57" s="328" t="s">
        <v>489</v>
      </c>
      <c r="BJ57" s="71">
        <v>0</v>
      </c>
      <c r="BL57" s="328" t="s">
        <v>489</v>
      </c>
      <c r="BM57" s="310"/>
      <c r="BN57" s="310"/>
      <c r="BO57" s="326">
        <f>AX66</f>
        <v>195</v>
      </c>
      <c r="BQ57" s="328" t="s">
        <v>489</v>
      </c>
      <c r="BR57" s="310"/>
      <c r="BS57" s="310"/>
      <c r="BT57" s="310"/>
      <c r="BU57" s="326">
        <f>AM63</f>
        <v>8</v>
      </c>
    </row>
    <row r="58" spans="3:75" ht="15" thickBot="1" x14ac:dyDescent="0.35">
      <c r="C58" s="230" t="s">
        <v>478</v>
      </c>
      <c r="D58" s="229">
        <f t="shared" si="0"/>
        <v>0</v>
      </c>
      <c r="E58" s="1">
        <f t="shared" si="2"/>
        <v>0</v>
      </c>
      <c r="F58" s="1">
        <f>IF(Table136[[#This Row],[Daily Vaccination
(vials)]]&gt;J57+Table136[[#This Row],[Problematic 
Vaccine 
Quantity]],IF(Table136[[#This Row],[Daily Vaccination
(vials)]]&gt;$I$26+J57,2*$I$26,$I$26),0)</f>
        <v>975</v>
      </c>
      <c r="G58" s="229">
        <f xml:space="preserve"> E58+G57-F58-Table136[[#This Row],[Outbound 20 clinics
(vials)]]</f>
        <v>16575</v>
      </c>
      <c r="H58" s="229">
        <f t="shared" si="8"/>
        <v>14625</v>
      </c>
      <c r="I58" s="229">
        <f t="shared" si="9"/>
        <v>960</v>
      </c>
      <c r="J58" s="229">
        <f>J57+Table136[[#This Row],[ULT Consumption
(vials)]]-Table136[[#This Row],[Daily Vaccination
(vials)]]+Table136[[#This Row],[Problematic 
Vaccine 
Quantity]]</f>
        <v>585</v>
      </c>
      <c r="K58" s="229">
        <f>Table136[[#This Row],[ULT Ending Inventory 
(-75 deg C) (vials)]]+Table136[[#This Row],[Thawed Ending Inventory
(2-8 deg C) (vials)]]</f>
        <v>17160</v>
      </c>
      <c r="L58" s="229">
        <f t="shared" si="3"/>
        <v>5000</v>
      </c>
      <c r="M58" s="229">
        <f t="shared" si="4"/>
        <v>67275</v>
      </c>
      <c r="N58" s="229">
        <f t="shared" si="1"/>
        <v>25000</v>
      </c>
      <c r="O58" s="229" t="str">
        <f>IF(Table136[[#This Row],[Problematic 
Vaccine 
Quantity]]&gt;0, "YES","NO")</f>
        <v>NO</v>
      </c>
      <c r="P58" s="229">
        <v>0</v>
      </c>
      <c r="Q58" s="229">
        <f>Q57+(Table136[[#This Row],[Daily Vaccination
(vials)]]+Table136[[#This Row],[Outbound 20 clinics
(vials)]])*5</f>
        <v>1104675</v>
      </c>
      <c r="R58" s="229"/>
      <c r="AF58" s="317"/>
      <c r="AG58" s="939"/>
      <c r="AH58" s="317"/>
      <c r="AI58" s="317"/>
      <c r="AJ58" s="317"/>
      <c r="AK58" s="317"/>
      <c r="AL58" s="317"/>
      <c r="AM58" s="317">
        <f>AL56+AL57</f>
        <v>9</v>
      </c>
      <c r="AN58" s="317" t="s">
        <v>435</v>
      </c>
      <c r="AP58" s="317"/>
      <c r="AQ58" s="939"/>
      <c r="AR58" s="317"/>
      <c r="AS58" s="317"/>
      <c r="AT58" s="317"/>
      <c r="AU58" s="317"/>
      <c r="AV58" s="317"/>
      <c r="AW58" s="317"/>
      <c r="AX58" s="317">
        <f>AW56+AW57</f>
        <v>180</v>
      </c>
      <c r="AY58" s="317" t="s">
        <v>341</v>
      </c>
      <c r="BB58" s="310"/>
      <c r="BC58" s="328" t="s">
        <v>454</v>
      </c>
      <c r="BD58" s="71">
        <f t="shared" si="10"/>
        <v>4800</v>
      </c>
      <c r="BE58" s="71">
        <f>BD58/4875*975</f>
        <v>960</v>
      </c>
      <c r="BF58" s="329">
        <f>BE58/975</f>
        <v>0.98461538461538467</v>
      </c>
      <c r="BH58" s="310"/>
      <c r="BI58" s="328" t="s">
        <v>454</v>
      </c>
      <c r="BJ58" s="71">
        <v>0</v>
      </c>
      <c r="BL58" s="328" t="s">
        <v>454</v>
      </c>
      <c r="BM58" s="310">
        <f t="shared" ref="BM58:BM87" si="11">IF(BN58&gt;BO57, IF(BN58&gt; BO57+$BO$55, 2*$BO$55,$BO$55),0)</f>
        <v>975</v>
      </c>
      <c r="BN58" s="310">
        <f>BE58</f>
        <v>960</v>
      </c>
      <c r="BO58" s="310">
        <f>BM58+BO57-BN58</f>
        <v>210</v>
      </c>
      <c r="BQ58" s="328" t="s">
        <v>454</v>
      </c>
      <c r="BR58" s="194">
        <v>26</v>
      </c>
      <c r="BS58" s="310">
        <f t="shared" ref="BS58:BS87" si="12">BM58/$BO$55</f>
        <v>1</v>
      </c>
      <c r="BT58" s="310">
        <f>BJ58</f>
        <v>0</v>
      </c>
      <c r="BU58" s="310">
        <f>BR58+BU57-BS58-BT58</f>
        <v>33</v>
      </c>
    </row>
    <row r="59" spans="3:75" ht="15" thickTop="1" x14ac:dyDescent="0.3">
      <c r="C59" s="230" t="s">
        <v>479</v>
      </c>
      <c r="D59" s="229">
        <f t="shared" si="0"/>
        <v>25350</v>
      </c>
      <c r="E59" s="1">
        <f t="shared" si="2"/>
        <v>25350</v>
      </c>
      <c r="F59" s="1">
        <f>IF(Table136[[#This Row],[Daily Vaccination
(vials)]]&gt;J58+Table136[[#This Row],[Problematic 
Vaccine 
Quantity]],IF(Table136[[#This Row],[Daily Vaccination
(vials)]]&gt;$I$26+J58,2*$I$26,$I$26),0)</f>
        <v>975</v>
      </c>
      <c r="G59" s="229">
        <f xml:space="preserve"> E59+G58-F59-Table136[[#This Row],[Outbound 20 clinics
(vials)]]</f>
        <v>33150</v>
      </c>
      <c r="H59" s="229">
        <f t="shared" si="8"/>
        <v>7800</v>
      </c>
      <c r="I59" s="229">
        <f t="shared" si="9"/>
        <v>960</v>
      </c>
      <c r="J59" s="229">
        <f>J58+Table136[[#This Row],[ULT Consumption
(vials)]]-Table136[[#This Row],[Daily Vaccination
(vials)]]+Table136[[#This Row],[Problematic 
Vaccine 
Quantity]]</f>
        <v>600</v>
      </c>
      <c r="K59" s="229">
        <f>Table136[[#This Row],[ULT Ending Inventory 
(-75 deg C) (vials)]]+Table136[[#This Row],[Thawed Ending Inventory
(2-8 deg C) (vials)]]</f>
        <v>33750</v>
      </c>
      <c r="L59" s="229">
        <f t="shared" si="3"/>
        <v>5000</v>
      </c>
      <c r="M59" s="229">
        <f t="shared" si="4"/>
        <v>67275</v>
      </c>
      <c r="N59" s="229">
        <f t="shared" si="1"/>
        <v>25000</v>
      </c>
      <c r="O59" s="229" t="str">
        <f>IF(Table136[[#This Row],[Problematic 
Vaccine 
Quantity]]&gt;0, "YES","NO")</f>
        <v>NO</v>
      </c>
      <c r="P59" s="229">
        <v>0</v>
      </c>
      <c r="Q59" s="229">
        <f>Q58+(Table136[[#This Row],[Daily Vaccination
(vials)]]+Table136[[#This Row],[Outbound 20 clinics
(vials)]])*5</f>
        <v>1148475</v>
      </c>
      <c r="R59" s="229"/>
      <c r="AF59" s="315"/>
      <c r="AG59" s="940">
        <v>44187</v>
      </c>
      <c r="AH59" s="315"/>
      <c r="AI59" s="315"/>
      <c r="AJ59" s="315"/>
      <c r="AK59" s="315"/>
      <c r="AL59" s="315"/>
      <c r="AM59" s="315"/>
      <c r="AN59" s="315" t="s">
        <v>435</v>
      </c>
      <c r="AP59" s="315"/>
      <c r="AQ59" s="942">
        <v>44187</v>
      </c>
      <c r="AR59" s="316" t="str">
        <f>AK79</f>
        <v>3 days</v>
      </c>
      <c r="AS59" s="316" t="str">
        <f>AL79</f>
        <v>B</v>
      </c>
      <c r="AT59" s="315">
        <f>AK62*AR72</f>
        <v>975</v>
      </c>
      <c r="AU59" s="315"/>
      <c r="AV59" s="315"/>
      <c r="AW59" s="315"/>
      <c r="AX59" s="315"/>
      <c r="AY59" s="315" t="s">
        <v>341</v>
      </c>
      <c r="BB59" s="310"/>
      <c r="BC59" s="328" t="s">
        <v>455</v>
      </c>
      <c r="BD59" s="71">
        <f t="shared" si="10"/>
        <v>4800</v>
      </c>
      <c r="BE59" s="71">
        <f t="shared" ref="BE59:BE87" si="13">BD59/4875*975</f>
        <v>960</v>
      </c>
      <c r="BF59" s="329">
        <f t="shared" ref="BF59:BF87" si="14">BE59/975</f>
        <v>0.98461538461538467</v>
      </c>
      <c r="BH59" s="310"/>
      <c r="BI59" s="328" t="s">
        <v>455</v>
      </c>
      <c r="BJ59" s="71">
        <v>15</v>
      </c>
      <c r="BL59" s="328" t="s">
        <v>455</v>
      </c>
      <c r="BM59" s="310">
        <f t="shared" si="11"/>
        <v>975</v>
      </c>
      <c r="BN59" s="310">
        <f t="shared" ref="BN59:BN87" si="15">BE59</f>
        <v>960</v>
      </c>
      <c r="BO59" s="310">
        <f t="shared" ref="BO59:BO87" si="16">BM59+BO58-BN59</f>
        <v>225</v>
      </c>
      <c r="BQ59" s="328" t="s">
        <v>455</v>
      </c>
      <c r="BR59" s="310">
        <v>26</v>
      </c>
      <c r="BS59" s="310">
        <f t="shared" si="12"/>
        <v>1</v>
      </c>
      <c r="BT59" s="310">
        <f t="shared" ref="BT59:BT87" si="17">BJ59</f>
        <v>15</v>
      </c>
      <c r="BU59" s="310">
        <f t="shared" ref="BU59:BU87" si="18">BR59+BU58-BS59-BT59</f>
        <v>43</v>
      </c>
    </row>
    <row r="60" spans="3:75" x14ac:dyDescent="0.3">
      <c r="C60" s="230" t="s">
        <v>480</v>
      </c>
      <c r="D60" s="229">
        <f t="shared" si="0"/>
        <v>0</v>
      </c>
      <c r="E60" s="1">
        <f t="shared" si="2"/>
        <v>0</v>
      </c>
      <c r="F60" s="1">
        <f>IF(Table136[[#This Row],[Daily Vaccination
(vials)]]&gt;J59+Table136[[#This Row],[Problematic 
Vaccine 
Quantity]],IF(Table136[[#This Row],[Daily Vaccination
(vials)]]&gt;$I$26+J59,2*$I$26,$I$26),0)</f>
        <v>975</v>
      </c>
      <c r="G60" s="229">
        <f xml:space="preserve"> E60+G59-F60-Table136[[#This Row],[Outbound 20 clinics
(vials)]]</f>
        <v>32175</v>
      </c>
      <c r="H60" s="229">
        <f t="shared" si="8"/>
        <v>0</v>
      </c>
      <c r="I60" s="229">
        <f t="shared" si="9"/>
        <v>960</v>
      </c>
      <c r="J60" s="229">
        <f>J59+Table136[[#This Row],[ULT Consumption
(vials)]]-Table136[[#This Row],[Daily Vaccination
(vials)]]+Table136[[#This Row],[Problematic 
Vaccine 
Quantity]]</f>
        <v>615</v>
      </c>
      <c r="K60" s="229">
        <f>Table136[[#This Row],[ULT Ending Inventory 
(-75 deg C) (vials)]]+Table136[[#This Row],[Thawed Ending Inventory
(2-8 deg C) (vials)]]</f>
        <v>32790</v>
      </c>
      <c r="L60" s="229">
        <f t="shared" si="3"/>
        <v>5000</v>
      </c>
      <c r="M60" s="229">
        <f t="shared" si="4"/>
        <v>67275</v>
      </c>
      <c r="N60" s="229">
        <f t="shared" si="1"/>
        <v>25000</v>
      </c>
      <c r="O60" s="229" t="str">
        <f>IF(Table136[[#This Row],[Problematic 
Vaccine 
Quantity]]&gt;0, "YES","NO")</f>
        <v>NO</v>
      </c>
      <c r="P60" s="229">
        <v>0</v>
      </c>
      <c r="Q60" s="229">
        <f>Q59+(Table136[[#This Row],[Daily Vaccination
(vials)]]+Table136[[#This Row],[Outbound 20 clinics
(vials)]])*5</f>
        <v>1153275</v>
      </c>
      <c r="R60" s="229"/>
      <c r="AF60" s="310"/>
      <c r="AG60" s="938"/>
      <c r="AH60" s="310"/>
      <c r="AI60" s="310"/>
      <c r="AJ60" s="310"/>
      <c r="AK60" s="310"/>
      <c r="AL60" s="310"/>
      <c r="AM60" s="310"/>
      <c r="AN60" s="310" t="s">
        <v>435</v>
      </c>
      <c r="AP60" s="310"/>
      <c r="AQ60" s="943"/>
      <c r="AR60" s="310"/>
      <c r="AS60" s="310"/>
      <c r="AT60" s="310"/>
      <c r="AU60" s="310"/>
      <c r="AV60" s="310"/>
      <c r="AW60" s="310"/>
      <c r="AX60" s="310">
        <f>AX58+AT59</f>
        <v>1155</v>
      </c>
      <c r="AY60" s="310" t="s">
        <v>341</v>
      </c>
      <c r="BB60" s="310"/>
      <c r="BC60" s="328" t="s">
        <v>456</v>
      </c>
      <c r="BD60" s="71">
        <f t="shared" si="10"/>
        <v>4800</v>
      </c>
      <c r="BE60" s="71">
        <f t="shared" si="13"/>
        <v>960</v>
      </c>
      <c r="BF60" s="329">
        <f t="shared" si="14"/>
        <v>0.98461538461538467</v>
      </c>
      <c r="BH60" s="310"/>
      <c r="BI60" s="328" t="s">
        <v>456</v>
      </c>
      <c r="BJ60" s="71">
        <v>8</v>
      </c>
      <c r="BL60" s="328" t="s">
        <v>456</v>
      </c>
      <c r="BM60" s="310">
        <f t="shared" si="11"/>
        <v>975</v>
      </c>
      <c r="BN60" s="310">
        <f t="shared" si="15"/>
        <v>960</v>
      </c>
      <c r="BO60" s="310">
        <f t="shared" si="16"/>
        <v>240</v>
      </c>
      <c r="BQ60" s="328" t="s">
        <v>456</v>
      </c>
      <c r="BR60" s="194">
        <v>0</v>
      </c>
      <c r="BS60" s="310">
        <f t="shared" si="12"/>
        <v>1</v>
      </c>
      <c r="BT60" s="310">
        <f t="shared" si="17"/>
        <v>8</v>
      </c>
      <c r="BU60" s="310">
        <f t="shared" si="18"/>
        <v>34</v>
      </c>
    </row>
    <row r="61" spans="3:75" x14ac:dyDescent="0.3">
      <c r="C61" s="230" t="s">
        <v>481</v>
      </c>
      <c r="D61" s="229">
        <f t="shared" si="0"/>
        <v>0</v>
      </c>
      <c r="E61" s="1">
        <f t="shared" si="2"/>
        <v>0</v>
      </c>
      <c r="F61" s="1">
        <f>IF(Table136[[#This Row],[Daily Vaccination
(vials)]]&gt;J60+Table136[[#This Row],[Problematic 
Vaccine 
Quantity]],IF(Table136[[#This Row],[Daily Vaccination
(vials)]]&gt;$I$26+J60,2*$I$26,$I$26),0)</f>
        <v>975</v>
      </c>
      <c r="G61" s="229">
        <f xml:space="preserve"> E61+G60-F61-Table136[[#This Row],[Outbound 20 clinics
(vials)]]</f>
        <v>16575</v>
      </c>
      <c r="H61" s="229">
        <f t="shared" si="8"/>
        <v>14625</v>
      </c>
      <c r="I61" s="229">
        <f t="shared" si="9"/>
        <v>960</v>
      </c>
      <c r="J61" s="229">
        <f>J60+Table136[[#This Row],[ULT Consumption
(vials)]]-Table136[[#This Row],[Daily Vaccination
(vials)]]+Table136[[#This Row],[Problematic 
Vaccine 
Quantity]]</f>
        <v>630</v>
      </c>
      <c r="K61" s="229">
        <f>Table136[[#This Row],[ULT Ending Inventory 
(-75 deg C) (vials)]]+Table136[[#This Row],[Thawed Ending Inventory
(2-8 deg C) (vials)]]</f>
        <v>17205</v>
      </c>
      <c r="L61" s="229">
        <f t="shared" si="3"/>
        <v>5000</v>
      </c>
      <c r="M61" s="229">
        <f t="shared" si="4"/>
        <v>67275</v>
      </c>
      <c r="N61" s="229">
        <f t="shared" si="1"/>
        <v>25000</v>
      </c>
      <c r="O61" s="229" t="str">
        <f>IF(Table136[[#This Row],[Problematic 
Vaccine 
Quantity]]&gt;0, "YES","NO")</f>
        <v>NO</v>
      </c>
      <c r="P61" s="229">
        <v>0</v>
      </c>
      <c r="Q61" s="229">
        <f>Q60+(Table136[[#This Row],[Daily Vaccination
(vials)]]+Table136[[#This Row],[Outbound 20 clinics
(vials)]])*5</f>
        <v>1231200</v>
      </c>
      <c r="R61" s="229"/>
      <c r="AF61" s="310"/>
      <c r="AG61" s="938"/>
      <c r="AH61" s="310"/>
      <c r="AI61" s="310"/>
      <c r="AJ61" s="310"/>
      <c r="AK61" s="310"/>
      <c r="AL61" s="310"/>
      <c r="AM61" s="310">
        <f>AM58+AJ60+AJ59</f>
        <v>9</v>
      </c>
      <c r="AN61" s="310" t="s">
        <v>435</v>
      </c>
      <c r="AP61" s="310"/>
      <c r="AQ61" s="943"/>
      <c r="AR61" s="313" t="str">
        <f>AK92</f>
        <v>0 day</v>
      </c>
      <c r="AS61" s="313" t="str">
        <f>AL85</f>
        <v>H</v>
      </c>
      <c r="AT61" s="310"/>
      <c r="AU61" s="310"/>
      <c r="AV61" s="310">
        <f>AI92</f>
        <v>50</v>
      </c>
      <c r="AW61" s="310"/>
      <c r="AX61" s="310"/>
      <c r="AY61" s="310" t="s">
        <v>341</v>
      </c>
      <c r="BB61" s="310"/>
      <c r="BC61" s="328" t="s">
        <v>457</v>
      </c>
      <c r="BD61" s="71">
        <f t="shared" si="10"/>
        <v>4800</v>
      </c>
      <c r="BE61" s="71">
        <f t="shared" si="13"/>
        <v>960</v>
      </c>
      <c r="BF61" s="329">
        <f t="shared" si="14"/>
        <v>0.98461538461538467</v>
      </c>
      <c r="BH61" s="310"/>
      <c r="BI61" s="328" t="s">
        <v>457</v>
      </c>
      <c r="BJ61" s="71">
        <v>0</v>
      </c>
      <c r="BL61" s="328" t="s">
        <v>457</v>
      </c>
      <c r="BM61" s="310">
        <f t="shared" si="11"/>
        <v>975</v>
      </c>
      <c r="BN61" s="310">
        <f t="shared" si="15"/>
        <v>960</v>
      </c>
      <c r="BO61" s="310">
        <f t="shared" si="16"/>
        <v>255</v>
      </c>
      <c r="BQ61" s="328" t="s">
        <v>457</v>
      </c>
      <c r="BR61" s="194">
        <v>0</v>
      </c>
      <c r="BS61" s="310">
        <f t="shared" si="12"/>
        <v>1</v>
      </c>
      <c r="BT61" s="310">
        <f t="shared" si="17"/>
        <v>0</v>
      </c>
      <c r="BU61" s="310">
        <f t="shared" si="18"/>
        <v>33</v>
      </c>
    </row>
    <row r="62" spans="3:75" x14ac:dyDescent="0.3">
      <c r="C62" s="230" t="s">
        <v>510</v>
      </c>
      <c r="D62" s="229">
        <f t="shared" si="0"/>
        <v>0</v>
      </c>
      <c r="E62" s="1">
        <f t="shared" si="2"/>
        <v>0</v>
      </c>
      <c r="F62" s="1">
        <f>IF(Table136[[#This Row],[Daily Vaccination
(vials)]]&gt;J61+Table136[[#This Row],[Problematic 
Vaccine 
Quantity]],IF(Table136[[#This Row],[Daily Vaccination
(vials)]]&gt;$I$26+J61,2*$I$26,$I$26),0)</f>
        <v>975</v>
      </c>
      <c r="G62" s="229">
        <f xml:space="preserve"> E62+G61-F62-Table136[[#This Row],[Outbound 20 clinics
(vials)]]</f>
        <v>7800</v>
      </c>
      <c r="H62" s="229">
        <f t="shared" si="8"/>
        <v>7800</v>
      </c>
      <c r="I62" s="229">
        <f t="shared" si="9"/>
        <v>960</v>
      </c>
      <c r="J62" s="229">
        <f>J61+Table136[[#This Row],[ULT Consumption
(vials)]]-Table136[[#This Row],[Daily Vaccination
(vials)]]+Table136[[#This Row],[Problematic 
Vaccine 
Quantity]]</f>
        <v>645</v>
      </c>
      <c r="K62" s="229">
        <f>Table136[[#This Row],[ULT Ending Inventory 
(-75 deg C) (vials)]]+Table136[[#This Row],[Thawed Ending Inventory
(2-8 deg C) (vials)]]</f>
        <v>8445</v>
      </c>
      <c r="L62" s="229">
        <f t="shared" si="3"/>
        <v>5000</v>
      </c>
      <c r="M62" s="229">
        <f t="shared" si="4"/>
        <v>67275</v>
      </c>
      <c r="N62" s="229">
        <f t="shared" si="1"/>
        <v>25000</v>
      </c>
      <c r="O62" s="229" t="str">
        <f>IF(Table136[[#This Row],[Problematic 
Vaccine 
Quantity]]&gt;0, "YES","NO")</f>
        <v>NO</v>
      </c>
      <c r="P62" s="229">
        <v>0</v>
      </c>
      <c r="Q62" s="229">
        <f>Q61+(Table136[[#This Row],[Daily Vaccination
(vials)]]+Table136[[#This Row],[Outbound 20 clinics
(vials)]])*5</f>
        <v>1275000</v>
      </c>
      <c r="R62" s="229"/>
      <c r="AF62" s="310"/>
      <c r="AG62" s="938"/>
      <c r="AH62" s="314" t="str">
        <f>AK84</f>
        <v>4 days</v>
      </c>
      <c r="AI62" s="314" t="str">
        <f>AL84</f>
        <v>B</v>
      </c>
      <c r="AJ62" s="310"/>
      <c r="AK62" s="310">
        <f>AI84</f>
        <v>1</v>
      </c>
      <c r="AL62" s="310"/>
      <c r="AM62" s="310"/>
      <c r="AN62" s="310" t="s">
        <v>435</v>
      </c>
      <c r="AP62" s="310"/>
      <c r="AQ62" s="943"/>
      <c r="AR62" s="313" t="str">
        <f>AK85</f>
        <v>1 day</v>
      </c>
      <c r="AS62" s="313" t="s">
        <v>419</v>
      </c>
      <c r="AT62" s="310"/>
      <c r="AU62" s="310"/>
      <c r="AV62" s="310"/>
      <c r="AW62" s="310">
        <f>AW57-AV61</f>
        <v>30</v>
      </c>
      <c r="AX62" s="310"/>
      <c r="AY62" s="310"/>
      <c r="BB62" s="310"/>
      <c r="BC62" s="328" t="s">
        <v>458</v>
      </c>
      <c r="BD62" s="71">
        <f t="shared" si="10"/>
        <v>4800</v>
      </c>
      <c r="BE62" s="71">
        <f t="shared" si="13"/>
        <v>960</v>
      </c>
      <c r="BF62" s="329">
        <f t="shared" si="14"/>
        <v>0.98461538461538467</v>
      </c>
      <c r="BH62" s="310"/>
      <c r="BI62" s="328" t="s">
        <v>458</v>
      </c>
      <c r="BJ62" s="71">
        <v>15</v>
      </c>
      <c r="BL62" s="328" t="s">
        <v>458</v>
      </c>
      <c r="BM62" s="310">
        <f t="shared" si="11"/>
        <v>975</v>
      </c>
      <c r="BN62" s="310">
        <f t="shared" si="15"/>
        <v>960</v>
      </c>
      <c r="BO62" s="310">
        <f t="shared" si="16"/>
        <v>270</v>
      </c>
      <c r="BQ62" s="328" t="s">
        <v>458</v>
      </c>
      <c r="BR62" s="310">
        <v>0</v>
      </c>
      <c r="BS62" s="310">
        <f t="shared" si="12"/>
        <v>1</v>
      </c>
      <c r="BT62" s="310">
        <f t="shared" si="17"/>
        <v>15</v>
      </c>
      <c r="BU62" s="310">
        <f t="shared" si="18"/>
        <v>17</v>
      </c>
    </row>
    <row r="63" spans="3:75" x14ac:dyDescent="0.3">
      <c r="C63" s="294"/>
      <c r="D63" s="294"/>
      <c r="E63" s="229">
        <f>SUM(Table136[Replenishment
(vials)])+SUM(Table136[Problematic 
Vaccine 
Quantity])</f>
        <v>253500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AF63" s="310"/>
      <c r="AG63" s="938"/>
      <c r="AH63" s="310"/>
      <c r="AI63" s="310"/>
      <c r="AJ63" s="310"/>
      <c r="AK63" s="310"/>
      <c r="AL63" s="310"/>
      <c r="AM63" s="310">
        <f>AM61-AK62</f>
        <v>8</v>
      </c>
      <c r="AN63" s="310" t="s">
        <v>435</v>
      </c>
      <c r="AP63" s="310"/>
      <c r="AQ63" s="943"/>
      <c r="AR63" s="313" t="str">
        <f>AK85</f>
        <v>1 day</v>
      </c>
      <c r="AS63" s="313" t="s">
        <v>419</v>
      </c>
      <c r="AT63" s="310"/>
      <c r="AU63" s="310">
        <f>AI85</f>
        <v>30</v>
      </c>
      <c r="AV63" s="310"/>
      <c r="AW63" s="310"/>
      <c r="AX63" s="310"/>
      <c r="AY63" s="310"/>
      <c r="BB63" s="310"/>
      <c r="BC63" s="328" t="s">
        <v>459</v>
      </c>
      <c r="BD63" s="71">
        <f t="shared" si="10"/>
        <v>4800</v>
      </c>
      <c r="BE63" s="71">
        <f t="shared" si="13"/>
        <v>960</v>
      </c>
      <c r="BF63" s="329">
        <f t="shared" si="14"/>
        <v>0.98461538461538467</v>
      </c>
      <c r="BH63" s="310"/>
      <c r="BI63" s="328" t="s">
        <v>459</v>
      </c>
      <c r="BJ63" s="71">
        <v>8</v>
      </c>
      <c r="BL63" s="328" t="s">
        <v>459</v>
      </c>
      <c r="BM63" s="310">
        <f t="shared" si="11"/>
        <v>975</v>
      </c>
      <c r="BN63" s="310">
        <f t="shared" si="15"/>
        <v>960</v>
      </c>
      <c r="BO63" s="310">
        <f t="shared" si="16"/>
        <v>285</v>
      </c>
      <c r="BQ63" s="328" t="s">
        <v>459</v>
      </c>
      <c r="BR63" s="194">
        <f>BV54</f>
        <v>26</v>
      </c>
      <c r="BS63" s="310">
        <f t="shared" si="12"/>
        <v>1</v>
      </c>
      <c r="BT63" s="310">
        <f t="shared" si="17"/>
        <v>8</v>
      </c>
      <c r="BU63" s="310">
        <f t="shared" si="18"/>
        <v>34</v>
      </c>
    </row>
    <row r="64" spans="3:75" x14ac:dyDescent="0.3">
      <c r="D64" t="s">
        <v>495</v>
      </c>
      <c r="E64" s="295"/>
      <c r="AF64" s="310"/>
      <c r="AG64" s="938"/>
      <c r="AH64" s="319" t="s">
        <v>422</v>
      </c>
      <c r="AI64" s="319" t="s">
        <v>10</v>
      </c>
      <c r="AJ64" s="310"/>
      <c r="AK64" s="310"/>
      <c r="AL64" s="310">
        <v>8</v>
      </c>
      <c r="AM64" s="310"/>
      <c r="AN64" s="310" t="s">
        <v>435</v>
      </c>
      <c r="AP64" s="310"/>
      <c r="AQ64" s="943"/>
      <c r="AR64" s="312" t="str">
        <f>AK86</f>
        <v>2 days</v>
      </c>
      <c r="AS64" s="312" t="str">
        <f>AL86</f>
        <v>G</v>
      </c>
      <c r="AT64" s="310"/>
      <c r="AU64" s="310">
        <f>AI86</f>
        <v>100</v>
      </c>
      <c r="AV64" s="310"/>
      <c r="AW64" s="310"/>
      <c r="AX64" s="310"/>
      <c r="AY64" s="310" t="s">
        <v>341</v>
      </c>
      <c r="BB64" s="310"/>
      <c r="BC64" s="328" t="s">
        <v>460</v>
      </c>
      <c r="BD64" s="71">
        <f t="shared" si="10"/>
        <v>4800</v>
      </c>
      <c r="BE64" s="71">
        <f t="shared" si="13"/>
        <v>960</v>
      </c>
      <c r="BF64" s="329">
        <f t="shared" si="14"/>
        <v>0.98461538461538467</v>
      </c>
      <c r="BH64" s="310"/>
      <c r="BI64" s="328" t="s">
        <v>460</v>
      </c>
      <c r="BJ64" s="71">
        <v>0</v>
      </c>
      <c r="BL64" s="328" t="s">
        <v>460</v>
      </c>
      <c r="BM64" s="310">
        <f t="shared" si="11"/>
        <v>975</v>
      </c>
      <c r="BN64" s="310">
        <f t="shared" si="15"/>
        <v>960</v>
      </c>
      <c r="BO64" s="310">
        <f>BM64+BO63-BN64</f>
        <v>300</v>
      </c>
      <c r="BQ64" s="328" t="s">
        <v>460</v>
      </c>
      <c r="BR64" s="194">
        <v>0</v>
      </c>
      <c r="BS64" s="310">
        <f t="shared" si="12"/>
        <v>1</v>
      </c>
      <c r="BT64" s="310">
        <f t="shared" si="17"/>
        <v>0</v>
      </c>
      <c r="BU64" s="310">
        <f>BR64+BU63-BS64-BT64</f>
        <v>33</v>
      </c>
    </row>
    <row r="65" spans="5:73" x14ac:dyDescent="0.3">
      <c r="E65" s="295" t="s">
        <v>497</v>
      </c>
      <c r="AF65" s="310"/>
      <c r="AG65" s="938"/>
      <c r="AH65" s="310"/>
      <c r="AI65" s="310"/>
      <c r="AJ65" s="310"/>
      <c r="AK65" s="310"/>
      <c r="AL65" s="310"/>
      <c r="AM65" s="310"/>
      <c r="AN65" s="310" t="s">
        <v>435</v>
      </c>
      <c r="AP65" s="310"/>
      <c r="AQ65" s="943"/>
      <c r="AR65" s="314" t="str">
        <f>AK87</f>
        <v>3 days</v>
      </c>
      <c r="AS65" s="314" t="str">
        <f>AL87</f>
        <v>B</v>
      </c>
      <c r="AT65" s="310"/>
      <c r="AU65" s="310">
        <f>AI87</f>
        <v>830</v>
      </c>
      <c r="AV65" s="310"/>
      <c r="AW65" s="310"/>
      <c r="AX65" s="310"/>
      <c r="AY65" s="310" t="s">
        <v>341</v>
      </c>
      <c r="BB65" s="310"/>
      <c r="BC65" s="328" t="s">
        <v>461</v>
      </c>
      <c r="BD65" s="71">
        <f t="shared" si="10"/>
        <v>4800</v>
      </c>
      <c r="BE65" s="71">
        <f t="shared" si="13"/>
        <v>960</v>
      </c>
      <c r="BF65" s="329">
        <f t="shared" si="14"/>
        <v>0.98461538461538467</v>
      </c>
      <c r="BH65" s="310"/>
      <c r="BI65" s="328" t="s">
        <v>461</v>
      </c>
      <c r="BJ65" s="71">
        <v>15</v>
      </c>
      <c r="BL65" s="328" t="s">
        <v>461</v>
      </c>
      <c r="BM65" s="310">
        <f t="shared" si="11"/>
        <v>975</v>
      </c>
      <c r="BN65" s="310">
        <f t="shared" si="15"/>
        <v>960</v>
      </c>
      <c r="BO65" s="310">
        <f t="shared" si="16"/>
        <v>315</v>
      </c>
      <c r="BQ65" s="328" t="s">
        <v>461</v>
      </c>
      <c r="BR65" s="310">
        <v>0</v>
      </c>
      <c r="BS65" s="310">
        <f t="shared" si="12"/>
        <v>1</v>
      </c>
      <c r="BT65" s="310">
        <f t="shared" si="17"/>
        <v>15</v>
      </c>
      <c r="BU65" s="310">
        <f t="shared" si="18"/>
        <v>17</v>
      </c>
    </row>
    <row r="66" spans="5:73" x14ac:dyDescent="0.3">
      <c r="AF66" s="310"/>
      <c r="AG66" s="941"/>
      <c r="AH66" s="310"/>
      <c r="AI66" s="310"/>
      <c r="AJ66" s="310"/>
      <c r="AK66" s="310"/>
      <c r="AL66" s="310"/>
      <c r="AM66" s="310"/>
      <c r="AN66" s="310" t="s">
        <v>435</v>
      </c>
      <c r="AP66" s="310"/>
      <c r="AQ66" s="943"/>
      <c r="AR66" s="310" t="s">
        <v>417</v>
      </c>
      <c r="AS66" s="310" t="s">
        <v>11</v>
      </c>
      <c r="AT66" s="310"/>
      <c r="AU66" s="310"/>
      <c r="AV66" s="310"/>
      <c r="AW66" s="310"/>
      <c r="AX66" s="310">
        <f>AX60-AU64-AU63-AU65</f>
        <v>195</v>
      </c>
      <c r="AY66" s="310" t="s">
        <v>341</v>
      </c>
      <c r="BB66" s="310"/>
      <c r="BC66" s="328" t="s">
        <v>462</v>
      </c>
      <c r="BD66" s="71">
        <f t="shared" si="10"/>
        <v>4800</v>
      </c>
      <c r="BE66" s="71">
        <f t="shared" si="13"/>
        <v>960</v>
      </c>
      <c r="BF66" s="329">
        <f t="shared" si="14"/>
        <v>0.98461538461538467</v>
      </c>
      <c r="BH66" s="310"/>
      <c r="BI66" s="328" t="s">
        <v>462</v>
      </c>
      <c r="BJ66" s="71">
        <v>8</v>
      </c>
      <c r="BL66" s="328" t="s">
        <v>462</v>
      </c>
      <c r="BM66" s="310">
        <f t="shared" si="11"/>
        <v>975</v>
      </c>
      <c r="BN66" s="310">
        <f t="shared" si="15"/>
        <v>960</v>
      </c>
      <c r="BO66" s="310">
        <f t="shared" si="16"/>
        <v>330</v>
      </c>
      <c r="BQ66" s="328" t="s">
        <v>462</v>
      </c>
      <c r="BR66" s="194">
        <f>BV54</f>
        <v>26</v>
      </c>
      <c r="BS66" s="310">
        <f t="shared" si="12"/>
        <v>1</v>
      </c>
      <c r="BT66" s="310">
        <f t="shared" si="17"/>
        <v>8</v>
      </c>
      <c r="BU66" s="310">
        <f t="shared" si="18"/>
        <v>34</v>
      </c>
    </row>
    <row r="67" spans="5:73" x14ac:dyDescent="0.3">
      <c r="F67" s="119"/>
      <c r="P67" s="20"/>
      <c r="AP67" s="310"/>
      <c r="AQ67" s="944"/>
      <c r="AR67" s="310" t="s">
        <v>417</v>
      </c>
      <c r="AS67" s="310" t="s">
        <v>11</v>
      </c>
      <c r="AT67" s="310"/>
      <c r="AU67" s="310"/>
      <c r="AV67" s="310"/>
      <c r="AW67" s="310">
        <f>AX66</f>
        <v>195</v>
      </c>
      <c r="AX67" s="310"/>
      <c r="AY67" s="310" t="s">
        <v>341</v>
      </c>
      <c r="BB67" s="310"/>
      <c r="BC67" s="328" t="s">
        <v>463</v>
      </c>
      <c r="BD67" s="71">
        <f t="shared" si="10"/>
        <v>4800</v>
      </c>
      <c r="BE67" s="71">
        <f t="shared" si="13"/>
        <v>960</v>
      </c>
      <c r="BF67" s="329">
        <f t="shared" si="14"/>
        <v>0.98461538461538467</v>
      </c>
      <c r="BH67" s="310"/>
      <c r="BI67" s="328" t="s">
        <v>463</v>
      </c>
      <c r="BJ67" s="71">
        <v>0</v>
      </c>
      <c r="BL67" s="328" t="s">
        <v>463</v>
      </c>
      <c r="BM67" s="310">
        <f t="shared" si="11"/>
        <v>975</v>
      </c>
      <c r="BN67" s="310">
        <f t="shared" si="15"/>
        <v>960</v>
      </c>
      <c r="BO67" s="310">
        <f t="shared" si="16"/>
        <v>345</v>
      </c>
      <c r="BQ67" s="328" t="s">
        <v>463</v>
      </c>
      <c r="BR67" s="194">
        <v>0</v>
      </c>
      <c r="BS67" s="310">
        <f t="shared" si="12"/>
        <v>1</v>
      </c>
      <c r="BT67" s="310">
        <f t="shared" si="17"/>
        <v>0</v>
      </c>
      <c r="BU67" s="310">
        <f t="shared" si="18"/>
        <v>33</v>
      </c>
    </row>
    <row r="68" spans="5:73" x14ac:dyDescent="0.3">
      <c r="BB68" s="310"/>
      <c r="BC68" s="328" t="s">
        <v>453</v>
      </c>
      <c r="BD68" s="71">
        <f t="shared" si="10"/>
        <v>4800</v>
      </c>
      <c r="BE68" s="71">
        <f t="shared" si="13"/>
        <v>960</v>
      </c>
      <c r="BF68" s="329">
        <f t="shared" si="14"/>
        <v>0.98461538461538467</v>
      </c>
      <c r="BH68" s="310"/>
      <c r="BI68" s="328" t="s">
        <v>453</v>
      </c>
      <c r="BJ68" s="71">
        <v>15</v>
      </c>
      <c r="BL68" s="328" t="s">
        <v>453</v>
      </c>
      <c r="BM68" s="310">
        <f t="shared" si="11"/>
        <v>975</v>
      </c>
      <c r="BN68" s="310">
        <f t="shared" si="15"/>
        <v>960</v>
      </c>
      <c r="BO68" s="310">
        <f t="shared" si="16"/>
        <v>360</v>
      </c>
      <c r="BQ68" s="328" t="s">
        <v>453</v>
      </c>
      <c r="BR68" s="310">
        <v>0</v>
      </c>
      <c r="BS68" s="310">
        <f t="shared" si="12"/>
        <v>1</v>
      </c>
      <c r="BT68" s="310">
        <f t="shared" si="17"/>
        <v>15</v>
      </c>
      <c r="BU68" s="310">
        <f t="shared" si="18"/>
        <v>17</v>
      </c>
    </row>
    <row r="69" spans="5:73" x14ac:dyDescent="0.3">
      <c r="N69" s="20"/>
      <c r="BB69" s="310"/>
      <c r="BC69" s="328" t="s">
        <v>464</v>
      </c>
      <c r="BD69" s="71">
        <f t="shared" si="10"/>
        <v>4800</v>
      </c>
      <c r="BE69" s="71">
        <f t="shared" si="13"/>
        <v>960</v>
      </c>
      <c r="BF69" s="329">
        <f t="shared" si="14"/>
        <v>0.98461538461538467</v>
      </c>
      <c r="BH69" s="310"/>
      <c r="BI69" s="328" t="s">
        <v>464</v>
      </c>
      <c r="BJ69" s="71">
        <v>8</v>
      </c>
      <c r="BL69" s="328" t="s">
        <v>464</v>
      </c>
      <c r="BM69" s="310">
        <f t="shared" si="11"/>
        <v>975</v>
      </c>
      <c r="BN69" s="310">
        <f t="shared" si="15"/>
        <v>960</v>
      </c>
      <c r="BO69" s="310">
        <f t="shared" si="16"/>
        <v>375</v>
      </c>
      <c r="BQ69" s="328" t="s">
        <v>464</v>
      </c>
      <c r="BR69" s="194">
        <v>26</v>
      </c>
      <c r="BS69" s="310">
        <f t="shared" si="12"/>
        <v>1</v>
      </c>
      <c r="BT69" s="310">
        <f t="shared" si="17"/>
        <v>8</v>
      </c>
      <c r="BU69" s="310">
        <f t="shared" si="18"/>
        <v>34</v>
      </c>
    </row>
    <row r="70" spans="5:73" x14ac:dyDescent="0.3">
      <c r="AF70" t="s">
        <v>421</v>
      </c>
      <c r="AU70" t="s">
        <v>508</v>
      </c>
      <c r="BB70" s="310"/>
      <c r="BC70" s="328" t="s">
        <v>465</v>
      </c>
      <c r="BD70" s="71">
        <f t="shared" si="10"/>
        <v>4800</v>
      </c>
      <c r="BE70" s="71">
        <f t="shared" si="13"/>
        <v>960</v>
      </c>
      <c r="BF70" s="329">
        <f t="shared" si="14"/>
        <v>0.98461538461538467</v>
      </c>
      <c r="BH70" s="310"/>
      <c r="BI70" s="328" t="s">
        <v>465</v>
      </c>
      <c r="BJ70" s="71">
        <v>0</v>
      </c>
      <c r="BL70" s="328" t="s">
        <v>465</v>
      </c>
      <c r="BM70" s="310">
        <f t="shared" si="11"/>
        <v>975</v>
      </c>
      <c r="BN70" s="310">
        <f t="shared" si="15"/>
        <v>960</v>
      </c>
      <c r="BO70" s="310">
        <f t="shared" si="16"/>
        <v>390</v>
      </c>
      <c r="BQ70" s="328" t="s">
        <v>465</v>
      </c>
      <c r="BR70" s="194">
        <v>0</v>
      </c>
      <c r="BS70" s="310">
        <f t="shared" si="12"/>
        <v>1</v>
      </c>
      <c r="BT70" s="310">
        <f t="shared" si="17"/>
        <v>0</v>
      </c>
      <c r="BU70" s="310">
        <f t="shared" si="18"/>
        <v>33</v>
      </c>
    </row>
    <row r="71" spans="5:73" x14ac:dyDescent="0.3">
      <c r="AF71" t="s">
        <v>500</v>
      </c>
      <c r="AP71">
        <v>1</v>
      </c>
      <c r="BB71" s="310"/>
      <c r="BC71" s="328" t="s">
        <v>466</v>
      </c>
      <c r="BD71" s="71">
        <f t="shared" si="10"/>
        <v>4800</v>
      </c>
      <c r="BE71" s="71">
        <f t="shared" si="13"/>
        <v>960</v>
      </c>
      <c r="BF71" s="329">
        <f t="shared" si="14"/>
        <v>0.98461538461538467</v>
      </c>
      <c r="BH71" s="310"/>
      <c r="BI71" s="328" t="s">
        <v>466</v>
      </c>
      <c r="BJ71" s="71">
        <v>15</v>
      </c>
      <c r="BL71" s="328" t="s">
        <v>466</v>
      </c>
      <c r="BM71" s="310">
        <f t="shared" si="11"/>
        <v>975</v>
      </c>
      <c r="BN71" s="310">
        <f t="shared" si="15"/>
        <v>960</v>
      </c>
      <c r="BO71" s="310">
        <f t="shared" si="16"/>
        <v>405</v>
      </c>
      <c r="BQ71" s="328" t="s">
        <v>466</v>
      </c>
      <c r="BR71" s="310">
        <v>0</v>
      </c>
      <c r="BS71" s="310">
        <f t="shared" si="12"/>
        <v>1</v>
      </c>
      <c r="BT71" s="310">
        <f t="shared" si="17"/>
        <v>15</v>
      </c>
      <c r="BU71" s="310">
        <f t="shared" si="18"/>
        <v>17</v>
      </c>
    </row>
    <row r="72" spans="5:73" x14ac:dyDescent="0.3">
      <c r="P72" s="20"/>
      <c r="AF72" t="s">
        <v>426</v>
      </c>
      <c r="AP72" t="s">
        <v>429</v>
      </c>
      <c r="AQ72" t="s">
        <v>427</v>
      </c>
      <c r="AR72">
        <v>975</v>
      </c>
      <c r="AS72" t="s">
        <v>367</v>
      </c>
      <c r="BB72" s="310"/>
      <c r="BC72" s="328" t="s">
        <v>467</v>
      </c>
      <c r="BD72" s="71">
        <f t="shared" si="10"/>
        <v>4800</v>
      </c>
      <c r="BE72" s="71">
        <f t="shared" si="13"/>
        <v>960</v>
      </c>
      <c r="BF72" s="329">
        <f t="shared" si="14"/>
        <v>0.98461538461538467</v>
      </c>
      <c r="BH72" s="310"/>
      <c r="BI72" s="328" t="s">
        <v>467</v>
      </c>
      <c r="BJ72" s="71">
        <v>8</v>
      </c>
      <c r="BL72" s="328" t="s">
        <v>467</v>
      </c>
      <c r="BM72" s="310">
        <f t="shared" si="11"/>
        <v>975</v>
      </c>
      <c r="BN72" s="310">
        <f t="shared" si="15"/>
        <v>960</v>
      </c>
      <c r="BO72" s="310">
        <f t="shared" si="16"/>
        <v>420</v>
      </c>
      <c r="BQ72" s="328" t="s">
        <v>467</v>
      </c>
      <c r="BR72" s="194">
        <f>BV54</f>
        <v>26</v>
      </c>
      <c r="BS72" s="310">
        <f t="shared" si="12"/>
        <v>1</v>
      </c>
      <c r="BT72" s="310">
        <f t="shared" si="17"/>
        <v>8</v>
      </c>
      <c r="BU72" s="310">
        <f t="shared" si="18"/>
        <v>34</v>
      </c>
    </row>
    <row r="73" spans="5:73" x14ac:dyDescent="0.3">
      <c r="AO73" s="20" t="s">
        <v>428</v>
      </c>
      <c r="AP73" t="s">
        <v>430</v>
      </c>
      <c r="BB73" s="310"/>
      <c r="BC73" s="328" t="s">
        <v>468</v>
      </c>
      <c r="BD73" s="71">
        <f t="shared" si="10"/>
        <v>4800</v>
      </c>
      <c r="BE73" s="71">
        <f t="shared" si="13"/>
        <v>960</v>
      </c>
      <c r="BF73" s="329">
        <f t="shared" si="14"/>
        <v>0.98461538461538467</v>
      </c>
      <c r="BH73" s="310"/>
      <c r="BI73" s="328" t="s">
        <v>468</v>
      </c>
      <c r="BJ73" s="71">
        <v>0</v>
      </c>
      <c r="BL73" s="328" t="s">
        <v>468</v>
      </c>
      <c r="BM73" s="310">
        <f t="shared" si="11"/>
        <v>975</v>
      </c>
      <c r="BN73" s="310">
        <f t="shared" si="15"/>
        <v>960</v>
      </c>
      <c r="BO73" s="310">
        <f t="shared" si="16"/>
        <v>435</v>
      </c>
      <c r="BQ73" s="328" t="s">
        <v>468</v>
      </c>
      <c r="BR73" s="194">
        <v>0</v>
      </c>
      <c r="BS73" s="310">
        <f t="shared" si="12"/>
        <v>1</v>
      </c>
      <c r="BT73" s="310">
        <f t="shared" si="17"/>
        <v>0</v>
      </c>
      <c r="BU73" s="310">
        <f t="shared" si="18"/>
        <v>33</v>
      </c>
    </row>
    <row r="74" spans="5:73" x14ac:dyDescent="0.3">
      <c r="AP74" t="s">
        <v>431</v>
      </c>
      <c r="BB74" s="310"/>
      <c r="BC74" s="328" t="s">
        <v>469</v>
      </c>
      <c r="BD74" s="71">
        <f t="shared" si="10"/>
        <v>4800</v>
      </c>
      <c r="BE74" s="71">
        <f t="shared" si="13"/>
        <v>960</v>
      </c>
      <c r="BF74" s="329">
        <f t="shared" si="14"/>
        <v>0.98461538461538467</v>
      </c>
      <c r="BH74" s="310"/>
      <c r="BI74" s="328" t="s">
        <v>469</v>
      </c>
      <c r="BJ74" s="71">
        <v>15</v>
      </c>
      <c r="BL74" s="328" t="s">
        <v>469</v>
      </c>
      <c r="BM74" s="310">
        <f t="shared" si="11"/>
        <v>975</v>
      </c>
      <c r="BN74" s="310">
        <f t="shared" si="15"/>
        <v>960</v>
      </c>
      <c r="BO74" s="310">
        <f t="shared" si="16"/>
        <v>450</v>
      </c>
      <c r="BQ74" s="328" t="s">
        <v>469</v>
      </c>
      <c r="BR74" s="310">
        <v>0</v>
      </c>
      <c r="BS74" s="310">
        <f t="shared" si="12"/>
        <v>1</v>
      </c>
      <c r="BT74" s="310">
        <f t="shared" si="17"/>
        <v>15</v>
      </c>
      <c r="BU74" s="310">
        <f t="shared" si="18"/>
        <v>17</v>
      </c>
    </row>
    <row r="75" spans="5:73" ht="28.8" x14ac:dyDescent="0.3">
      <c r="AF75" s="301" t="s">
        <v>441</v>
      </c>
      <c r="AP75" t="s">
        <v>434</v>
      </c>
      <c r="BB75" s="310"/>
      <c r="BC75" s="328" t="s">
        <v>470</v>
      </c>
      <c r="BD75" s="71">
        <f t="shared" si="10"/>
        <v>4800</v>
      </c>
      <c r="BE75" s="71">
        <f t="shared" si="13"/>
        <v>960</v>
      </c>
      <c r="BF75" s="329">
        <f t="shared" si="14"/>
        <v>0.98461538461538467</v>
      </c>
      <c r="BH75" s="310"/>
      <c r="BI75" s="328" t="s">
        <v>470</v>
      </c>
      <c r="BJ75" s="71">
        <v>8</v>
      </c>
      <c r="BL75" s="328" t="s">
        <v>470</v>
      </c>
      <c r="BM75" s="310">
        <f t="shared" si="11"/>
        <v>975</v>
      </c>
      <c r="BN75" s="310">
        <f t="shared" si="15"/>
        <v>960</v>
      </c>
      <c r="BO75" s="310">
        <f t="shared" si="16"/>
        <v>465</v>
      </c>
      <c r="BQ75" s="328" t="s">
        <v>470</v>
      </c>
      <c r="BR75" s="194">
        <f>BV54</f>
        <v>26</v>
      </c>
      <c r="BS75" s="310">
        <f t="shared" si="12"/>
        <v>1</v>
      </c>
      <c r="BT75" s="310">
        <f t="shared" si="17"/>
        <v>8</v>
      </c>
      <c r="BU75" s="310">
        <f t="shared" si="18"/>
        <v>34</v>
      </c>
    </row>
    <row r="76" spans="5:73" x14ac:dyDescent="0.3">
      <c r="AF76" s="300" t="s">
        <v>68</v>
      </c>
      <c r="AG76" s="300" t="s">
        <v>420</v>
      </c>
      <c r="AH76" s="74" t="s">
        <v>442</v>
      </c>
      <c r="AI76" s="74" t="s">
        <v>147</v>
      </c>
      <c r="AJ76" s="74" t="s">
        <v>428</v>
      </c>
      <c r="AK76" s="74" t="s">
        <v>409</v>
      </c>
      <c r="AL76" s="74" t="s">
        <v>302</v>
      </c>
      <c r="BB76" s="310"/>
      <c r="BC76" s="328" t="s">
        <v>471</v>
      </c>
      <c r="BD76" s="71">
        <f t="shared" si="10"/>
        <v>4800</v>
      </c>
      <c r="BE76" s="71">
        <f t="shared" si="13"/>
        <v>960</v>
      </c>
      <c r="BF76" s="329">
        <f t="shared" si="14"/>
        <v>0.98461538461538467</v>
      </c>
      <c r="BH76" s="310"/>
      <c r="BI76" s="328" t="s">
        <v>471</v>
      </c>
      <c r="BJ76" s="71">
        <v>0</v>
      </c>
      <c r="BL76" s="328" t="s">
        <v>471</v>
      </c>
      <c r="BM76" s="310">
        <f t="shared" si="11"/>
        <v>975</v>
      </c>
      <c r="BN76" s="310">
        <f t="shared" si="15"/>
        <v>960</v>
      </c>
      <c r="BO76" s="310">
        <f t="shared" si="16"/>
        <v>480</v>
      </c>
      <c r="BQ76" s="328" t="s">
        <v>471</v>
      </c>
      <c r="BR76" s="194">
        <v>0</v>
      </c>
      <c r="BS76" s="310">
        <f t="shared" si="12"/>
        <v>1</v>
      </c>
      <c r="BT76" s="310">
        <f t="shared" si="17"/>
        <v>0</v>
      </c>
      <c r="BU76" s="310">
        <f t="shared" si="18"/>
        <v>33</v>
      </c>
    </row>
    <row r="77" spans="5:73" ht="47.4" customHeight="1" x14ac:dyDescent="0.3">
      <c r="AF77" s="37" t="s">
        <v>414</v>
      </c>
      <c r="AG77" s="296">
        <v>44187</v>
      </c>
      <c r="AH77" t="s">
        <v>408</v>
      </c>
      <c r="AI77">
        <v>25</v>
      </c>
      <c r="AJ77" t="s">
        <v>435</v>
      </c>
      <c r="AK77" s="303" t="s">
        <v>411</v>
      </c>
      <c r="AL77" s="303" t="s">
        <v>12</v>
      </c>
      <c r="AP77" s="37" t="s">
        <v>443</v>
      </c>
      <c r="AQ77" s="323" t="s">
        <v>432</v>
      </c>
      <c r="AR77" s="323" t="s">
        <v>433</v>
      </c>
      <c r="AS77" s="323" t="s">
        <v>413</v>
      </c>
      <c r="BB77" s="310"/>
      <c r="BC77" s="328" t="s">
        <v>472</v>
      </c>
      <c r="BD77" s="71">
        <f t="shared" si="10"/>
        <v>4800</v>
      </c>
      <c r="BE77" s="71">
        <f t="shared" si="13"/>
        <v>960</v>
      </c>
      <c r="BF77" s="329">
        <f t="shared" si="14"/>
        <v>0.98461538461538467</v>
      </c>
      <c r="BH77" s="310"/>
      <c r="BI77" s="328" t="s">
        <v>472</v>
      </c>
      <c r="BJ77" s="71">
        <v>15</v>
      </c>
      <c r="BL77" s="328" t="s">
        <v>472</v>
      </c>
      <c r="BM77" s="310">
        <f t="shared" si="11"/>
        <v>975</v>
      </c>
      <c r="BN77" s="310">
        <f t="shared" si="15"/>
        <v>960</v>
      </c>
      <c r="BO77" s="310">
        <f t="shared" si="16"/>
        <v>495</v>
      </c>
      <c r="BQ77" s="328" t="s">
        <v>472</v>
      </c>
      <c r="BR77" s="310">
        <v>0</v>
      </c>
      <c r="BS77" s="310">
        <f t="shared" si="12"/>
        <v>1</v>
      </c>
      <c r="BT77" s="310">
        <f t="shared" si="17"/>
        <v>15</v>
      </c>
      <c r="BU77" s="310">
        <f t="shared" si="18"/>
        <v>17</v>
      </c>
    </row>
    <row r="78" spans="5:73" x14ac:dyDescent="0.3">
      <c r="AF78" s="37" t="s">
        <v>414</v>
      </c>
      <c r="AG78" s="296">
        <v>44187</v>
      </c>
      <c r="AH78" t="s">
        <v>408</v>
      </c>
      <c r="AI78">
        <v>20</v>
      </c>
      <c r="AJ78" t="s">
        <v>435</v>
      </c>
      <c r="AK78" s="235" t="s">
        <v>423</v>
      </c>
      <c r="AL78" s="235" t="s">
        <v>412</v>
      </c>
      <c r="BB78" s="310"/>
      <c r="BC78" s="328" t="s">
        <v>473</v>
      </c>
      <c r="BD78" s="71">
        <f t="shared" si="10"/>
        <v>4800</v>
      </c>
      <c r="BE78" s="71">
        <f t="shared" si="13"/>
        <v>960</v>
      </c>
      <c r="BF78" s="329">
        <f t="shared" si="14"/>
        <v>0.98461538461538467</v>
      </c>
      <c r="BH78" s="310"/>
      <c r="BI78" s="328" t="s">
        <v>473</v>
      </c>
      <c r="BJ78" s="71">
        <v>8</v>
      </c>
      <c r="BL78" s="328" t="s">
        <v>473</v>
      </c>
      <c r="BM78" s="310">
        <f t="shared" si="11"/>
        <v>975</v>
      </c>
      <c r="BN78" s="310">
        <f t="shared" si="15"/>
        <v>960</v>
      </c>
      <c r="BO78" s="310">
        <f t="shared" si="16"/>
        <v>510</v>
      </c>
      <c r="BQ78" s="328" t="s">
        <v>473</v>
      </c>
      <c r="BR78" s="194">
        <f>BV54</f>
        <v>26</v>
      </c>
      <c r="BS78" s="310">
        <f t="shared" si="12"/>
        <v>1</v>
      </c>
      <c r="BT78" s="310">
        <f t="shared" si="17"/>
        <v>8</v>
      </c>
      <c r="BU78" s="310">
        <f t="shared" si="18"/>
        <v>34</v>
      </c>
    </row>
    <row r="79" spans="5:73" x14ac:dyDescent="0.3">
      <c r="AF79" s="37" t="s">
        <v>414</v>
      </c>
      <c r="AG79" s="296">
        <v>44187</v>
      </c>
      <c r="AH79" t="s">
        <v>407</v>
      </c>
      <c r="AI79">
        <v>975</v>
      </c>
      <c r="AJ79" t="s">
        <v>341</v>
      </c>
      <c r="AK79" s="298" t="s">
        <v>417</v>
      </c>
      <c r="AL79" s="298" t="s">
        <v>11</v>
      </c>
      <c r="BB79" s="310"/>
      <c r="BC79" s="328" t="s">
        <v>474</v>
      </c>
      <c r="BD79" s="71">
        <f t="shared" si="10"/>
        <v>4800</v>
      </c>
      <c r="BE79" s="71">
        <f t="shared" si="13"/>
        <v>960</v>
      </c>
      <c r="BF79" s="329">
        <f t="shared" si="14"/>
        <v>0.98461538461538467</v>
      </c>
      <c r="BH79" s="310"/>
      <c r="BI79" s="328" t="s">
        <v>474</v>
      </c>
      <c r="BJ79" s="71">
        <v>0</v>
      </c>
      <c r="BL79" s="328" t="s">
        <v>474</v>
      </c>
      <c r="BM79" s="310">
        <f t="shared" si="11"/>
        <v>975</v>
      </c>
      <c r="BN79" s="310">
        <f t="shared" si="15"/>
        <v>960</v>
      </c>
      <c r="BO79" s="310">
        <f t="shared" si="16"/>
        <v>525</v>
      </c>
      <c r="BQ79" s="328" t="s">
        <v>474</v>
      </c>
      <c r="BR79" s="194">
        <v>0</v>
      </c>
      <c r="BS79" s="310">
        <f t="shared" si="12"/>
        <v>1</v>
      </c>
      <c r="BT79" s="310">
        <f t="shared" si="17"/>
        <v>0</v>
      </c>
      <c r="BU79" s="310">
        <f t="shared" si="18"/>
        <v>33</v>
      </c>
    </row>
    <row r="80" spans="5:73" x14ac:dyDescent="0.3">
      <c r="AF80" s="37"/>
      <c r="AG80" s="297"/>
      <c r="BB80" s="310"/>
      <c r="BC80" s="328" t="s">
        <v>475</v>
      </c>
      <c r="BD80" s="71">
        <f t="shared" si="10"/>
        <v>4800</v>
      </c>
      <c r="BE80" s="71">
        <f t="shared" si="13"/>
        <v>960</v>
      </c>
      <c r="BF80" s="329">
        <f t="shared" si="14"/>
        <v>0.98461538461538467</v>
      </c>
      <c r="BH80" s="310"/>
      <c r="BI80" s="328" t="s">
        <v>475</v>
      </c>
      <c r="BJ80" s="71">
        <v>15</v>
      </c>
      <c r="BL80" s="328" t="s">
        <v>475</v>
      </c>
      <c r="BM80" s="310">
        <f t="shared" si="11"/>
        <v>975</v>
      </c>
      <c r="BN80" s="310">
        <f t="shared" si="15"/>
        <v>960</v>
      </c>
      <c r="BO80" s="310">
        <f t="shared" si="16"/>
        <v>540</v>
      </c>
      <c r="BQ80" s="328" t="s">
        <v>475</v>
      </c>
      <c r="BR80" s="310">
        <v>0</v>
      </c>
      <c r="BS80" s="310">
        <f t="shared" si="12"/>
        <v>1</v>
      </c>
      <c r="BT80" s="310">
        <f t="shared" si="17"/>
        <v>15</v>
      </c>
      <c r="BU80" s="310">
        <f t="shared" si="18"/>
        <v>17</v>
      </c>
    </row>
    <row r="81" spans="32:73" x14ac:dyDescent="0.3">
      <c r="BB81" s="310"/>
      <c r="BC81" s="328" t="s">
        <v>476</v>
      </c>
      <c r="BD81" s="71">
        <f t="shared" si="10"/>
        <v>4800</v>
      </c>
      <c r="BE81" s="71">
        <f t="shared" si="13"/>
        <v>960</v>
      </c>
      <c r="BF81" s="329">
        <f t="shared" si="14"/>
        <v>0.98461538461538467</v>
      </c>
      <c r="BH81" s="310"/>
      <c r="BI81" s="328" t="s">
        <v>476</v>
      </c>
      <c r="BJ81" s="71">
        <v>8</v>
      </c>
      <c r="BL81" s="328" t="s">
        <v>476</v>
      </c>
      <c r="BM81" s="310">
        <f t="shared" si="11"/>
        <v>975</v>
      </c>
      <c r="BN81" s="310">
        <f t="shared" si="15"/>
        <v>960</v>
      </c>
      <c r="BO81" s="310">
        <f t="shared" si="16"/>
        <v>555</v>
      </c>
      <c r="BQ81" s="328" t="s">
        <v>476</v>
      </c>
      <c r="BR81" s="194">
        <f>BV54</f>
        <v>26</v>
      </c>
      <c r="BS81" s="310">
        <f t="shared" si="12"/>
        <v>1</v>
      </c>
      <c r="BT81" s="310">
        <f t="shared" si="17"/>
        <v>8</v>
      </c>
      <c r="BU81" s="310">
        <f t="shared" si="18"/>
        <v>34</v>
      </c>
    </row>
    <row r="82" spans="32:73" ht="28.8" x14ac:dyDescent="0.3">
      <c r="AF82" s="301" t="s">
        <v>444</v>
      </c>
      <c r="BB82" s="310"/>
      <c r="BC82" s="328" t="s">
        <v>477</v>
      </c>
      <c r="BD82" s="71">
        <f t="shared" si="10"/>
        <v>4800</v>
      </c>
      <c r="BE82" s="71">
        <f t="shared" si="13"/>
        <v>960</v>
      </c>
      <c r="BF82" s="329">
        <f t="shared" si="14"/>
        <v>0.98461538461538467</v>
      </c>
      <c r="BH82" s="310"/>
      <c r="BI82" s="328" t="s">
        <v>477</v>
      </c>
      <c r="BJ82" s="71">
        <v>0</v>
      </c>
      <c r="BL82" s="328" t="s">
        <v>477</v>
      </c>
      <c r="BM82" s="310">
        <f t="shared" si="11"/>
        <v>975</v>
      </c>
      <c r="BN82" s="310">
        <f t="shared" si="15"/>
        <v>960</v>
      </c>
      <c r="BO82" s="310">
        <f t="shared" si="16"/>
        <v>570</v>
      </c>
      <c r="BQ82" s="328" t="s">
        <v>477</v>
      </c>
      <c r="BR82" s="194">
        <v>0</v>
      </c>
      <c r="BS82" s="310">
        <f t="shared" si="12"/>
        <v>1</v>
      </c>
      <c r="BT82" s="310">
        <f t="shared" si="17"/>
        <v>0</v>
      </c>
      <c r="BU82" s="310">
        <f t="shared" si="18"/>
        <v>33</v>
      </c>
    </row>
    <row r="83" spans="32:73" x14ac:dyDescent="0.3">
      <c r="AF83" s="300" t="s">
        <v>68</v>
      </c>
      <c r="AG83" s="300" t="s">
        <v>420</v>
      </c>
      <c r="AH83" s="74" t="s">
        <v>442</v>
      </c>
      <c r="AI83" s="74" t="s">
        <v>147</v>
      </c>
      <c r="AJ83" s="74" t="s">
        <v>428</v>
      </c>
      <c r="AK83" s="74" t="s">
        <v>409</v>
      </c>
      <c r="AL83" s="74" t="s">
        <v>302</v>
      </c>
      <c r="AM83" s="304" t="s">
        <v>448</v>
      </c>
      <c r="BB83" s="310"/>
      <c r="BC83" s="328" t="s">
        <v>478</v>
      </c>
      <c r="BD83" s="71">
        <f t="shared" si="10"/>
        <v>4800</v>
      </c>
      <c r="BE83" s="71">
        <f t="shared" si="13"/>
        <v>960</v>
      </c>
      <c r="BF83" s="329">
        <f t="shared" si="14"/>
        <v>0.98461538461538467</v>
      </c>
      <c r="BH83" s="310"/>
      <c r="BI83" s="328" t="s">
        <v>478</v>
      </c>
      <c r="BJ83" s="71">
        <v>15</v>
      </c>
      <c r="BL83" s="328" t="s">
        <v>478</v>
      </c>
      <c r="BM83" s="310">
        <f t="shared" si="11"/>
        <v>975</v>
      </c>
      <c r="BN83" s="310">
        <f t="shared" si="15"/>
        <v>960</v>
      </c>
      <c r="BO83" s="310">
        <f t="shared" si="16"/>
        <v>585</v>
      </c>
      <c r="BQ83" s="328" t="s">
        <v>478</v>
      </c>
      <c r="BR83" s="310">
        <v>0</v>
      </c>
      <c r="BS83" s="310">
        <f t="shared" si="12"/>
        <v>1</v>
      </c>
      <c r="BT83" s="310">
        <f t="shared" si="17"/>
        <v>15</v>
      </c>
      <c r="BU83" s="310">
        <f t="shared" si="18"/>
        <v>17</v>
      </c>
    </row>
    <row r="84" spans="32:73" ht="42" customHeight="1" x14ac:dyDescent="0.3">
      <c r="AF84" s="37" t="s">
        <v>414</v>
      </c>
      <c r="AG84" s="296">
        <v>44187</v>
      </c>
      <c r="AH84" t="s">
        <v>408</v>
      </c>
      <c r="AI84">
        <v>1</v>
      </c>
      <c r="AJ84" t="s">
        <v>435</v>
      </c>
      <c r="AK84" s="298" t="s">
        <v>425</v>
      </c>
      <c r="AL84" s="298" t="s">
        <v>11</v>
      </c>
      <c r="BB84" s="310"/>
      <c r="BC84" s="328" t="s">
        <v>479</v>
      </c>
      <c r="BD84" s="71">
        <f t="shared" si="10"/>
        <v>4800</v>
      </c>
      <c r="BE84" s="71">
        <f t="shared" si="13"/>
        <v>960</v>
      </c>
      <c r="BF84" s="329">
        <f t="shared" si="14"/>
        <v>0.98461538461538467</v>
      </c>
      <c r="BH84" s="310"/>
      <c r="BI84" s="328" t="s">
        <v>479</v>
      </c>
      <c r="BJ84" s="71">
        <v>8</v>
      </c>
      <c r="BL84" s="328" t="s">
        <v>479</v>
      </c>
      <c r="BM84" s="310">
        <f t="shared" si="11"/>
        <v>975</v>
      </c>
      <c r="BN84" s="310">
        <f t="shared" si="15"/>
        <v>960</v>
      </c>
      <c r="BO84" s="310">
        <f t="shared" si="16"/>
        <v>600</v>
      </c>
      <c r="BQ84" s="328" t="s">
        <v>479</v>
      </c>
      <c r="BR84" s="194">
        <f>BV54</f>
        <v>26</v>
      </c>
      <c r="BS84" s="310">
        <f t="shared" si="12"/>
        <v>1</v>
      </c>
      <c r="BT84" s="310">
        <f t="shared" si="17"/>
        <v>8</v>
      </c>
      <c r="BU84" s="310">
        <f t="shared" si="18"/>
        <v>34</v>
      </c>
    </row>
    <row r="85" spans="32:73" x14ac:dyDescent="0.3">
      <c r="AF85" s="37" t="s">
        <v>414</v>
      </c>
      <c r="AG85" s="296">
        <v>44187</v>
      </c>
      <c r="AH85" t="s">
        <v>407</v>
      </c>
      <c r="AI85">
        <v>30</v>
      </c>
      <c r="AJ85" t="s">
        <v>341</v>
      </c>
      <c r="AK85" s="302" t="s">
        <v>416</v>
      </c>
      <c r="AL85" s="302" t="s">
        <v>419</v>
      </c>
      <c r="BB85" s="310"/>
      <c r="BC85" s="328" t="s">
        <v>480</v>
      </c>
      <c r="BD85" s="71">
        <f t="shared" si="10"/>
        <v>4800</v>
      </c>
      <c r="BE85" s="71">
        <f t="shared" si="13"/>
        <v>960</v>
      </c>
      <c r="BF85" s="329">
        <f t="shared" si="14"/>
        <v>0.98461538461538467</v>
      </c>
      <c r="BH85" s="310"/>
      <c r="BI85" s="328" t="s">
        <v>480</v>
      </c>
      <c r="BJ85" s="71">
        <v>0</v>
      </c>
      <c r="BL85" s="328" t="s">
        <v>480</v>
      </c>
      <c r="BM85" s="310">
        <f t="shared" si="11"/>
        <v>975</v>
      </c>
      <c r="BN85" s="310">
        <f t="shared" si="15"/>
        <v>960</v>
      </c>
      <c r="BO85" s="310">
        <f t="shared" si="16"/>
        <v>615</v>
      </c>
      <c r="BQ85" s="328" t="s">
        <v>480</v>
      </c>
      <c r="BR85" s="194">
        <v>0</v>
      </c>
      <c r="BS85" s="310">
        <f t="shared" si="12"/>
        <v>1</v>
      </c>
      <c r="BT85" s="310">
        <f t="shared" si="17"/>
        <v>0</v>
      </c>
      <c r="BU85" s="310">
        <f t="shared" si="18"/>
        <v>33</v>
      </c>
    </row>
    <row r="86" spans="32:73" x14ac:dyDescent="0.3">
      <c r="AF86" s="37" t="s">
        <v>414</v>
      </c>
      <c r="AG86" s="296">
        <v>44187</v>
      </c>
      <c r="AH86" t="s">
        <v>407</v>
      </c>
      <c r="AI86">
        <v>100</v>
      </c>
      <c r="AJ86" t="s">
        <v>341</v>
      </c>
      <c r="AK86" s="299" t="s">
        <v>415</v>
      </c>
      <c r="AL86" s="299" t="s">
        <v>418</v>
      </c>
      <c r="BB86" s="310"/>
      <c r="BC86" s="328" t="s">
        <v>481</v>
      </c>
      <c r="BD86" s="71">
        <f t="shared" si="10"/>
        <v>4800</v>
      </c>
      <c r="BE86" s="71">
        <f t="shared" si="13"/>
        <v>960</v>
      </c>
      <c r="BF86" s="329">
        <f t="shared" si="14"/>
        <v>0.98461538461538467</v>
      </c>
      <c r="BH86" s="310"/>
      <c r="BI86" s="328" t="s">
        <v>481</v>
      </c>
      <c r="BJ86" s="71">
        <v>15</v>
      </c>
      <c r="BL86" s="328" t="s">
        <v>481</v>
      </c>
      <c r="BM86" s="310">
        <f t="shared" si="11"/>
        <v>975</v>
      </c>
      <c r="BN86" s="310">
        <f t="shared" si="15"/>
        <v>960</v>
      </c>
      <c r="BO86" s="310">
        <f t="shared" si="16"/>
        <v>630</v>
      </c>
      <c r="BQ86" s="328" t="s">
        <v>481</v>
      </c>
      <c r="BR86" s="310">
        <v>0</v>
      </c>
      <c r="BS86" s="310">
        <f t="shared" si="12"/>
        <v>1</v>
      </c>
      <c r="BT86" s="310">
        <f t="shared" si="17"/>
        <v>15</v>
      </c>
      <c r="BU86" s="310">
        <f t="shared" si="18"/>
        <v>17</v>
      </c>
    </row>
    <row r="87" spans="32:73" x14ac:dyDescent="0.3">
      <c r="AF87" s="37" t="s">
        <v>414</v>
      </c>
      <c r="AG87" s="296">
        <v>44187</v>
      </c>
      <c r="AH87" t="s">
        <v>407</v>
      </c>
      <c r="AI87" s="305">
        <v>830</v>
      </c>
      <c r="AJ87" t="s">
        <v>341</v>
      </c>
      <c r="AK87" s="298" t="s">
        <v>417</v>
      </c>
      <c r="AL87" s="298" t="s">
        <v>11</v>
      </c>
      <c r="BB87" s="310"/>
      <c r="BC87" s="328" t="s">
        <v>510</v>
      </c>
      <c r="BD87" s="71">
        <f t="shared" si="10"/>
        <v>4800</v>
      </c>
      <c r="BE87" s="71">
        <f t="shared" si="13"/>
        <v>960</v>
      </c>
      <c r="BF87" s="329">
        <f t="shared" si="14"/>
        <v>0.98461538461538467</v>
      </c>
      <c r="BH87" s="310"/>
      <c r="BI87" s="328" t="s">
        <v>510</v>
      </c>
      <c r="BJ87" s="71">
        <v>8</v>
      </c>
      <c r="BL87" s="328" t="s">
        <v>510</v>
      </c>
      <c r="BM87" s="310">
        <f t="shared" si="11"/>
        <v>975</v>
      </c>
      <c r="BN87" s="310">
        <f t="shared" si="15"/>
        <v>960</v>
      </c>
      <c r="BO87" s="310">
        <f t="shared" si="16"/>
        <v>645</v>
      </c>
      <c r="BQ87" s="328" t="s">
        <v>510</v>
      </c>
      <c r="BR87" s="310">
        <v>0</v>
      </c>
      <c r="BS87" s="310">
        <f t="shared" si="12"/>
        <v>1</v>
      </c>
      <c r="BT87" s="310">
        <f t="shared" si="17"/>
        <v>8</v>
      </c>
      <c r="BU87" s="310">
        <f t="shared" si="18"/>
        <v>8</v>
      </c>
    </row>
    <row r="88" spans="32:73" x14ac:dyDescent="0.3">
      <c r="BC88" s="333" t="s">
        <v>66</v>
      </c>
      <c r="BD88">
        <f>SUM(BD57:BD87)</f>
        <v>148800</v>
      </c>
      <c r="BE88">
        <f>SUM(BE57:BE87)</f>
        <v>29760</v>
      </c>
      <c r="BI88" s="333" t="s">
        <v>66</v>
      </c>
      <c r="BJ88">
        <f>SUM(BJ57:BJ87)</f>
        <v>230</v>
      </c>
      <c r="BL88" s="333" t="s">
        <v>66</v>
      </c>
      <c r="BM88">
        <f>SUM(BM57:BM87)</f>
        <v>29250</v>
      </c>
      <c r="BN88" t="s">
        <v>341</v>
      </c>
      <c r="BQ88" s="333" t="s">
        <v>66</v>
      </c>
      <c r="BR88">
        <f>SUM(BR57:BR87)</f>
        <v>260</v>
      </c>
      <c r="BS88" t="s">
        <v>435</v>
      </c>
      <c r="BT88">
        <f>SUM(BT57:BT87)</f>
        <v>230</v>
      </c>
    </row>
    <row r="90" spans="32:73" x14ac:dyDescent="0.3">
      <c r="AF90" s="301" t="s">
        <v>445</v>
      </c>
      <c r="BN90">
        <f>BM88/975</f>
        <v>30</v>
      </c>
    </row>
    <row r="91" spans="32:73" x14ac:dyDescent="0.3">
      <c r="AF91" s="300" t="s">
        <v>68</v>
      </c>
      <c r="AG91" s="300" t="s">
        <v>420</v>
      </c>
      <c r="AH91" s="74" t="s">
        <v>442</v>
      </c>
      <c r="AI91" s="74" t="s">
        <v>147</v>
      </c>
      <c r="AJ91" s="74" t="s">
        <v>428</v>
      </c>
      <c r="AK91" s="74" t="s">
        <v>409</v>
      </c>
      <c r="AL91" s="74" t="s">
        <v>302</v>
      </c>
    </row>
    <row r="92" spans="32:73" x14ac:dyDescent="0.3">
      <c r="AF92" s="37" t="s">
        <v>414</v>
      </c>
      <c r="AG92" s="296">
        <v>44187</v>
      </c>
      <c r="AH92" t="s">
        <v>407</v>
      </c>
      <c r="AI92">
        <v>50</v>
      </c>
      <c r="AJ92" t="s">
        <v>341</v>
      </c>
      <c r="AK92" s="302" t="s">
        <v>447</v>
      </c>
      <c r="AL92" s="302" t="s">
        <v>419</v>
      </c>
      <c r="AM92" t="s">
        <v>449</v>
      </c>
    </row>
  </sheetData>
  <mergeCells count="8">
    <mergeCell ref="BQ55:BR55"/>
    <mergeCell ref="AG56:AG58"/>
    <mergeCell ref="AQ56:AQ58"/>
    <mergeCell ref="AG59:AG66"/>
    <mergeCell ref="AQ59:AQ67"/>
    <mergeCell ref="BB55:BC55"/>
    <mergeCell ref="BH55:BI55"/>
    <mergeCell ref="BL55:BM55"/>
  </mergeCells>
  <conditionalFormatting sqref="F32:F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{45E3B3F7-1AC8-4A1B-B3D2-DD09232F9A7C}</x14:id>
        </ext>
      </extLst>
    </cfRule>
  </conditionalFormatting>
  <conditionalFormatting sqref="G32:K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{5C24D33B-0C84-4A8C-9EDF-9A87EF18569A}</x14:id>
        </ext>
      </extLst>
    </cfRule>
  </conditionalFormatting>
  <conditionalFormatting sqref="F72:F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:G7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{42B38C4A-77BE-4D82-9139-25B088C746E7}</x14:id>
        </ext>
      </extLst>
    </cfRule>
  </conditionalFormatting>
  <hyperlinks>
    <hyperlink ref="E3" r:id="rId1" xr:uid="{EB7931BA-7A1D-4E63-9547-0BF0AB7FA0FD}"/>
    <hyperlink ref="E5" r:id="rId2" xr:uid="{38D067E2-8F2D-4D34-8F34-C705C5727564}"/>
    <hyperlink ref="E10" r:id="rId3" xr:uid="{ED1A4324-F06A-49B2-9722-08A36EB0F85A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E3B3F7-1AC8-4A1B-B3D2-DD09232F9A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5C24D33B-0C84-4A8C-9EDF-9A87EF185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  <x14:conditionalFormatting xmlns:xm="http://schemas.microsoft.com/office/excel/2006/main">
          <x14:cfRule type="dataBar" id="{42B38C4A-77BE-4D82-9139-25B088C74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G72:G74</xm:sqref>
        </x14:conditionalFormatting>
        <x14:conditionalFormatting xmlns:xm="http://schemas.microsoft.com/office/excel/2006/main">
          <x14:cfRule type="containsText" priority="2" operator="containsText" id="{3261C5F4-2FD3-485E-A020-53FC40CAC7E4}">
            <xm:f>NOT(ISERROR(SEARCH(Selection!$M$4,F72)))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52BB09E6-7BB2-4091-91D8-FF9F9DF9367E}">
            <xm:f>NOT(ISERROR(SEARCH(Selection!$M$3,F72)))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BEB87DA9-9FD5-4427-BC73-9698A78DD3A8}">
            <xm:f>NOT(ISERROR(SEARCH(Selection!$M$2,F72)))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F72:F74</xm:sqref>
        </x14:conditionalFormatting>
        <x14:conditionalFormatting xmlns:xm="http://schemas.microsoft.com/office/excel/2006/main">
          <x14:cfRule type="containsText" priority="1" operator="containsText" id="{1117034D-05A9-4328-AE93-DB1A14871480}">
            <xm:f>NOT(ISERROR(SEARCH(Selection!$M$5,F72)))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F72:F74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2192-D60C-4A7B-AE14-DCF32E2325DA}">
  <sheetPr>
    <tabColor theme="9" tint="0.59999389629810485"/>
  </sheetPr>
  <dimension ref="A1:BN92"/>
  <sheetViews>
    <sheetView topLeftCell="AW45" zoomScaleNormal="100" workbookViewId="0">
      <selection activeCell="BG74" sqref="BG74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1093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9.5546875" customWidth="1"/>
    <col min="37" max="37" width="9.88671875" customWidth="1"/>
    <col min="38" max="38" width="9.44140625" customWidth="1"/>
    <col min="42" max="42" width="12.77734375" bestFit="1" customWidth="1"/>
    <col min="44" max="44" width="9.44140625" bestFit="1" customWidth="1"/>
    <col min="45" max="45" width="17.6640625" bestFit="1" customWidth="1"/>
    <col min="46" max="46" width="7.6640625" bestFit="1" customWidth="1"/>
    <col min="48" max="48" width="12.77734375" bestFit="1" customWidth="1"/>
    <col min="49" max="49" width="9.77734375" customWidth="1"/>
    <col min="50" max="50" width="8.88671875" bestFit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bestFit="1" customWidth="1"/>
    <col min="58" max="58" width="13.6640625" bestFit="1" customWidth="1"/>
    <col min="59" max="59" width="22.33203125" customWidth="1"/>
    <col min="60" max="60" width="10.33203125" bestFit="1" customWidth="1"/>
    <col min="61" max="61" width="10" bestFit="1" customWidth="1"/>
    <col min="62" max="62" width="5" bestFit="1" customWidth="1"/>
  </cols>
  <sheetData>
    <row r="1" spans="1:15" ht="21" x14ac:dyDescent="0.4">
      <c r="A1" s="152" t="s">
        <v>538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</row>
    <row r="17" spans="1:29" ht="14.4" customHeight="1" x14ac:dyDescent="0.4">
      <c r="A17" s="152"/>
      <c r="E17" t="s">
        <v>343</v>
      </c>
      <c r="K17" s="249" t="s">
        <v>450</v>
      </c>
      <c r="L17" t="s">
        <v>397</v>
      </c>
    </row>
    <row r="18" spans="1:29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29" ht="14.4" customHeight="1" x14ac:dyDescent="0.4">
      <c r="A19" s="152"/>
      <c r="E19" s="290" t="s">
        <v>345</v>
      </c>
    </row>
    <row r="20" spans="1:29" ht="14.4" customHeight="1" x14ac:dyDescent="0.4">
      <c r="A20" s="152"/>
      <c r="E20" s="291" t="s">
        <v>348</v>
      </c>
      <c r="J20" s="249" t="s">
        <v>398</v>
      </c>
      <c r="L20" s="249" t="s">
        <v>399</v>
      </c>
    </row>
    <row r="21" spans="1:29" x14ac:dyDescent="0.3">
      <c r="A21" s="26"/>
      <c r="E21" s="6" t="s">
        <v>346</v>
      </c>
      <c r="J21" t="s">
        <v>504</v>
      </c>
      <c r="L21" t="s">
        <v>505</v>
      </c>
    </row>
    <row r="22" spans="1:29" x14ac:dyDescent="0.3">
      <c r="A22" s="26"/>
      <c r="E22" s="6"/>
    </row>
    <row r="23" spans="1:29" x14ac:dyDescent="0.3">
      <c r="A23" s="26"/>
      <c r="E23" s="20" t="s">
        <v>56</v>
      </c>
      <c r="F23" s="331" t="s">
        <v>57</v>
      </c>
    </row>
    <row r="24" spans="1:29" ht="28.8" x14ac:dyDescent="0.3">
      <c r="A24" s="26"/>
      <c r="E24" s="20" t="s">
        <v>352</v>
      </c>
      <c r="F24" s="347" t="s">
        <v>225</v>
      </c>
      <c r="G24" s="241" t="s">
        <v>357</v>
      </c>
      <c r="H24" s="241">
        <v>20</v>
      </c>
      <c r="I24" s="241"/>
      <c r="J24" s="241"/>
      <c r="K24" s="241"/>
    </row>
    <row r="25" spans="1:29" x14ac:dyDescent="0.3">
      <c r="D25" s="295" t="s">
        <v>379</v>
      </c>
      <c r="E25" s="20" t="s">
        <v>291</v>
      </c>
      <c r="F25" s="331">
        <f>BH51</f>
        <v>2</v>
      </c>
      <c r="G25" t="s">
        <v>293</v>
      </c>
    </row>
    <row r="26" spans="1:29" x14ac:dyDescent="0.3">
      <c r="E26" s="293" t="s">
        <v>342</v>
      </c>
      <c r="F26" s="331">
        <f>BH52</f>
        <v>14625</v>
      </c>
      <c r="G26" t="s">
        <v>341</v>
      </c>
      <c r="H26" s="3" t="s">
        <v>369</v>
      </c>
      <c r="I26" s="326">
        <v>975</v>
      </c>
      <c r="J26" t="s">
        <v>367</v>
      </c>
    </row>
    <row r="27" spans="1:29" s="6" customFormat="1" x14ac:dyDescent="0.3">
      <c r="E27" s="231" t="s">
        <v>300</v>
      </c>
      <c r="F27" s="331">
        <f t="shared" ref="F27:F29" si="0">BH53</f>
        <v>2925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29" s="6" customFormat="1" x14ac:dyDescent="0.3">
      <c r="E28" s="45" t="s">
        <v>299</v>
      </c>
      <c r="F28" s="331">
        <f t="shared" si="0"/>
        <v>5850</v>
      </c>
      <c r="G28" t="s">
        <v>341</v>
      </c>
      <c r="H28"/>
      <c r="I28"/>
      <c r="J28"/>
      <c r="K28"/>
    </row>
    <row r="29" spans="1:29" s="6" customFormat="1" x14ac:dyDescent="0.3">
      <c r="E29" s="45" t="s">
        <v>298</v>
      </c>
      <c r="F29" s="331">
        <f t="shared" si="0"/>
        <v>4875</v>
      </c>
      <c r="G29" t="s">
        <v>341</v>
      </c>
      <c r="H29"/>
      <c r="I29"/>
      <c r="J29"/>
      <c r="K29"/>
    </row>
    <row r="30" spans="1:29" s="6" customFormat="1" x14ac:dyDescent="0.3"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</row>
    <row r="32" spans="1:29" x14ac:dyDescent="0.3">
      <c r="B32" t="s">
        <v>25</v>
      </c>
      <c r="C32" s="230" t="s">
        <v>509</v>
      </c>
      <c r="D32" s="1"/>
      <c r="E32" s="1"/>
      <c r="F32" s="1"/>
      <c r="G32" s="307">
        <f>AA63*975</f>
        <v>3900</v>
      </c>
      <c r="H32" s="1"/>
      <c r="I32" s="1"/>
      <c r="J32" s="308">
        <f>AL66</f>
        <v>195</v>
      </c>
      <c r="K32" s="229">
        <f>Table1[[#This Row],[ULT Ending Inventory 
(-75 deg C) (vials)]]+Table1[[#This Row],[Thawed Ending Inventory
(2-8 deg C) (vials)]]</f>
        <v>4095</v>
      </c>
      <c r="L32" s="229">
        <f>$F$27</f>
        <v>2925</v>
      </c>
      <c r="M32" s="229">
        <f>$F$26</f>
        <v>14625</v>
      </c>
      <c r="N32" s="229">
        <f t="shared" ref="N32:N62" si="1">$F$29</f>
        <v>4875</v>
      </c>
      <c r="O32" s="229" t="str">
        <f>IF(Table1[[#This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62" x14ac:dyDescent="0.3">
      <c r="C33" s="230" t="s">
        <v>512</v>
      </c>
      <c r="D33" s="1"/>
      <c r="E33" s="1">
        <f t="shared" ref="E33:E62" si="2">BF58*$I$26</f>
        <v>0</v>
      </c>
      <c r="F33" s="1">
        <f>IF(Table1[[#This Row],[Daily Vaccination
(vials)]]&gt;J32+Table1[[#This Row],[Problematic 
Vaccine 
Quantity]],IF(Table1[[#This Row],[Daily Vaccination
(vials)]]&gt;$I$26+J32,2*$I$26,$I$26),0)</f>
        <v>975</v>
      </c>
      <c r="G33" s="229">
        <f xml:space="preserve"> E33+G32-F33-Table1[[#This Row],[Outbound 20 clinics
(vials)]]</f>
        <v>2925</v>
      </c>
      <c r="H33" s="229">
        <f>AX58*975</f>
        <v>0</v>
      </c>
      <c r="I33" s="229">
        <f>AS58</f>
        <v>384</v>
      </c>
      <c r="J33" s="229">
        <f>J32+Table1[[#This Row],[ULT Consumption
(vials)]]-Table1[[#This Row],[Daily Vaccination
(vials)]]+Table1[[#This Row],[Problematic 
Vaccine 
Quantity]]</f>
        <v>786</v>
      </c>
      <c r="K33" s="229">
        <f>Table1[[#This Row],[ULT Ending Inventory 
(-75 deg C) (vials)]]+Table1[[#This Row],[Thawed Ending Inventory
(2-8 deg C) (vials)]]</f>
        <v>3711</v>
      </c>
      <c r="L33" s="229">
        <f t="shared" ref="L33:L62" si="3">$F$27</f>
        <v>2925</v>
      </c>
      <c r="M33" s="229">
        <f t="shared" ref="M33:M62" si="4">$F$26</f>
        <v>14625</v>
      </c>
      <c r="N33" s="229">
        <f t="shared" si="1"/>
        <v>4875</v>
      </c>
      <c r="O33" s="229" t="str">
        <f>IF(Table1[[#This Row],[Problematic 
Vaccine 
Quantity]]&gt;0, "YES","NO")</f>
        <v>NO</v>
      </c>
      <c r="P33" s="229">
        <v>0</v>
      </c>
      <c r="Q33" s="229">
        <f>Q32+(Table1[[#This Row],[Daily Vaccination
(vials)]]+Table1[[#This Row],[Outbound 20 clinics
(vials)]])*5</f>
        <v>11670</v>
      </c>
      <c r="R33" s="229"/>
      <c r="AA33" t="s">
        <v>381</v>
      </c>
      <c r="AB33" t="s">
        <v>404</v>
      </c>
      <c r="AC33" t="s">
        <v>405</v>
      </c>
    </row>
    <row r="34" spans="2:62" x14ac:dyDescent="0.3">
      <c r="C34" s="230" t="s">
        <v>513</v>
      </c>
      <c r="D34" s="1"/>
      <c r="E34" s="1">
        <f t="shared" si="2"/>
        <v>0</v>
      </c>
      <c r="F34" s="1">
        <f>IF(Table1[[#This Row],[Daily Vaccination
(vials)]]&gt;J33+Table1[[#This Row],[Problematic 
Vaccine 
Quantity]],IF(Table1[[#This Row],[Daily Vaccination
(vials)]]&gt;$I$26+J33,2*$I$26,$I$26),0)</f>
        <v>0</v>
      </c>
      <c r="G34" s="229">
        <f xml:space="preserve"> E34+G33-F34-Table1[[#This Row],[Outbound 20 clinics
(vials)]]</f>
        <v>2925</v>
      </c>
      <c r="H34" s="229">
        <f t="shared" ref="H34" si="5">AX59*975</f>
        <v>0</v>
      </c>
      <c r="I34" s="229">
        <f t="shared" ref="I34:I62" si="6">AS59</f>
        <v>384</v>
      </c>
      <c r="J34" s="229">
        <f>J33+Table1[[#This Row],[ULT Consumption
(vials)]]-Table1[[#This Row],[Daily Vaccination
(vials)]]+Table1[[#This Row],[Problematic 
Vaccine 
Quantity]]</f>
        <v>402</v>
      </c>
      <c r="K34" s="229">
        <f>Table1[[#This Row],[ULT Ending Inventory 
(-75 deg C) (vials)]]+Table1[[#This Row],[Thawed Ending Inventory
(2-8 deg C) (vials)]]</f>
        <v>3327</v>
      </c>
      <c r="L34" s="229">
        <f t="shared" si="3"/>
        <v>2925</v>
      </c>
      <c r="M34" s="229">
        <f t="shared" si="4"/>
        <v>14625</v>
      </c>
      <c r="N34" s="229">
        <f t="shared" si="1"/>
        <v>4875</v>
      </c>
      <c r="O34" s="229" t="str">
        <f>IF(Table1[[#This Row],[Problematic 
Vaccine 
Quantity]]&gt;0, "YES","NO")</f>
        <v>NO</v>
      </c>
      <c r="P34" s="229">
        <v>0</v>
      </c>
      <c r="Q34" s="229">
        <f>Q33+(Table1[[#This Row],[Daily Vaccination
(vials)]]+Table1[[#This Row],[Outbound 20 clinics
(vials)]])*5</f>
        <v>13590</v>
      </c>
      <c r="R34" s="229"/>
      <c r="T34" t="s">
        <v>82</v>
      </c>
    </row>
    <row r="35" spans="2:62" x14ac:dyDescent="0.3">
      <c r="C35" s="230" t="s">
        <v>514</v>
      </c>
      <c r="D35" s="230"/>
      <c r="E35" s="1">
        <f t="shared" si="2"/>
        <v>0</v>
      </c>
      <c r="F35" s="1">
        <f>IF(Table1[[#This Row],[Daily Vaccination
(vials)]]&gt;J34+Table1[[#This Row],[Problematic 
Vaccine 
Quantity]],IF(Table1[[#This Row],[Daily Vaccination
(vials)]]&gt;$I$26+J34,2*$I$26,$I$26),0)</f>
        <v>0</v>
      </c>
      <c r="G35" s="229">
        <f xml:space="preserve"> E35+G34-F35-Table1[[#This Row],[Outbound 20 clinics
(vials)]]</f>
        <v>2925</v>
      </c>
      <c r="H35" s="229">
        <f>AX60*975</f>
        <v>0</v>
      </c>
      <c r="I35" s="229">
        <f t="shared" si="6"/>
        <v>384</v>
      </c>
      <c r="J35" s="229">
        <f>J34+Table1[[#This Row],[ULT Consumption
(vials)]]-Table1[[#This Row],[Daily Vaccination
(vials)]]+Table1[[#This Row],[Problematic 
Vaccine 
Quantity]]</f>
        <v>18</v>
      </c>
      <c r="K35" s="229">
        <f>Table1[[#This Row],[ULT Ending Inventory 
(-75 deg C) (vials)]]+Table1[[#This Row],[Thawed Ending Inventory
(2-8 deg C) (vials)]]</f>
        <v>2943</v>
      </c>
      <c r="L35" s="229">
        <f t="shared" si="3"/>
        <v>2925</v>
      </c>
      <c r="M35" s="229">
        <f t="shared" si="4"/>
        <v>14625</v>
      </c>
      <c r="N35" s="229">
        <f t="shared" si="1"/>
        <v>4875</v>
      </c>
      <c r="O35" s="229" t="str">
        <f>IF(Table1[[#This Row],[Problematic 
Vaccine 
Quantity]]&gt;0, "YES","NO")</f>
        <v>NO</v>
      </c>
      <c r="P35" s="229">
        <v>0</v>
      </c>
      <c r="Q35" s="229">
        <f>Q34+(Table1[[#This Row],[Daily Vaccination
(vials)]]+Table1[[#This Row],[Outbound 20 clinics
(vials)]])*5</f>
        <v>15510</v>
      </c>
      <c r="R35" s="229"/>
      <c r="W35" t="s">
        <v>383</v>
      </c>
      <c r="AA35" t="s">
        <v>382</v>
      </c>
    </row>
    <row r="36" spans="2:62" x14ac:dyDescent="0.3">
      <c r="C36" s="230" t="s">
        <v>515</v>
      </c>
      <c r="D36" s="230"/>
      <c r="E36" s="1">
        <f t="shared" si="2"/>
        <v>5850</v>
      </c>
      <c r="F36" s="1">
        <f>IF(Table1[[#This Row],[Daily Vaccination
(vials)]]&gt;J35+Table1[[#This Row],[Problematic 
Vaccine 
Quantity]],IF(Table1[[#This Row],[Daily Vaccination
(vials)]]&gt;$I$26+J35,2*$I$26,$I$26),0)</f>
        <v>975</v>
      </c>
      <c r="G36" s="229">
        <f xml:space="preserve"> E36+G35-F36-Table1[[#This Row],[Outbound 20 clinics
(vials)]]</f>
        <v>7800</v>
      </c>
      <c r="H36" s="229">
        <f>AX61*975</f>
        <v>0</v>
      </c>
      <c r="I36" s="229">
        <f t="shared" si="6"/>
        <v>384</v>
      </c>
      <c r="J36" s="229">
        <f>J35+Table1[[#This Row],[ULT Consumption
(vials)]]-Table1[[#This Row],[Daily Vaccination
(vials)]]+Table1[[#This Row],[Problematic 
Vaccine 
Quantity]]</f>
        <v>609</v>
      </c>
      <c r="K36" s="229">
        <f>Table1[[#This Row],[ULT Ending Inventory 
(-75 deg C) (vials)]]+Table1[[#This Row],[Thawed Ending Inventory
(2-8 deg C) (vials)]]</f>
        <v>8409</v>
      </c>
      <c r="L36" s="229">
        <f t="shared" si="3"/>
        <v>2925</v>
      </c>
      <c r="M36" s="229">
        <f t="shared" si="4"/>
        <v>14625</v>
      </c>
      <c r="N36" s="229">
        <f t="shared" si="1"/>
        <v>4875</v>
      </c>
      <c r="O36" s="229" t="str">
        <f>IF(Table1[[#This Row],[Problematic 
Vaccine 
Quantity]]&gt;0, "YES","NO")</f>
        <v>NO</v>
      </c>
      <c r="P36" s="229">
        <v>0</v>
      </c>
      <c r="Q36" s="229">
        <f>Q35+(Table1[[#This Row],[Daily Vaccination
(vials)]]+Table1[[#This Row],[Outbound 20 clinics
(vials)]])*5</f>
        <v>17430</v>
      </c>
      <c r="R36" s="229"/>
    </row>
    <row r="37" spans="2:62" x14ac:dyDescent="0.3">
      <c r="C37" s="230" t="s">
        <v>516</v>
      </c>
      <c r="D37" s="230"/>
      <c r="E37" s="1">
        <f t="shared" si="2"/>
        <v>0</v>
      </c>
      <c r="F37" s="1">
        <f>IF(Table1[[#This Row],[Daily Vaccination
(vials)]]&gt;J36+Table1[[#This Row],[Problematic 
Vaccine 
Quantity]],IF(Table1[[#This Row],[Daily Vaccination
(vials)]]&gt;$I$26+J36,2*$I$26,$I$26),0)</f>
        <v>0</v>
      </c>
      <c r="G37" s="229">
        <f xml:space="preserve"> E37+G36-F37-Table1[[#This Row],[Outbound 20 clinics
(vials)]]</f>
        <v>7800</v>
      </c>
      <c r="H37" s="229">
        <f t="shared" ref="H37:H62" si="7">AX62*975</f>
        <v>0</v>
      </c>
      <c r="I37" s="229">
        <f t="shared" si="6"/>
        <v>384</v>
      </c>
      <c r="J37" s="229">
        <f>J36+Table1[[#This Row],[ULT Consumption
(vials)]]-Table1[[#This Row],[Daily Vaccination
(vials)]]+Table1[[#This Row],[Problematic 
Vaccine 
Quantity]]</f>
        <v>225</v>
      </c>
      <c r="K37" s="229">
        <f>Table1[[#This Row],[ULT Ending Inventory 
(-75 deg C) (vials)]]+Table1[[#This Row],[Thawed Ending Inventory
(2-8 deg C) (vials)]]</f>
        <v>8025</v>
      </c>
      <c r="L37" s="229">
        <f t="shared" si="3"/>
        <v>2925</v>
      </c>
      <c r="M37" s="229">
        <f t="shared" si="4"/>
        <v>14625</v>
      </c>
      <c r="N37" s="229">
        <f t="shared" si="1"/>
        <v>4875</v>
      </c>
      <c r="O37" s="229" t="str">
        <f>IF(Table1[[#This Row],[Problematic 
Vaccine 
Quantity]]&gt;0, "YES","NO")</f>
        <v>NO</v>
      </c>
      <c r="P37" s="229">
        <v>0</v>
      </c>
      <c r="Q37" s="229">
        <f>Q36+(Table1[[#This Row],[Daily Vaccination
(vials)]]+Table1[[#This Row],[Outbound 20 clinics
(vials)]])*5</f>
        <v>19350</v>
      </c>
      <c r="R37" s="229"/>
    </row>
    <row r="38" spans="2:62" x14ac:dyDescent="0.3">
      <c r="C38" s="230" t="s">
        <v>517</v>
      </c>
      <c r="D38" s="230"/>
      <c r="E38" s="1">
        <f t="shared" si="2"/>
        <v>0</v>
      </c>
      <c r="F38" s="1">
        <f>IF(Table1[[#This Row],[Daily Vaccination
(vials)]]&gt;J37+Table1[[#This Row],[Problematic 
Vaccine 
Quantity]],IF(Table1[[#This Row],[Daily Vaccination
(vials)]]&gt;$I$26+J37,2*$I$26,$I$26),0)</f>
        <v>975</v>
      </c>
      <c r="G38" s="229">
        <f xml:space="preserve"> E38+G37-F38-Table1[[#This Row],[Outbound 20 clinics
(vials)]]</f>
        <v>6825</v>
      </c>
      <c r="H38" s="229">
        <f t="shared" si="7"/>
        <v>0</v>
      </c>
      <c r="I38" s="229">
        <f t="shared" si="6"/>
        <v>384</v>
      </c>
      <c r="J38" s="229">
        <f>J37+Table1[[#This Row],[ULT Consumption
(vials)]]-Table1[[#This Row],[Daily Vaccination
(vials)]]+Table1[[#This Row],[Problematic 
Vaccine 
Quantity]]</f>
        <v>816</v>
      </c>
      <c r="K38" s="229">
        <f>Table1[[#This Row],[ULT Ending Inventory 
(-75 deg C) (vials)]]+Table1[[#This Row],[Thawed Ending Inventory
(2-8 deg C) (vials)]]</f>
        <v>7641</v>
      </c>
      <c r="L38" s="229">
        <f t="shared" si="3"/>
        <v>2925</v>
      </c>
      <c r="M38" s="229">
        <f t="shared" si="4"/>
        <v>14625</v>
      </c>
      <c r="N38" s="229">
        <f t="shared" si="1"/>
        <v>4875</v>
      </c>
      <c r="O38" s="229" t="str">
        <f>IF(Table1[[#This Row],[Problematic 
Vaccine 
Quantity]]&gt;0, "YES","NO")</f>
        <v>NO</v>
      </c>
      <c r="P38" s="229">
        <v>0</v>
      </c>
      <c r="Q38" s="229">
        <f>Q37+(Table1[[#This Row],[Daily Vaccination
(vials)]]+Table1[[#This Row],[Outbound 20 clinics
(vials)]])*5</f>
        <v>21270</v>
      </c>
      <c r="R38" s="229"/>
      <c r="V38" t="s">
        <v>385</v>
      </c>
    </row>
    <row r="39" spans="2:62" x14ac:dyDescent="0.3">
      <c r="C39" s="230" t="s">
        <v>518</v>
      </c>
      <c r="D39" s="230"/>
      <c r="E39" s="1">
        <f t="shared" si="2"/>
        <v>0</v>
      </c>
      <c r="F39" s="1">
        <f>IF(Table1[[#This Row],[Daily Vaccination
(vials)]]&gt;J38+Table1[[#This Row],[Problematic 
Vaccine 
Quantity]],IF(Table1[[#This Row],[Daily Vaccination
(vials)]]&gt;$I$26+J38,2*$I$26,$I$26),0)</f>
        <v>0</v>
      </c>
      <c r="G39" s="229">
        <f xml:space="preserve"> E39+G38-F39-Table1[[#This Row],[Outbound 20 clinics
(vials)]]</f>
        <v>6825</v>
      </c>
      <c r="H39" s="229">
        <f t="shared" si="7"/>
        <v>0</v>
      </c>
      <c r="I39" s="229">
        <f t="shared" si="6"/>
        <v>384</v>
      </c>
      <c r="J39" s="229">
        <f>J38+Table1[[#This Row],[ULT Consumption
(vials)]]-Table1[[#This Row],[Daily Vaccination
(vials)]]+Table1[[#This Row],[Problematic 
Vaccine 
Quantity]]</f>
        <v>432</v>
      </c>
      <c r="K39" s="229">
        <f>Table1[[#This Row],[ULT Ending Inventory 
(-75 deg C) (vials)]]+Table1[[#This Row],[Thawed Ending Inventory
(2-8 deg C) (vials)]]</f>
        <v>7257</v>
      </c>
      <c r="L39" s="229">
        <f t="shared" si="3"/>
        <v>2925</v>
      </c>
      <c r="M39" s="229">
        <f t="shared" si="4"/>
        <v>14625</v>
      </c>
      <c r="N39" s="229">
        <f t="shared" si="1"/>
        <v>4875</v>
      </c>
      <c r="O39" s="229" t="str">
        <f>IF(Table1[[#This Row],[Problematic 
Vaccine 
Quantity]]&gt;0, "YES","NO")</f>
        <v>NO</v>
      </c>
      <c r="P39" s="229">
        <v>0</v>
      </c>
      <c r="Q39" s="229">
        <f>Q38+(Table1[[#This Row],[Daily Vaccination
(vials)]]+Table1[[#This Row],[Outbound 20 clinics
(vials)]])*5</f>
        <v>23190</v>
      </c>
      <c r="R39" s="229"/>
      <c r="V39">
        <v>5000</v>
      </c>
      <c r="X39" t="s">
        <v>384</v>
      </c>
      <c r="AA39" s="295" t="s">
        <v>401</v>
      </c>
      <c r="BG39" s="20" t="s">
        <v>677</v>
      </c>
      <c r="BH39" s="331">
        <v>184</v>
      </c>
      <c r="BI39" s="62"/>
    </row>
    <row r="40" spans="2:62" x14ac:dyDescent="0.3">
      <c r="C40" s="230" t="s">
        <v>519</v>
      </c>
      <c r="D40" s="230"/>
      <c r="E40" s="1">
        <f t="shared" si="2"/>
        <v>0</v>
      </c>
      <c r="F40" s="1">
        <f>IF(Table1[[#This Row],[Daily Vaccination
(vials)]]&gt;J39+Table1[[#This Row],[Problematic 
Vaccine 
Quantity]],IF(Table1[[#This Row],[Daily Vaccination
(vials)]]&gt;$I$26+J39,2*$I$26,$I$26),0)</f>
        <v>0</v>
      </c>
      <c r="G40" s="229">
        <f xml:space="preserve"> E40+G39-F40-Table1[[#This Row],[Outbound 20 clinics
(vials)]]</f>
        <v>6825</v>
      </c>
      <c r="H40" s="229">
        <f t="shared" si="7"/>
        <v>0</v>
      </c>
      <c r="I40" s="229">
        <f t="shared" si="6"/>
        <v>384</v>
      </c>
      <c r="J40" s="229">
        <f>J39+Table1[[#This Row],[ULT Consumption
(vials)]]-Table1[[#This Row],[Daily Vaccination
(vials)]]+Table1[[#This Row],[Problematic 
Vaccine 
Quantity]]</f>
        <v>48</v>
      </c>
      <c r="K40" s="229">
        <f>Table1[[#This Row],[ULT Ending Inventory 
(-75 deg C) (vials)]]+Table1[[#This Row],[Thawed Ending Inventory
(2-8 deg C) (vials)]]</f>
        <v>6873</v>
      </c>
      <c r="L40" s="229">
        <f t="shared" si="3"/>
        <v>2925</v>
      </c>
      <c r="M40" s="229">
        <f t="shared" si="4"/>
        <v>14625</v>
      </c>
      <c r="N40" s="229">
        <f t="shared" si="1"/>
        <v>4875</v>
      </c>
      <c r="O40" s="229" t="str">
        <f>IF(Table1[[#This Row],[Problematic 
Vaccine 
Quantity]]&gt;0, "YES","NO")</f>
        <v>NO</v>
      </c>
      <c r="P40" s="229">
        <v>0</v>
      </c>
      <c r="Q40" s="229">
        <f>Q39+(Table1[[#This Row],[Daily Vaccination
(vials)]]+Table1[[#This Row],[Outbound 20 clinics
(vials)]])*5</f>
        <v>25110</v>
      </c>
      <c r="R40" s="229"/>
      <c r="BG40" s="20" t="s">
        <v>674</v>
      </c>
      <c r="BH40" s="326">
        <v>80000</v>
      </c>
      <c r="BI40" t="s">
        <v>678</v>
      </c>
    </row>
    <row r="41" spans="2:62" x14ac:dyDescent="0.3">
      <c r="C41" s="230" t="s">
        <v>520</v>
      </c>
      <c r="D41" s="230"/>
      <c r="E41" s="1">
        <f t="shared" si="2"/>
        <v>0</v>
      </c>
      <c r="F41" s="1">
        <f>IF(Table1[[#This Row],[Daily Vaccination
(vials)]]&gt;J40+Table1[[#This Row],[Problematic 
Vaccine 
Quantity]],IF(Table1[[#This Row],[Daily Vaccination
(vials)]]&gt;$I$26+J40,2*$I$26,$I$26),0)</f>
        <v>975</v>
      </c>
      <c r="G41" s="229">
        <f xml:space="preserve"> E41+G40-F41-Table1[[#This Row],[Outbound 20 clinics
(vials)]]</f>
        <v>5850</v>
      </c>
      <c r="H41" s="229">
        <f t="shared" si="7"/>
        <v>0</v>
      </c>
      <c r="I41" s="229">
        <f t="shared" si="6"/>
        <v>384</v>
      </c>
      <c r="J41" s="229">
        <f>J40+Table1[[#This Row],[ULT Consumption
(vials)]]-Table1[[#This Row],[Daily Vaccination
(vials)]]+Table1[[#This Row],[Problematic 
Vaccine 
Quantity]]</f>
        <v>639</v>
      </c>
      <c r="K41" s="229">
        <f>Table1[[#This Row],[ULT Ending Inventory 
(-75 deg C) (vials)]]+Table1[[#This Row],[Thawed Ending Inventory
(2-8 deg C) (vials)]]</f>
        <v>6489</v>
      </c>
      <c r="L41" s="229">
        <f t="shared" si="3"/>
        <v>2925</v>
      </c>
      <c r="M41" s="229">
        <f t="shared" si="4"/>
        <v>14625</v>
      </c>
      <c r="N41" s="229">
        <f t="shared" si="1"/>
        <v>4875</v>
      </c>
      <c r="O41" s="229" t="str">
        <f>IF(Table1[[#This Row],[Problematic 
Vaccine 
Quantity]]&gt;0, "YES","NO")</f>
        <v>NO</v>
      </c>
      <c r="P41" s="229">
        <v>0</v>
      </c>
      <c r="Q41" s="229">
        <f>Q40+(Table1[[#This Row],[Daily Vaccination
(vials)]]+Table1[[#This Row],[Outbound 20 clinics
(vials)]])*5</f>
        <v>27030</v>
      </c>
      <c r="R41" s="229"/>
      <c r="BG41" s="20" t="s">
        <v>675</v>
      </c>
      <c r="BH41" s="627">
        <v>0.25</v>
      </c>
    </row>
    <row r="42" spans="2:62" x14ac:dyDescent="0.3">
      <c r="B42" t="s">
        <v>248</v>
      </c>
      <c r="C42" s="230" t="s">
        <v>463</v>
      </c>
      <c r="D42" s="230"/>
      <c r="E42" s="1">
        <f t="shared" si="2"/>
        <v>0</v>
      </c>
      <c r="F42" s="1">
        <f>IF(Table1[[#This Row],[Daily Vaccination
(vials)]]&gt;J41+Table1[[#This Row],[Problematic 
Vaccine 
Quantity]],IF(Table1[[#This Row],[Daily Vaccination
(vials)]]&gt;$I$26+J41,2*$I$26,$I$26),0)</f>
        <v>0</v>
      </c>
      <c r="G42" s="229">
        <f xml:space="preserve"> E42+G41-F42-Table1[[#This Row],[Outbound 20 clinics
(vials)]]</f>
        <v>5850</v>
      </c>
      <c r="H42" s="229">
        <f t="shared" si="7"/>
        <v>0</v>
      </c>
      <c r="I42" s="229">
        <f t="shared" si="6"/>
        <v>384</v>
      </c>
      <c r="J42" s="229">
        <f>J41+Table1[[#This Row],[ULT Consumption
(vials)]]-Table1[[#This Row],[Daily Vaccination
(vials)]]+Table1[[#This Row],[Problematic 
Vaccine 
Quantity]]</f>
        <v>255</v>
      </c>
      <c r="K42" s="229">
        <f>Table1[[#This Row],[ULT Ending Inventory 
(-75 deg C) (vials)]]+Table1[[#This Row],[Thawed Ending Inventory
(2-8 deg C) (vials)]]</f>
        <v>6105</v>
      </c>
      <c r="L42" s="229">
        <f t="shared" si="3"/>
        <v>2925</v>
      </c>
      <c r="M42" s="229">
        <f t="shared" si="4"/>
        <v>14625</v>
      </c>
      <c r="N42" s="229">
        <f t="shared" si="1"/>
        <v>4875</v>
      </c>
      <c r="O42" s="229" t="str">
        <f>IF(Table1[[#This Row],[Problematic 
Vaccine 
Quantity]]&gt;0, "YES","NO")</f>
        <v>NO</v>
      </c>
      <c r="P42" s="229">
        <v>0</v>
      </c>
      <c r="Q42" s="229">
        <f>Q41+(Table1[[#This Row],[Daily Vaccination
(vials)]]+Table1[[#This Row],[Outbound 20 clinics
(vials)]])*5</f>
        <v>28950</v>
      </c>
      <c r="R42" s="229"/>
      <c r="BG42" s="20" t="s">
        <v>676</v>
      </c>
      <c r="BH42" s="326">
        <f>BH40*BH41</f>
        <v>20000</v>
      </c>
      <c r="BI42" t="s">
        <v>678</v>
      </c>
    </row>
    <row r="43" spans="2:62" x14ac:dyDescent="0.3">
      <c r="C43" s="230" t="s">
        <v>453</v>
      </c>
      <c r="D43" s="230"/>
      <c r="E43" s="1">
        <f t="shared" si="2"/>
        <v>0</v>
      </c>
      <c r="F43" s="1">
        <f>IF(Table1[[#This Row],[Daily Vaccination
(vials)]]&gt;J42+Table1[[#This Row],[Problematic 
Vaccine 
Quantity]],IF(Table1[[#This Row],[Daily Vaccination
(vials)]]&gt;$I$26+J42,2*$I$26,$I$26),0)</f>
        <v>975</v>
      </c>
      <c r="G43" s="229">
        <f xml:space="preserve"> E43+G42-F43-Table1[[#This Row],[Outbound 20 clinics
(vials)]]</f>
        <v>4875</v>
      </c>
      <c r="H43" s="229">
        <f t="shared" si="7"/>
        <v>0</v>
      </c>
      <c r="I43" s="229">
        <f t="shared" si="6"/>
        <v>384</v>
      </c>
      <c r="J43" s="229">
        <f>J42+Table1[[#This Row],[ULT Consumption
(vials)]]-Table1[[#This Row],[Daily Vaccination
(vials)]]+Table1[[#This Row],[Problematic 
Vaccine 
Quantity]]</f>
        <v>846</v>
      </c>
      <c r="K43" s="229">
        <f>Table1[[#This Row],[ULT Ending Inventory 
(-75 deg C) (vials)]]+Table1[[#This Row],[Thawed Ending Inventory
(2-8 deg C) (vials)]]</f>
        <v>5721</v>
      </c>
      <c r="L43" s="229">
        <f t="shared" si="3"/>
        <v>2925</v>
      </c>
      <c r="M43" s="229">
        <f t="shared" si="4"/>
        <v>14625</v>
      </c>
      <c r="N43" s="229">
        <f t="shared" si="1"/>
        <v>4875</v>
      </c>
      <c r="O43" s="229" t="str">
        <f>IF(Table1[[#This Row],[Problematic 
Vaccine 
Quantity]]&gt;0, "YES","NO")</f>
        <v>NO</v>
      </c>
      <c r="P43" s="229">
        <v>0</v>
      </c>
      <c r="Q43" s="229">
        <f>Q42+(Table1[[#This Row],[Daily Vaccination
(vials)]]+Table1[[#This Row],[Outbound 20 clinics
(vials)]])*5</f>
        <v>30870</v>
      </c>
      <c r="R43" s="229"/>
      <c r="BH43" s="331">
        <f>BH42/BH39</f>
        <v>108.69565217391305</v>
      </c>
      <c r="BI43" s="326">
        <f>BH43/4</f>
        <v>27.173913043478262</v>
      </c>
      <c r="BJ43" t="s">
        <v>663</v>
      </c>
    </row>
    <row r="44" spans="2:62" x14ac:dyDescent="0.3">
      <c r="C44" s="230" t="s">
        <v>464</v>
      </c>
      <c r="D44" s="230"/>
      <c r="E44" s="1">
        <f t="shared" si="2"/>
        <v>0</v>
      </c>
      <c r="F44" s="1">
        <f>IF(Table1[[#This Row],[Daily Vaccination
(vials)]]&gt;J43+Table1[[#This Row],[Problematic 
Vaccine 
Quantity]],IF(Table1[[#This Row],[Daily Vaccination
(vials)]]&gt;$I$26+J43,2*$I$26,$I$26),0)</f>
        <v>0</v>
      </c>
      <c r="G44" s="229">
        <f xml:space="preserve"> E44+G43-F44-Table1[[#This Row],[Outbound 20 clinics
(vials)]]</f>
        <v>4875</v>
      </c>
      <c r="H44" s="229">
        <f t="shared" si="7"/>
        <v>0</v>
      </c>
      <c r="I44" s="229">
        <f t="shared" si="6"/>
        <v>384</v>
      </c>
      <c r="J44" s="229">
        <f>J43+Table1[[#This Row],[ULT Consumption
(vials)]]-Table1[[#This Row],[Daily Vaccination
(vials)]]+Table1[[#This Row],[Problematic 
Vaccine 
Quantity]]</f>
        <v>462</v>
      </c>
      <c r="K44" s="229">
        <f>Table1[[#This Row],[ULT Ending Inventory 
(-75 deg C) (vials)]]+Table1[[#This Row],[Thawed Ending Inventory
(2-8 deg C) (vials)]]</f>
        <v>5337</v>
      </c>
      <c r="L44" s="229">
        <f t="shared" si="3"/>
        <v>2925</v>
      </c>
      <c r="M44" s="229">
        <f t="shared" si="4"/>
        <v>14625</v>
      </c>
      <c r="N44" s="229">
        <f t="shared" si="1"/>
        <v>4875</v>
      </c>
      <c r="O44" s="229" t="str">
        <f>IF(Table1[[#This Row],[Problematic 
Vaccine 
Quantity]]&gt;0, "YES","NO")</f>
        <v>NO</v>
      </c>
      <c r="P44" s="229">
        <v>0</v>
      </c>
      <c r="Q44" s="229">
        <f>Q43+(Table1[[#This Row],[Daily Vaccination
(vials)]]+Table1[[#This Row],[Outbound 20 clinics
(vials)]])*5</f>
        <v>32790</v>
      </c>
      <c r="R44" s="229"/>
    </row>
    <row r="45" spans="2:62" x14ac:dyDescent="0.3">
      <c r="C45" s="230" t="s">
        <v>465</v>
      </c>
      <c r="D45" s="230"/>
      <c r="E45" s="1">
        <f t="shared" si="2"/>
        <v>0</v>
      </c>
      <c r="F45" s="1">
        <f>IF(Table1[[#This Row],[Daily Vaccination
(vials)]]&gt;J44+Table1[[#This Row],[Problematic 
Vaccine 
Quantity]],IF(Table1[[#This Row],[Daily Vaccination
(vials)]]&gt;$I$26+J44,2*$I$26,$I$26),0)</f>
        <v>0</v>
      </c>
      <c r="G45" s="229">
        <f xml:space="preserve"> E45+G44-F45-Table1[[#This Row],[Outbound 20 clinics
(vials)]]</f>
        <v>4875</v>
      </c>
      <c r="H45" s="229">
        <f t="shared" si="7"/>
        <v>0</v>
      </c>
      <c r="I45" s="229">
        <f t="shared" si="6"/>
        <v>384</v>
      </c>
      <c r="J45" s="229">
        <f>J44+Table1[[#This Row],[ULT Consumption
(vials)]]-Table1[[#This Row],[Daily Vaccination
(vials)]]+Table1[[#This Row],[Problematic 
Vaccine 
Quantity]]</f>
        <v>78</v>
      </c>
      <c r="K45" s="229">
        <f>Table1[[#This Row],[ULT Ending Inventory 
(-75 deg C) (vials)]]+Table1[[#This Row],[Thawed Ending Inventory
(2-8 deg C) (vials)]]</f>
        <v>4953</v>
      </c>
      <c r="L45" s="229">
        <f t="shared" si="3"/>
        <v>2925</v>
      </c>
      <c r="M45" s="229">
        <f t="shared" si="4"/>
        <v>14625</v>
      </c>
      <c r="N45" s="229">
        <f t="shared" si="1"/>
        <v>4875</v>
      </c>
      <c r="O45" s="229" t="str">
        <f>IF(Table1[[#This Row],[Problematic 
Vaccine 
Quantity]]&gt;0, "YES","NO")</f>
        <v>NO</v>
      </c>
      <c r="P45" s="229">
        <v>0</v>
      </c>
      <c r="Q45" s="229">
        <f>Q44+(Table1[[#This Row],[Daily Vaccination
(vials)]]+Table1[[#This Row],[Outbound 20 clinics
(vials)]])*5</f>
        <v>34710</v>
      </c>
      <c r="R45" s="229"/>
      <c r="BG45" s="20" t="s">
        <v>669</v>
      </c>
      <c r="BH45" s="326">
        <v>6</v>
      </c>
      <c r="BI45" t="s">
        <v>679</v>
      </c>
    </row>
    <row r="46" spans="2:62" x14ac:dyDescent="0.3">
      <c r="C46" s="230" t="s">
        <v>466</v>
      </c>
      <c r="D46" s="230"/>
      <c r="E46" s="1">
        <f t="shared" si="2"/>
        <v>0</v>
      </c>
      <c r="F46" s="1">
        <f>IF(Table1[[#This Row],[Daily Vaccination
(vials)]]&gt;J45+Table1[[#This Row],[Problematic 
Vaccine 
Quantity]],IF(Table1[[#This Row],[Daily Vaccination
(vials)]]&gt;$I$26+J45,2*$I$26,$I$26),0)</f>
        <v>975</v>
      </c>
      <c r="G46" s="229">
        <f xml:space="preserve"> E46+G45-F46-Table1[[#This Row],[Outbound 20 clinics
(vials)]]</f>
        <v>3900</v>
      </c>
      <c r="H46" s="229">
        <f t="shared" si="7"/>
        <v>0</v>
      </c>
      <c r="I46" s="229">
        <f t="shared" si="6"/>
        <v>384</v>
      </c>
      <c r="J46" s="229">
        <f>J45+Table1[[#This Row],[ULT Consumption
(vials)]]-Table1[[#This Row],[Daily Vaccination
(vials)]]+Table1[[#This Row],[Problematic 
Vaccine 
Quantity]]</f>
        <v>669</v>
      </c>
      <c r="K46" s="229">
        <f>Table1[[#This Row],[ULT Ending Inventory 
(-75 deg C) (vials)]]+Table1[[#This Row],[Thawed Ending Inventory
(2-8 deg C) (vials)]]</f>
        <v>4569</v>
      </c>
      <c r="L46" s="229">
        <f t="shared" si="3"/>
        <v>2925</v>
      </c>
      <c r="M46" s="229">
        <f t="shared" si="4"/>
        <v>14625</v>
      </c>
      <c r="N46" s="229">
        <f t="shared" si="1"/>
        <v>4875</v>
      </c>
      <c r="O46" s="229" t="str">
        <f>IF(Table1[[#This Row],[Problematic 
Vaccine 
Quantity]]&gt;0, "YES","NO")</f>
        <v>NO</v>
      </c>
      <c r="P46" s="229">
        <v>0</v>
      </c>
      <c r="Q46" s="229">
        <f>Q45+(Table1[[#This Row],[Daily Vaccination
(vials)]]+Table1[[#This Row],[Outbound 20 clinics
(vials)]])*5</f>
        <v>36630</v>
      </c>
      <c r="R46" s="229"/>
      <c r="BG46" s="20" t="s">
        <v>664</v>
      </c>
      <c r="BH46" s="326">
        <v>24375</v>
      </c>
      <c r="BI46" t="s">
        <v>672</v>
      </c>
    </row>
    <row r="47" spans="2:62" x14ac:dyDescent="0.3">
      <c r="C47" s="230" t="s">
        <v>467</v>
      </c>
      <c r="D47" s="230"/>
      <c r="E47" s="1">
        <f t="shared" si="2"/>
        <v>0</v>
      </c>
      <c r="F47" s="1">
        <f>IF(Table1[[#This Row],[Daily Vaccination
(vials)]]&gt;J46+Table1[[#This Row],[Problematic 
Vaccine 
Quantity]],IF(Table1[[#This Row],[Daily Vaccination
(vials)]]&gt;$I$26+J46,2*$I$26,$I$26),0)</f>
        <v>0</v>
      </c>
      <c r="G47" s="229">
        <f xml:space="preserve"> E47+G46-F47-Table1[[#This Row],[Outbound 20 clinics
(vials)]]</f>
        <v>3900</v>
      </c>
      <c r="H47" s="229">
        <f t="shared" si="7"/>
        <v>0</v>
      </c>
      <c r="I47" s="229">
        <f t="shared" si="6"/>
        <v>384</v>
      </c>
      <c r="J47" s="229">
        <f>J46+Table1[[#This Row],[ULT Consumption
(vials)]]-Table1[[#This Row],[Daily Vaccination
(vials)]]+Table1[[#This Row],[Problematic 
Vaccine 
Quantity]]</f>
        <v>285</v>
      </c>
      <c r="K47" s="229">
        <f>Table1[[#This Row],[ULT Ending Inventory 
(-75 deg C) (vials)]]+Table1[[#This Row],[Thawed Ending Inventory
(2-8 deg C) (vials)]]</f>
        <v>4185</v>
      </c>
      <c r="L47" s="229">
        <f t="shared" si="3"/>
        <v>2925</v>
      </c>
      <c r="M47" s="229">
        <f t="shared" si="4"/>
        <v>14625</v>
      </c>
      <c r="N47" s="229">
        <f t="shared" si="1"/>
        <v>4875</v>
      </c>
      <c r="O47" s="229" t="str">
        <f>IF(Table1[[#This Row],[Problematic 
Vaccine 
Quantity]]&gt;0, "YES","NO")</f>
        <v>NO</v>
      </c>
      <c r="P47" s="229">
        <v>0</v>
      </c>
      <c r="Q47" s="229">
        <f>Q46+(Table1[[#This Row],[Daily Vaccination
(vials)]]+Table1[[#This Row],[Outbound 20 clinics
(vials)]])*5</f>
        <v>38550</v>
      </c>
      <c r="R47" s="229"/>
      <c r="BG47" s="20" t="s">
        <v>665</v>
      </c>
      <c r="BH47" s="326">
        <v>2760</v>
      </c>
      <c r="BI47" t="s">
        <v>671</v>
      </c>
    </row>
    <row r="48" spans="2:62" x14ac:dyDescent="0.3">
      <c r="C48" s="230" t="s">
        <v>468</v>
      </c>
      <c r="D48" s="230"/>
      <c r="E48" s="1">
        <f t="shared" si="2"/>
        <v>0</v>
      </c>
      <c r="F48" s="1">
        <f>IF(Table1[[#This Row],[Daily Vaccination
(vials)]]&gt;J47+Table1[[#This Row],[Problematic 
Vaccine 
Quantity]],IF(Table1[[#This Row],[Daily Vaccination
(vials)]]&gt;$I$26+J47,2*$I$26,$I$26),0)</f>
        <v>975</v>
      </c>
      <c r="G48" s="229">
        <f xml:space="preserve"> E48+G47-F48-Table1[[#This Row],[Outbound 20 clinics
(vials)]]</f>
        <v>2925</v>
      </c>
      <c r="H48" s="229">
        <f t="shared" si="7"/>
        <v>0</v>
      </c>
      <c r="I48" s="229">
        <f t="shared" si="6"/>
        <v>384</v>
      </c>
      <c r="J48" s="229">
        <f>J47+Table1[[#This Row],[ULT Consumption
(vials)]]-Table1[[#This Row],[Daily Vaccination
(vials)]]+Table1[[#This Row],[Problematic 
Vaccine 
Quantity]]</f>
        <v>876</v>
      </c>
      <c r="K48" s="229">
        <f>Table1[[#This Row],[ULT Ending Inventory 
(-75 deg C) (vials)]]+Table1[[#This Row],[Thawed Ending Inventory
(2-8 deg C) (vials)]]</f>
        <v>3801</v>
      </c>
      <c r="L48" s="229">
        <f t="shared" si="3"/>
        <v>2925</v>
      </c>
      <c r="M48" s="229">
        <f t="shared" si="4"/>
        <v>14625</v>
      </c>
      <c r="N48" s="229">
        <f t="shared" si="1"/>
        <v>4875</v>
      </c>
      <c r="O48" s="229" t="str">
        <f>IF(Table1[[#This Row],[Problematic 
Vaccine 
Quantity]]&gt;0, "YES","NO")</f>
        <v>NO</v>
      </c>
      <c r="P48" s="229">
        <v>0</v>
      </c>
      <c r="Q48" s="229">
        <f>Q47+(Table1[[#This Row],[Daily Vaccination
(vials)]]+Table1[[#This Row],[Outbound 20 clinics
(vials)]])*5</f>
        <v>40470</v>
      </c>
      <c r="R48" s="229"/>
      <c r="AB48" t="s">
        <v>527</v>
      </c>
      <c r="AR48">
        <v>15</v>
      </c>
      <c r="AS48" t="s">
        <v>483</v>
      </c>
      <c r="BG48" s="20" t="s">
        <v>666</v>
      </c>
      <c r="BH48" s="326">
        <v>0.1</v>
      </c>
      <c r="BI48" t="s">
        <v>667</v>
      </c>
    </row>
    <row r="49" spans="3:66" x14ac:dyDescent="0.3">
      <c r="C49" s="230" t="s">
        <v>469</v>
      </c>
      <c r="D49" s="230"/>
      <c r="E49" s="1">
        <f t="shared" si="2"/>
        <v>0</v>
      </c>
      <c r="F49" s="1">
        <f>IF(Table1[[#This Row],[Daily Vaccination
(vials)]]&gt;J48+Table1[[#This Row],[Problematic 
Vaccine 
Quantity]],IF(Table1[[#This Row],[Daily Vaccination
(vials)]]&gt;$I$26+J48,2*$I$26,$I$26),0)</f>
        <v>0</v>
      </c>
      <c r="G49" s="229">
        <f xml:space="preserve"> E49+G48-F49-Table1[[#This Row],[Outbound 20 clinics
(vials)]]</f>
        <v>2925</v>
      </c>
      <c r="H49" s="229">
        <f t="shared" si="7"/>
        <v>0</v>
      </c>
      <c r="I49" s="229">
        <f t="shared" si="6"/>
        <v>384</v>
      </c>
      <c r="J49" s="229">
        <f>J48+Table1[[#This Row],[ULT Consumption
(vials)]]-Table1[[#This Row],[Daily Vaccination
(vials)]]+Table1[[#This Row],[Problematic 
Vaccine 
Quantity]]</f>
        <v>492</v>
      </c>
      <c r="K49" s="229">
        <f>Table1[[#This Row],[ULT Ending Inventory 
(-75 deg C) (vials)]]+Table1[[#This Row],[Thawed Ending Inventory
(2-8 deg C) (vials)]]</f>
        <v>3417</v>
      </c>
      <c r="L49" s="229">
        <f t="shared" si="3"/>
        <v>2925</v>
      </c>
      <c r="M49" s="229">
        <f t="shared" si="4"/>
        <v>14625</v>
      </c>
      <c r="N49" s="229">
        <f t="shared" si="1"/>
        <v>4875</v>
      </c>
      <c r="O49" s="229" t="str">
        <f>IF(Table1[[#This Row],[Problematic 
Vaccine 
Quantity]]&gt;0, "YES","NO")</f>
        <v>NO</v>
      </c>
      <c r="P49" s="229">
        <v>0</v>
      </c>
      <c r="Q49" s="229">
        <f>Q48+(Table1[[#This Row],[Daily Vaccination
(vials)]]+Table1[[#This Row],[Outbound 20 clinics
(vials)]])*5</f>
        <v>42390</v>
      </c>
      <c r="R49" s="229"/>
      <c r="AR49">
        <v>8</v>
      </c>
      <c r="AS49" t="s">
        <v>482</v>
      </c>
      <c r="BG49" s="20" t="s">
        <v>668</v>
      </c>
      <c r="BH49" s="326">
        <f>BH48*BH46</f>
        <v>2437.5</v>
      </c>
      <c r="BI49" t="s">
        <v>673</v>
      </c>
    </row>
    <row r="50" spans="3:66" x14ac:dyDescent="0.3">
      <c r="C50" s="230" t="s">
        <v>470</v>
      </c>
      <c r="D50" s="230"/>
      <c r="E50" s="1">
        <f t="shared" si="2"/>
        <v>0</v>
      </c>
      <c r="F50" s="1">
        <f>IF(Table1[[#This Row],[Daily Vaccination
(vials)]]&gt;J49+Table1[[#This Row],[Problematic 
Vaccine 
Quantity]],IF(Table1[[#This Row],[Daily Vaccination
(vials)]]&gt;$I$26+J49,2*$I$26,$I$26),0)</f>
        <v>0</v>
      </c>
      <c r="G50" s="229">
        <f xml:space="preserve"> E50+G49-F50-Table1[[#This Row],[Outbound 20 clinics
(vials)]]</f>
        <v>2925</v>
      </c>
      <c r="H50" s="229">
        <f t="shared" si="7"/>
        <v>0</v>
      </c>
      <c r="I50" s="229">
        <f t="shared" si="6"/>
        <v>384</v>
      </c>
      <c r="J50" s="229">
        <f>J49+Table1[[#This Row],[ULT Consumption
(vials)]]-Table1[[#This Row],[Daily Vaccination
(vials)]]+Table1[[#This Row],[Problematic 
Vaccine 
Quantity]]</f>
        <v>108</v>
      </c>
      <c r="K50" s="229">
        <f>Table1[[#This Row],[ULT Ending Inventory 
(-75 deg C) (vials)]]+Table1[[#This Row],[Thawed Ending Inventory
(2-8 deg C) (vials)]]</f>
        <v>3033</v>
      </c>
      <c r="L50" s="229">
        <f t="shared" si="3"/>
        <v>2925</v>
      </c>
      <c r="M50" s="229">
        <f t="shared" si="4"/>
        <v>14625</v>
      </c>
      <c r="N50" s="229">
        <f t="shared" si="1"/>
        <v>4875</v>
      </c>
      <c r="O50" s="229" t="str">
        <f>IF(Table1[[#This Row],[Problematic 
Vaccine 
Quantity]]&gt;0, "YES","NO")</f>
        <v>NO</v>
      </c>
      <c r="P50" s="229">
        <v>0</v>
      </c>
      <c r="Q50" s="229">
        <f>Q49+(Table1[[#This Row],[Daily Vaccination
(vials)]]+Table1[[#This Row],[Outbound 20 clinics
(vials)]])*5</f>
        <v>44310</v>
      </c>
      <c r="R50" s="229"/>
      <c r="AR50">
        <v>150</v>
      </c>
      <c r="AS50" t="s">
        <v>484</v>
      </c>
      <c r="BC50">
        <v>975</v>
      </c>
      <c r="BG50" s="20" t="s">
        <v>662</v>
      </c>
      <c r="BH50" s="326">
        <f>MROUND(AVERAGE(BG58:BH87)*2,1)</f>
        <v>0</v>
      </c>
    </row>
    <row r="51" spans="3:66" x14ac:dyDescent="0.3">
      <c r="C51" s="230" t="s">
        <v>471</v>
      </c>
      <c r="D51" s="230"/>
      <c r="E51" s="1">
        <f t="shared" si="2"/>
        <v>5850</v>
      </c>
      <c r="F51" s="1">
        <f>IF(Table1[[#This Row],[Daily Vaccination
(vials)]]&gt;J50+Table1[[#This Row],[Problematic 
Vaccine 
Quantity]],IF(Table1[[#This Row],[Daily Vaccination
(vials)]]&gt;$I$26+J50,2*$I$26,$I$26),0)</f>
        <v>975</v>
      </c>
      <c r="G51" s="229">
        <f xml:space="preserve"> E51+G50-F51-Table1[[#This Row],[Outbound 20 clinics
(vials)]]</f>
        <v>7800</v>
      </c>
      <c r="H51" s="229">
        <f t="shared" si="7"/>
        <v>0</v>
      </c>
      <c r="I51" s="229">
        <f t="shared" si="6"/>
        <v>384</v>
      </c>
      <c r="J51" s="229">
        <f>J50+Table1[[#This Row],[ULT Consumption
(vials)]]-Table1[[#This Row],[Daily Vaccination
(vials)]]+Table1[[#This Row],[Problematic 
Vaccine 
Quantity]]</f>
        <v>699</v>
      </c>
      <c r="K51" s="229">
        <f>Table1[[#This Row],[ULT Ending Inventory 
(-75 deg C) (vials)]]+Table1[[#This Row],[Thawed Ending Inventory
(2-8 deg C) (vials)]]</f>
        <v>8499</v>
      </c>
      <c r="L51" s="229">
        <f t="shared" si="3"/>
        <v>2925</v>
      </c>
      <c r="M51" s="229">
        <f t="shared" si="4"/>
        <v>14625</v>
      </c>
      <c r="N51" s="229">
        <f t="shared" si="1"/>
        <v>4875</v>
      </c>
      <c r="O51" s="229" t="str">
        <f>IF(Table1[[#This Row],[Problematic 
Vaccine 
Quantity]]&gt;0, "YES","NO")</f>
        <v>NO</v>
      </c>
      <c r="P51" s="229">
        <v>0</v>
      </c>
      <c r="Q51" s="229">
        <f>Q50+(Table1[[#This Row],[Daily Vaccination
(vials)]]+Table1[[#This Row],[Outbound 20 clinics
(vials)]])*5</f>
        <v>46230</v>
      </c>
      <c r="R51" s="229"/>
      <c r="AR51">
        <f>AR50*AR49*60/AR48</f>
        <v>4800</v>
      </c>
      <c r="AS51" t="s">
        <v>485</v>
      </c>
      <c r="BA51" t="s">
        <v>427</v>
      </c>
      <c r="BB51">
        <v>6</v>
      </c>
      <c r="BC51">
        <f>BB51*BC50</f>
        <v>5850</v>
      </c>
      <c r="BD51" t="s">
        <v>367</v>
      </c>
      <c r="BG51" s="20" t="s">
        <v>291</v>
      </c>
      <c r="BH51" s="331">
        <v>2</v>
      </c>
      <c r="BI51" t="s">
        <v>293</v>
      </c>
      <c r="BN51">
        <f>230*12</f>
        <v>2760</v>
      </c>
    </row>
    <row r="52" spans="3:66" x14ac:dyDescent="0.3">
      <c r="C52" s="230" t="s">
        <v>472</v>
      </c>
      <c r="D52" s="230"/>
      <c r="E52" s="1">
        <f t="shared" si="2"/>
        <v>0</v>
      </c>
      <c r="F52" s="1">
        <f>IF(Table1[[#This Row],[Daily Vaccination
(vials)]]&gt;J51+Table1[[#This Row],[Problematic 
Vaccine 
Quantity]],IF(Table1[[#This Row],[Daily Vaccination
(vials)]]&gt;$I$26+J51,2*$I$26,$I$26),0)</f>
        <v>0</v>
      </c>
      <c r="G52" s="229">
        <f xml:space="preserve"> E52+G51-F52-Table1[[#This Row],[Outbound 20 clinics
(vials)]]</f>
        <v>7800</v>
      </c>
      <c r="H52" s="229">
        <f t="shared" si="7"/>
        <v>0</v>
      </c>
      <c r="I52" s="229">
        <f t="shared" si="6"/>
        <v>384</v>
      </c>
      <c r="J52" s="229">
        <f>J51+Table1[[#This Row],[ULT Consumption
(vials)]]-Table1[[#This Row],[Daily Vaccination
(vials)]]+Table1[[#This Row],[Problematic 
Vaccine 
Quantity]]</f>
        <v>315</v>
      </c>
      <c r="K52" s="229">
        <f>Table1[[#This Row],[ULT Ending Inventory 
(-75 deg C) (vials)]]+Table1[[#This Row],[Thawed Ending Inventory
(2-8 deg C) (vials)]]</f>
        <v>8115</v>
      </c>
      <c r="L52" s="229">
        <f t="shared" si="3"/>
        <v>2925</v>
      </c>
      <c r="M52" s="229">
        <f t="shared" si="4"/>
        <v>14625</v>
      </c>
      <c r="N52" s="229">
        <f t="shared" si="1"/>
        <v>4875</v>
      </c>
      <c r="O52" s="229" t="str">
        <f>IF(Table1[[#This Row],[Problematic 
Vaccine 
Quantity]]&gt;0, "YES","NO")</f>
        <v>NO</v>
      </c>
      <c r="P52" s="229">
        <v>0</v>
      </c>
      <c r="Q52" s="229">
        <f>Q51+(Table1[[#This Row],[Daily Vaccination
(vials)]]+Table1[[#This Row],[Outbound 20 clinics
(vials)]])*5</f>
        <v>48150</v>
      </c>
      <c r="R52" s="229"/>
      <c r="BG52" s="293" t="s">
        <v>342</v>
      </c>
      <c r="BH52" s="331">
        <v>14625</v>
      </c>
      <c r="BI52" t="s">
        <v>341</v>
      </c>
      <c r="BJ52" s="331">
        <f>BH52/$BC$55</f>
        <v>15</v>
      </c>
      <c r="BK52" t="s">
        <v>435</v>
      </c>
    </row>
    <row r="53" spans="3:66" x14ac:dyDescent="0.3">
      <c r="C53" s="230" t="s">
        <v>473</v>
      </c>
      <c r="D53" s="230"/>
      <c r="E53" s="1">
        <f t="shared" si="2"/>
        <v>0</v>
      </c>
      <c r="F53" s="1">
        <f>IF(Table1[[#This Row],[Daily Vaccination
(vials)]]&gt;J52+Table1[[#This Row],[Problematic 
Vaccine 
Quantity]],IF(Table1[[#This Row],[Daily Vaccination
(vials)]]&gt;$I$26+J52,2*$I$26,$I$26),0)</f>
        <v>975</v>
      </c>
      <c r="G53" s="229">
        <f xml:space="preserve"> E53+G52-F53-Table1[[#This Row],[Outbound 20 clinics
(vials)]]</f>
        <v>6825</v>
      </c>
      <c r="H53" s="229">
        <f t="shared" si="7"/>
        <v>0</v>
      </c>
      <c r="I53" s="229">
        <f t="shared" si="6"/>
        <v>384</v>
      </c>
      <c r="J53" s="229">
        <f>J52+Table1[[#This Row],[ULT Consumption
(vials)]]-Table1[[#This Row],[Daily Vaccination
(vials)]]+Table1[[#This Row],[Problematic 
Vaccine 
Quantity]]</f>
        <v>906</v>
      </c>
      <c r="K53" s="229">
        <f>Table1[[#This Row],[ULT Ending Inventory 
(-75 deg C) (vials)]]+Table1[[#This Row],[Thawed Ending Inventory
(2-8 deg C) (vials)]]</f>
        <v>7731</v>
      </c>
      <c r="L53" s="229">
        <f t="shared" si="3"/>
        <v>2925</v>
      </c>
      <c r="M53" s="229">
        <f t="shared" si="4"/>
        <v>14625</v>
      </c>
      <c r="N53" s="229">
        <f t="shared" si="1"/>
        <v>4875</v>
      </c>
      <c r="O53" s="229" t="str">
        <f>IF(Table1[[#This Row],[Problematic 
Vaccine 
Quantity]]&gt;0, "YES","NO")</f>
        <v>NO</v>
      </c>
      <c r="P53" s="229">
        <v>0</v>
      </c>
      <c r="Q53" s="229">
        <f>Q52+(Table1[[#This Row],[Daily Vaccination
(vials)]]+Table1[[#This Row],[Outbound 20 clinics
(vials)]])*5</f>
        <v>50070</v>
      </c>
      <c r="R53" s="229"/>
      <c r="AD53" s="295" t="s">
        <v>491</v>
      </c>
      <c r="BG53" s="231" t="s">
        <v>300</v>
      </c>
      <c r="BH53" s="332">
        <v>2925</v>
      </c>
      <c r="BI53" t="s">
        <v>341</v>
      </c>
      <c r="BJ53" s="331">
        <f>BH53/BC50</f>
        <v>3</v>
      </c>
      <c r="BK53" t="s">
        <v>435</v>
      </c>
    </row>
    <row r="54" spans="3:66" ht="21" x14ac:dyDescent="0.4">
      <c r="C54" s="230" t="s">
        <v>474</v>
      </c>
      <c r="D54" s="230"/>
      <c r="E54" s="1">
        <f t="shared" si="2"/>
        <v>0</v>
      </c>
      <c r="F54" s="1">
        <f>IF(Table1[[#This Row],[Daily Vaccination
(vials)]]&gt;J53+Table1[[#This Row],[Problematic 
Vaccine 
Quantity]],IF(Table1[[#This Row],[Daily Vaccination
(vials)]]&gt;$I$26+J53,2*$I$26,$I$26),0)</f>
        <v>0</v>
      </c>
      <c r="G54" s="229">
        <f xml:space="preserve"> E54+G53-F54-Table1[[#This Row],[Outbound 20 clinics
(vials)]]</f>
        <v>6825</v>
      </c>
      <c r="H54" s="229">
        <f t="shared" si="7"/>
        <v>0</v>
      </c>
      <c r="I54" s="229">
        <f t="shared" si="6"/>
        <v>384</v>
      </c>
      <c r="J54" s="229">
        <f>J53+Table1[[#This Row],[ULT Consumption
(vials)]]-Table1[[#This Row],[Daily Vaccination
(vials)]]+Table1[[#This Row],[Problematic 
Vaccine 
Quantity]]</f>
        <v>522</v>
      </c>
      <c r="K54" s="229">
        <f>Table1[[#This Row],[ULT Ending Inventory 
(-75 deg C) (vials)]]+Table1[[#This Row],[Thawed Ending Inventory
(2-8 deg C) (vials)]]</f>
        <v>7347</v>
      </c>
      <c r="L54" s="229">
        <f t="shared" si="3"/>
        <v>2925</v>
      </c>
      <c r="M54" s="229">
        <f t="shared" si="4"/>
        <v>14625</v>
      </c>
      <c r="N54" s="229">
        <f t="shared" si="1"/>
        <v>4875</v>
      </c>
      <c r="O54" s="229" t="str">
        <f>IF(Table1[[#This Row],[Problematic 
Vaccine 
Quantity]]&gt;0, "YES","NO")</f>
        <v>NO</v>
      </c>
      <c r="P54" s="229">
        <v>0</v>
      </c>
      <c r="Q54" s="229">
        <f>Q53+(Table1[[#This Row],[Daily Vaccination
(vials)]]+Table1[[#This Row],[Outbound 20 clinics
(vials)]])*5</f>
        <v>51990</v>
      </c>
      <c r="R54" s="229"/>
      <c r="T54" s="322" t="s">
        <v>507</v>
      </c>
      <c r="U54" s="40"/>
      <c r="V54" t="s">
        <v>502</v>
      </c>
      <c r="AD54" s="309" t="s">
        <v>506</v>
      </c>
      <c r="AE54" s="309"/>
      <c r="AH54" t="s">
        <v>503</v>
      </c>
      <c r="BG54" s="45" t="s">
        <v>299</v>
      </c>
      <c r="BH54" s="331">
        <v>5850</v>
      </c>
      <c r="BI54" t="s">
        <v>341</v>
      </c>
      <c r="BJ54" s="331">
        <f>BH54/BC50</f>
        <v>6</v>
      </c>
      <c r="BK54" t="s">
        <v>435</v>
      </c>
    </row>
    <row r="55" spans="3:66" ht="57.6" x14ac:dyDescent="0.3">
      <c r="C55" s="230" t="s">
        <v>475</v>
      </c>
      <c r="D55" s="230"/>
      <c r="E55" s="1">
        <f t="shared" si="2"/>
        <v>0</v>
      </c>
      <c r="F55" s="1">
        <f>IF(Table1[[#This Row],[Daily Vaccination
(vials)]]&gt;J54+Table1[[#This Row],[Problematic 
Vaccine 
Quantity]],IF(Table1[[#This Row],[Daily Vaccination
(vials)]]&gt;$I$26+J54,2*$I$26,$I$26),0)</f>
        <v>0</v>
      </c>
      <c r="G55" s="229">
        <f xml:space="preserve"> E55+G54-F55-Table1[[#This Row],[Outbound 20 clinics
(vials)]]</f>
        <v>6825</v>
      </c>
      <c r="H55" s="229">
        <f t="shared" si="7"/>
        <v>0</v>
      </c>
      <c r="I55" s="229">
        <f t="shared" si="6"/>
        <v>384</v>
      </c>
      <c r="J55" s="229">
        <f>J54+Table1[[#This Row],[ULT Consumption
(vials)]]-Table1[[#This Row],[Daily Vaccination
(vials)]]+Table1[[#This Row],[Problematic 
Vaccine 
Quantity]]</f>
        <v>138</v>
      </c>
      <c r="K55" s="229">
        <f>Table1[[#This Row],[ULT Ending Inventory 
(-75 deg C) (vials)]]+Table1[[#This Row],[Thawed Ending Inventory
(2-8 deg C) (vials)]]</f>
        <v>6963</v>
      </c>
      <c r="L55" s="229">
        <f t="shared" si="3"/>
        <v>2925</v>
      </c>
      <c r="M55" s="229">
        <f t="shared" si="4"/>
        <v>14625</v>
      </c>
      <c r="N55" s="229">
        <f t="shared" si="1"/>
        <v>4875</v>
      </c>
      <c r="O55" s="229" t="str">
        <f>IF(Table1[[#This Row],[Problematic 
Vaccine 
Quantity]]&gt;0, "YES","NO")</f>
        <v>NO</v>
      </c>
      <c r="P55" s="229">
        <v>0</v>
      </c>
      <c r="Q55" s="229">
        <f>Q54+(Table1[[#This Row],[Daily Vaccination
(vials)]]+Table1[[#This Row],[Outbound 20 clinics
(vials)]])*5</f>
        <v>53910</v>
      </c>
      <c r="R55" s="229"/>
      <c r="T55" s="323" t="s">
        <v>68</v>
      </c>
      <c r="U55" s="323" t="s">
        <v>420</v>
      </c>
      <c r="V55" s="324" t="s">
        <v>409</v>
      </c>
      <c r="W55" s="324" t="s">
        <v>302</v>
      </c>
      <c r="X55" s="323" t="s">
        <v>438</v>
      </c>
      <c r="Y55" s="323" t="s">
        <v>511</v>
      </c>
      <c r="Z55" s="323" t="s">
        <v>436</v>
      </c>
      <c r="AA55" s="323" t="s">
        <v>437</v>
      </c>
      <c r="AB55" s="323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31" t="s">
        <v>451</v>
      </c>
      <c r="AQ55" s="931"/>
      <c r="AS55" s="37" t="s">
        <v>498</v>
      </c>
      <c r="AV55" s="932" t="s">
        <v>521</v>
      </c>
      <c r="AW55" s="931"/>
      <c r="AZ55" s="932" t="s">
        <v>522</v>
      </c>
      <c r="BA55" s="931"/>
      <c r="BB55" t="s">
        <v>385</v>
      </c>
      <c r="BC55">
        <v>975</v>
      </c>
      <c r="BE55" s="932" t="s">
        <v>524</v>
      </c>
      <c r="BF55" s="931"/>
      <c r="BG55" s="45" t="s">
        <v>532</v>
      </c>
      <c r="BH55" s="331">
        <v>4875</v>
      </c>
      <c r="BI55" t="s">
        <v>341</v>
      </c>
      <c r="BJ55" s="331"/>
      <c r="BK55" t="s">
        <v>435</v>
      </c>
    </row>
    <row r="56" spans="3:66" ht="43.2" x14ac:dyDescent="0.3">
      <c r="C56" s="230" t="s">
        <v>476</v>
      </c>
      <c r="D56" s="230"/>
      <c r="E56" s="1">
        <f t="shared" si="2"/>
        <v>0</v>
      </c>
      <c r="F56" s="1">
        <f>IF(Table1[[#This Row],[Daily Vaccination
(vials)]]&gt;J55+Table1[[#This Row],[Problematic 
Vaccine 
Quantity]],IF(Table1[[#This Row],[Daily Vaccination
(vials)]]&gt;$I$26+J55,2*$I$26,$I$26),0)</f>
        <v>975</v>
      </c>
      <c r="G56" s="229">
        <f xml:space="preserve"> E56+G55-F56-Table1[[#This Row],[Outbound 20 clinics
(vials)]]</f>
        <v>5850</v>
      </c>
      <c r="H56" s="229">
        <f t="shared" si="7"/>
        <v>0</v>
      </c>
      <c r="I56" s="229">
        <f t="shared" si="6"/>
        <v>384</v>
      </c>
      <c r="J56" s="229">
        <f>J55+Table1[[#This Row],[ULT Consumption
(vials)]]-Table1[[#This Row],[Daily Vaccination
(vials)]]+Table1[[#This Row],[Problematic 
Vaccine 
Quantity]]</f>
        <v>729</v>
      </c>
      <c r="K56" s="229">
        <f>Table1[[#This Row],[ULT Ending Inventory 
(-75 deg C) (vials)]]+Table1[[#This Row],[Thawed Ending Inventory
(2-8 deg C) (vials)]]</f>
        <v>6579</v>
      </c>
      <c r="L56" s="229">
        <f t="shared" si="3"/>
        <v>2925</v>
      </c>
      <c r="M56" s="229">
        <f t="shared" si="4"/>
        <v>14625</v>
      </c>
      <c r="N56" s="229">
        <f t="shared" si="1"/>
        <v>4875</v>
      </c>
      <c r="O56" s="229" t="str">
        <f>IF(Table1[[#This Row],[Problematic 
Vaccine 
Quantity]]&gt;0, "YES","NO")</f>
        <v>NO</v>
      </c>
      <c r="P56" s="229">
        <v>0</v>
      </c>
      <c r="Q56" s="229">
        <f>Q55+(Table1[[#This Row],[Daily Vaccination
(vials)]]+Table1[[#This Row],[Outbound 20 clinics
(vials)]])*5</f>
        <v>55830</v>
      </c>
      <c r="R56" s="229"/>
      <c r="T56" s="311" t="s">
        <v>414</v>
      </c>
      <c r="U56" s="937">
        <v>44186</v>
      </c>
      <c r="V56" s="319" t="s">
        <v>410</v>
      </c>
      <c r="W56" s="319" t="s">
        <v>10</v>
      </c>
      <c r="X56" s="310"/>
      <c r="Y56" s="310"/>
      <c r="Z56" s="326">
        <v>4</v>
      </c>
      <c r="AA56" s="310"/>
      <c r="AB56" s="310" t="s">
        <v>435</v>
      </c>
      <c r="AD56" s="311" t="s">
        <v>414</v>
      </c>
      <c r="AE56" s="937">
        <v>44186</v>
      </c>
      <c r="AF56" s="312" t="s">
        <v>417</v>
      </c>
      <c r="AG56" s="312" t="s">
        <v>418</v>
      </c>
      <c r="AH56" s="310"/>
      <c r="AI56" s="310"/>
      <c r="AJ56" s="310"/>
      <c r="AK56" s="326">
        <v>100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324" t="s">
        <v>486</v>
      </c>
      <c r="AV56" s="69" t="s">
        <v>68</v>
      </c>
      <c r="AW56" s="69" t="s">
        <v>420</v>
      </c>
      <c r="AX56" s="318" t="s">
        <v>528</v>
      </c>
      <c r="AZ56" s="324" t="s">
        <v>420</v>
      </c>
      <c r="BA56" s="324" t="s">
        <v>292</v>
      </c>
      <c r="BB56" s="323" t="s">
        <v>523</v>
      </c>
      <c r="BC56" s="324" t="s">
        <v>406</v>
      </c>
      <c r="BE56" s="324" t="s">
        <v>420</v>
      </c>
      <c r="BF56" s="324" t="s">
        <v>292</v>
      </c>
      <c r="BG56" s="324" t="s">
        <v>290</v>
      </c>
      <c r="BH56" s="324" t="s">
        <v>490</v>
      </c>
      <c r="BI56" s="324" t="s">
        <v>406</v>
      </c>
      <c r="BK56" s="37"/>
    </row>
    <row r="57" spans="3:66" x14ac:dyDescent="0.3">
      <c r="C57" s="230" t="s">
        <v>477</v>
      </c>
      <c r="D57" s="230"/>
      <c r="E57" s="1">
        <f t="shared" si="2"/>
        <v>0</v>
      </c>
      <c r="F57" s="1">
        <f>IF(Table1[[#This Row],[Daily Vaccination
(vials)]]&gt;J56+Table1[[#This Row],[Problematic 
Vaccine 
Quantity]],IF(Table1[[#This Row],[Daily Vaccination
(vials)]]&gt;$I$26+J56,2*$I$26,$I$26),0)</f>
        <v>0</v>
      </c>
      <c r="G57" s="229">
        <f xml:space="preserve"> E57+G56-F57-Table1[[#This Row],[Outbound 20 clinics
(vials)]]</f>
        <v>5850</v>
      </c>
      <c r="H57" s="229">
        <f t="shared" si="7"/>
        <v>0</v>
      </c>
      <c r="I57" s="229">
        <f t="shared" si="6"/>
        <v>384</v>
      </c>
      <c r="J57" s="229">
        <f>J56+Table1[[#This Row],[ULT Consumption
(vials)]]-Table1[[#This Row],[Daily Vaccination
(vials)]]+Table1[[#This Row],[Problematic 
Vaccine 
Quantity]]</f>
        <v>345</v>
      </c>
      <c r="K57" s="229">
        <f>Table1[[#This Row],[ULT Ending Inventory 
(-75 deg C) (vials)]]+Table1[[#This Row],[Thawed Ending Inventory
(2-8 deg C) (vials)]]</f>
        <v>6195</v>
      </c>
      <c r="L57" s="229">
        <f t="shared" si="3"/>
        <v>2925</v>
      </c>
      <c r="M57" s="229">
        <f t="shared" si="4"/>
        <v>14625</v>
      </c>
      <c r="N57" s="229">
        <f t="shared" si="1"/>
        <v>4875</v>
      </c>
      <c r="O57" s="229" t="str">
        <f>IF(Table1[[#This Row],[Problematic 
Vaccine 
Quantity]]&gt;0, "YES","NO")</f>
        <v>NO</v>
      </c>
      <c r="P57" s="229">
        <v>0</v>
      </c>
      <c r="Q57" s="229">
        <f>Q56+(Table1[[#This Row],[Daily Vaccination
(vials)]]+Table1[[#This Row],[Outbound 20 clinics
(vials)]])*5</f>
        <v>57750</v>
      </c>
      <c r="R57" s="229"/>
      <c r="T57" s="310"/>
      <c r="U57" s="938"/>
      <c r="V57" s="314" t="s">
        <v>424</v>
      </c>
      <c r="W57" s="314" t="s">
        <v>11</v>
      </c>
      <c r="X57" s="310"/>
      <c r="Y57" s="310"/>
      <c r="Z57" s="326">
        <v>1</v>
      </c>
      <c r="AA57" s="310"/>
      <c r="AB57" s="310" t="s">
        <v>435</v>
      </c>
      <c r="AD57" s="310"/>
      <c r="AE57" s="938"/>
      <c r="AF57" s="313" t="s">
        <v>415</v>
      </c>
      <c r="AG57" s="313" t="s">
        <v>419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1">
        <f>'Indv Hosp fcast_2_10'!K11</f>
        <v>1920</v>
      </c>
      <c r="AS57" s="327">
        <f>AR57/4875*975</f>
        <v>384</v>
      </c>
      <c r="AT57" s="329">
        <f>AS57/975</f>
        <v>0.39384615384615385</v>
      </c>
      <c r="AV57" s="310" t="s">
        <v>452</v>
      </c>
      <c r="AW57" s="328" t="s">
        <v>489</v>
      </c>
      <c r="AX57" s="71">
        <v>0</v>
      </c>
      <c r="AZ57" s="328" t="s">
        <v>489</v>
      </c>
      <c r="BA57" s="310"/>
      <c r="BB57" s="310"/>
      <c r="BC57" s="326">
        <f>AL66</f>
        <v>195</v>
      </c>
      <c r="BE57" s="328" t="s">
        <v>489</v>
      </c>
      <c r="BF57" s="310"/>
      <c r="BG57" s="310"/>
      <c r="BH57" s="310"/>
      <c r="BI57" s="326">
        <f>AA63</f>
        <v>4</v>
      </c>
    </row>
    <row r="58" spans="3:66" ht="15" thickBot="1" x14ac:dyDescent="0.35">
      <c r="C58" s="230" t="s">
        <v>478</v>
      </c>
      <c r="D58" s="230"/>
      <c r="E58" s="1">
        <f t="shared" si="2"/>
        <v>0</v>
      </c>
      <c r="F58" s="1">
        <f>IF(Table1[[#This Row],[Daily Vaccination
(vials)]]&gt;J57+Table1[[#This Row],[Problematic 
Vaccine 
Quantity]],IF(Table1[[#This Row],[Daily Vaccination
(vials)]]&gt;$I$26+J57,2*$I$26,$I$26),0)</f>
        <v>975</v>
      </c>
      <c r="G58" s="229">
        <f xml:space="preserve"> E58+G57-F58-Table1[[#This Row],[Outbound 20 clinics
(vials)]]</f>
        <v>4875</v>
      </c>
      <c r="H58" s="229">
        <f t="shared" si="7"/>
        <v>0</v>
      </c>
      <c r="I58" s="229">
        <f t="shared" si="6"/>
        <v>384</v>
      </c>
      <c r="J58" s="229">
        <f>J57+Table1[[#This Row],[ULT Consumption
(vials)]]-Table1[[#This Row],[Daily Vaccination
(vials)]]+Table1[[#This Row],[Problematic 
Vaccine 
Quantity]]</f>
        <v>936</v>
      </c>
      <c r="K58" s="229">
        <f>Table1[[#This Row],[ULT Ending Inventory 
(-75 deg C) (vials)]]+Table1[[#This Row],[Thawed Ending Inventory
(2-8 deg C) (vials)]]</f>
        <v>5811</v>
      </c>
      <c r="L58" s="229">
        <f t="shared" si="3"/>
        <v>2925</v>
      </c>
      <c r="M58" s="229">
        <f t="shared" si="4"/>
        <v>14625</v>
      </c>
      <c r="N58" s="229">
        <f t="shared" si="1"/>
        <v>4875</v>
      </c>
      <c r="O58" s="229" t="str">
        <f>IF(Table1[[#This Row],[Problematic 
Vaccine 
Quantity]]&gt;0, "YES","NO")</f>
        <v>NO</v>
      </c>
      <c r="P58" s="229">
        <v>0</v>
      </c>
      <c r="Q58" s="229">
        <f>Q57+(Table1[[#This Row],[Daily Vaccination
(vials)]]+Table1[[#This Row],[Outbound 20 clinics
(vials)]])*5</f>
        <v>59670</v>
      </c>
      <c r="R58" s="229"/>
      <c r="T58" s="317"/>
      <c r="U58" s="939"/>
      <c r="V58" s="317"/>
      <c r="W58" s="317"/>
      <c r="X58" s="317"/>
      <c r="Y58" s="317"/>
      <c r="Z58" s="317"/>
      <c r="AA58" s="317">
        <f>Z56+Z57</f>
        <v>5</v>
      </c>
      <c r="AB58" s="317" t="s">
        <v>435</v>
      </c>
      <c r="AD58" s="317"/>
      <c r="AE58" s="939"/>
      <c r="AF58" s="317"/>
      <c r="AG58" s="317"/>
      <c r="AH58" s="317"/>
      <c r="AI58" s="317"/>
      <c r="AJ58" s="317"/>
      <c r="AK58" s="317"/>
      <c r="AL58" s="317">
        <f>AK56+AK57</f>
        <v>180</v>
      </c>
      <c r="AM58" s="317" t="s">
        <v>341</v>
      </c>
      <c r="AP58" s="310"/>
      <c r="AQ58" s="328" t="s">
        <v>454</v>
      </c>
      <c r="AR58" s="71">
        <f t="shared" ref="AR58:AR87" si="8">AR57</f>
        <v>1920</v>
      </c>
      <c r="AS58" s="71">
        <f>AR58/4875*975</f>
        <v>384</v>
      </c>
      <c r="AT58" s="329">
        <f>AS58/975</f>
        <v>0.39384615384615385</v>
      </c>
      <c r="AV58" s="310"/>
      <c r="AW58" s="328" t="s">
        <v>454</v>
      </c>
      <c r="AX58" s="71">
        <v>0</v>
      </c>
      <c r="AZ58" s="328" t="s">
        <v>454</v>
      </c>
      <c r="BA58" s="310">
        <f t="shared" ref="BA58:BA87" si="9">IF(BB58&gt;BC57, IF(BB58&gt; BC57+$BC$55, 2*$BC$55,$BC$55),0)</f>
        <v>975</v>
      </c>
      <c r="BB58" s="310">
        <f>AS58</f>
        <v>384</v>
      </c>
      <c r="BC58" s="310">
        <f>BA58+BC57-BB58</f>
        <v>786</v>
      </c>
      <c r="BE58" s="328" t="s">
        <v>454</v>
      </c>
      <c r="BF58" s="310">
        <v>0</v>
      </c>
      <c r="BG58" s="310">
        <f t="shared" ref="BG58:BG87" si="10">BA58/$BC$55</f>
        <v>1</v>
      </c>
      <c r="BH58" s="310">
        <f>AX58</f>
        <v>0</v>
      </c>
      <c r="BI58" s="310">
        <f>BF58+BI57-BG58-BH58</f>
        <v>3</v>
      </c>
    </row>
    <row r="59" spans="3:66" ht="15" thickTop="1" x14ac:dyDescent="0.3">
      <c r="C59" s="230" t="s">
        <v>479</v>
      </c>
      <c r="D59" s="230"/>
      <c r="E59" s="1">
        <f t="shared" si="2"/>
        <v>0</v>
      </c>
      <c r="F59" s="1">
        <f>IF(Table1[[#This Row],[Daily Vaccination
(vials)]]&gt;J58+Table1[[#This Row],[Problematic 
Vaccine 
Quantity]],IF(Table1[[#This Row],[Daily Vaccination
(vials)]]&gt;$I$26+J58,2*$I$26,$I$26),0)</f>
        <v>0</v>
      </c>
      <c r="G59" s="229">
        <f xml:space="preserve"> E59+G58-F59-Table1[[#This Row],[Outbound 20 clinics
(vials)]]</f>
        <v>4875</v>
      </c>
      <c r="H59" s="229">
        <f t="shared" si="7"/>
        <v>0</v>
      </c>
      <c r="I59" s="229">
        <f t="shared" si="6"/>
        <v>384</v>
      </c>
      <c r="J59" s="229">
        <f>J58+Table1[[#This Row],[ULT Consumption
(vials)]]-Table1[[#This Row],[Daily Vaccination
(vials)]]+Table1[[#This Row],[Problematic 
Vaccine 
Quantity]]</f>
        <v>552</v>
      </c>
      <c r="K59" s="229">
        <f>Table1[[#This Row],[ULT Ending Inventory 
(-75 deg C) (vials)]]+Table1[[#This Row],[Thawed Ending Inventory
(2-8 deg C) (vials)]]</f>
        <v>5427</v>
      </c>
      <c r="L59" s="229">
        <f t="shared" si="3"/>
        <v>2925</v>
      </c>
      <c r="M59" s="229">
        <f t="shared" si="4"/>
        <v>14625</v>
      </c>
      <c r="N59" s="229">
        <f t="shared" si="1"/>
        <v>4875</v>
      </c>
      <c r="O59" s="229" t="str">
        <f>IF(Table1[[#This Row],[Problematic 
Vaccine 
Quantity]]&gt;0, "YES","NO")</f>
        <v>NO</v>
      </c>
      <c r="P59" s="229">
        <v>0</v>
      </c>
      <c r="Q59" s="229">
        <f>Q58+(Table1[[#This Row],[Daily Vaccination
(vials)]]+Table1[[#This Row],[Outbound 20 clinics
(vials)]])*5</f>
        <v>61590</v>
      </c>
      <c r="R59" s="229"/>
      <c r="T59" s="315"/>
      <c r="U59" s="940">
        <v>44187</v>
      </c>
      <c r="V59" s="321" t="str">
        <f>Y77</f>
        <v>20 days</v>
      </c>
      <c r="W59" s="321" t="str">
        <f>Z77</f>
        <v>C</v>
      </c>
      <c r="X59" s="315">
        <v>0</v>
      </c>
      <c r="Y59" s="315"/>
      <c r="Z59" s="315"/>
      <c r="AA59" s="315"/>
      <c r="AB59" s="315" t="s">
        <v>435</v>
      </c>
      <c r="AD59" s="315"/>
      <c r="AE59" s="942">
        <v>44187</v>
      </c>
      <c r="AF59" s="316" t="str">
        <f>Y79</f>
        <v>3 days</v>
      </c>
      <c r="AG59" s="316" t="str">
        <f>Z79</f>
        <v>B</v>
      </c>
      <c r="AH59" s="315">
        <f>Y62*AF72</f>
        <v>975</v>
      </c>
      <c r="AI59" s="315"/>
      <c r="AJ59" s="315"/>
      <c r="AK59" s="315"/>
      <c r="AL59" s="315"/>
      <c r="AM59" s="315" t="s">
        <v>341</v>
      </c>
      <c r="AP59" s="310"/>
      <c r="AQ59" s="328" t="s">
        <v>455</v>
      </c>
      <c r="AR59" s="71">
        <f t="shared" si="8"/>
        <v>1920</v>
      </c>
      <c r="AS59" s="71">
        <f t="shared" ref="AS59:AS87" si="11">AR59/4875*975</f>
        <v>384</v>
      </c>
      <c r="AT59" s="329">
        <f t="shared" ref="AT59:AT87" si="12">AS59/975</f>
        <v>0.39384615384615385</v>
      </c>
      <c r="AV59" s="310"/>
      <c r="AW59" s="328" t="s">
        <v>455</v>
      </c>
      <c r="AX59" s="71">
        <v>0</v>
      </c>
      <c r="AZ59" s="328" t="s">
        <v>455</v>
      </c>
      <c r="BA59" s="310">
        <f t="shared" si="9"/>
        <v>0</v>
      </c>
      <c r="BB59" s="310">
        <f t="shared" ref="BB59:BB87" si="13">AS59</f>
        <v>384</v>
      </c>
      <c r="BC59" s="310">
        <f t="shared" ref="BC59:BC86" si="14">BA59+BC58-BB59</f>
        <v>402</v>
      </c>
      <c r="BE59" s="328" t="s">
        <v>455</v>
      </c>
      <c r="BF59" s="310">
        <v>0</v>
      </c>
      <c r="BG59" s="310">
        <f t="shared" si="10"/>
        <v>0</v>
      </c>
      <c r="BH59" s="310">
        <f t="shared" ref="BH59:BH87" si="15">AX59</f>
        <v>0</v>
      </c>
      <c r="BI59" s="310">
        <f t="shared" ref="BI59:BI87" si="16">BF59+BI58-BG59-BH59</f>
        <v>3</v>
      </c>
    </row>
    <row r="60" spans="3:66" x14ac:dyDescent="0.3">
      <c r="C60" s="230" t="s">
        <v>480</v>
      </c>
      <c r="D60" s="230"/>
      <c r="E60" s="1">
        <f t="shared" si="2"/>
        <v>0</v>
      </c>
      <c r="F60" s="1">
        <f>IF(Table1[[#This Row],[Daily Vaccination
(vials)]]&gt;J59+Table1[[#This Row],[Problematic 
Vaccine 
Quantity]],IF(Table1[[#This Row],[Daily Vaccination
(vials)]]&gt;$I$26+J59,2*$I$26,$I$26),0)</f>
        <v>0</v>
      </c>
      <c r="G60" s="229">
        <f xml:space="preserve"> E60+G59-F60-Table1[[#This Row],[Outbound 20 clinics
(vials)]]</f>
        <v>4875</v>
      </c>
      <c r="H60" s="229">
        <f t="shared" si="7"/>
        <v>0</v>
      </c>
      <c r="I60" s="229">
        <f t="shared" si="6"/>
        <v>384</v>
      </c>
      <c r="J60" s="229">
        <f>J59+Table1[[#This Row],[ULT Consumption
(vials)]]-Table1[[#This Row],[Daily Vaccination
(vials)]]+Table1[[#This Row],[Problematic 
Vaccine 
Quantity]]</f>
        <v>168</v>
      </c>
      <c r="K60" s="229">
        <f>Table1[[#This Row],[ULT Ending Inventory 
(-75 deg C) (vials)]]+Table1[[#This Row],[Thawed Ending Inventory
(2-8 deg C) (vials)]]</f>
        <v>5043</v>
      </c>
      <c r="L60" s="229">
        <f t="shared" si="3"/>
        <v>2925</v>
      </c>
      <c r="M60" s="229">
        <f t="shared" si="4"/>
        <v>14625</v>
      </c>
      <c r="N60" s="229">
        <f t="shared" si="1"/>
        <v>4875</v>
      </c>
      <c r="O60" s="229" t="str">
        <f>IF(Table1[[#This Row],[Problematic 
Vaccine 
Quantity]]&gt;0, "YES","NO")</f>
        <v>NO</v>
      </c>
      <c r="P60" s="229">
        <v>0</v>
      </c>
      <c r="Q60" s="229">
        <f>Q59+(Table1[[#This Row],[Daily Vaccination
(vials)]]+Table1[[#This Row],[Outbound 20 clinics
(vials)]])*5</f>
        <v>63510</v>
      </c>
      <c r="R60" s="229"/>
      <c r="T60" s="310"/>
      <c r="U60" s="938"/>
      <c r="V60" s="320" t="str">
        <f>Y78</f>
        <v xml:space="preserve">18 Days </v>
      </c>
      <c r="W60" s="320" t="str">
        <f>Z78</f>
        <v>D</v>
      </c>
      <c r="X60" s="310">
        <v>0</v>
      </c>
      <c r="Y60" s="310"/>
      <c r="Z60" s="310"/>
      <c r="AA60" s="310"/>
      <c r="AB60" s="310" t="s">
        <v>435</v>
      </c>
      <c r="AD60" s="310"/>
      <c r="AE60" s="943"/>
      <c r="AF60" s="310"/>
      <c r="AG60" s="310"/>
      <c r="AH60" s="310"/>
      <c r="AI60" s="310"/>
      <c r="AJ60" s="310"/>
      <c r="AK60" s="310"/>
      <c r="AL60" s="310">
        <f>AL58+AH59</f>
        <v>1155</v>
      </c>
      <c r="AM60" s="310" t="s">
        <v>341</v>
      </c>
      <c r="AP60" s="310"/>
      <c r="AQ60" s="328" t="s">
        <v>456</v>
      </c>
      <c r="AR60" s="71">
        <f t="shared" si="8"/>
        <v>1920</v>
      </c>
      <c r="AS60" s="71">
        <f t="shared" si="11"/>
        <v>384</v>
      </c>
      <c r="AT60" s="329">
        <f t="shared" si="12"/>
        <v>0.39384615384615385</v>
      </c>
      <c r="AV60" s="310"/>
      <c r="AW60" s="328" t="s">
        <v>456</v>
      </c>
      <c r="AX60" s="71">
        <v>0</v>
      </c>
      <c r="AY60">
        <v>20</v>
      </c>
      <c r="AZ60" s="328" t="s">
        <v>456</v>
      </c>
      <c r="BA60" s="310">
        <f t="shared" si="9"/>
        <v>0</v>
      </c>
      <c r="BB60" s="310">
        <f t="shared" si="13"/>
        <v>384</v>
      </c>
      <c r="BC60" s="310">
        <f t="shared" si="14"/>
        <v>18</v>
      </c>
      <c r="BE60" s="328" t="s">
        <v>456</v>
      </c>
      <c r="BF60" s="310">
        <v>0</v>
      </c>
      <c r="BG60" s="310">
        <f t="shared" si="10"/>
        <v>0</v>
      </c>
      <c r="BH60" s="310">
        <f t="shared" si="15"/>
        <v>0</v>
      </c>
      <c r="BI60" s="310">
        <f t="shared" si="16"/>
        <v>3</v>
      </c>
    </row>
    <row r="61" spans="3:66" x14ac:dyDescent="0.3">
      <c r="C61" s="230" t="s">
        <v>481</v>
      </c>
      <c r="D61" s="230"/>
      <c r="E61" s="1">
        <f t="shared" si="2"/>
        <v>0</v>
      </c>
      <c r="F61" s="1">
        <f>IF(Table1[[#This Row],[Daily Vaccination
(vials)]]&gt;J60+Table1[[#This Row],[Problematic 
Vaccine 
Quantity]],IF(Table1[[#This Row],[Daily Vaccination
(vials)]]&gt;$I$26+J60,2*$I$26,$I$26),0)</f>
        <v>975</v>
      </c>
      <c r="G61" s="229">
        <f xml:space="preserve"> E61+G60-F61-Table1[[#This Row],[Outbound 20 clinics
(vials)]]</f>
        <v>3900</v>
      </c>
      <c r="H61" s="229">
        <f t="shared" si="7"/>
        <v>0</v>
      </c>
      <c r="I61" s="229">
        <f t="shared" si="6"/>
        <v>384</v>
      </c>
      <c r="J61" s="229">
        <f>J60+Table1[[#This Row],[ULT Consumption
(vials)]]-Table1[[#This Row],[Daily Vaccination
(vials)]]+Table1[[#This Row],[Problematic 
Vaccine 
Quantity]]</f>
        <v>759</v>
      </c>
      <c r="K61" s="229">
        <f>Table1[[#This Row],[ULT Ending Inventory 
(-75 deg C) (vials)]]+Table1[[#This Row],[Thawed Ending Inventory
(2-8 deg C) (vials)]]</f>
        <v>4659</v>
      </c>
      <c r="L61" s="229">
        <f t="shared" si="3"/>
        <v>2925</v>
      </c>
      <c r="M61" s="229">
        <f t="shared" si="4"/>
        <v>14625</v>
      </c>
      <c r="N61" s="229">
        <f t="shared" si="1"/>
        <v>4875</v>
      </c>
      <c r="O61" s="229" t="str">
        <f>IF(Table1[[#This Row],[Problematic 
Vaccine 
Quantity]]&gt;0, "YES","NO")</f>
        <v>NO</v>
      </c>
      <c r="P61" s="229">
        <v>0</v>
      </c>
      <c r="Q61" s="229">
        <f>Q60+(Table1[[#This Row],[Daily Vaccination
(vials)]]+Table1[[#This Row],[Outbound 20 clinics
(vials)]])*5</f>
        <v>65430</v>
      </c>
      <c r="R61" s="229"/>
      <c r="T61" s="310"/>
      <c r="U61" s="938"/>
      <c r="V61" s="310"/>
      <c r="W61" s="310"/>
      <c r="X61" s="310"/>
      <c r="Y61" s="310"/>
      <c r="Z61" s="310"/>
      <c r="AA61" s="310">
        <f>AA58+X60+X59</f>
        <v>5</v>
      </c>
      <c r="AB61" s="310" t="s">
        <v>435</v>
      </c>
      <c r="AD61" s="310"/>
      <c r="AE61" s="943"/>
      <c r="AF61" s="313" t="str">
        <f>Y92</f>
        <v>0 day</v>
      </c>
      <c r="AG61" s="313" t="str">
        <f>Z85</f>
        <v>H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1">
        <f t="shared" si="8"/>
        <v>1920</v>
      </c>
      <c r="AS61" s="71">
        <f t="shared" si="11"/>
        <v>384</v>
      </c>
      <c r="AT61" s="329">
        <f t="shared" si="12"/>
        <v>0.39384615384615385</v>
      </c>
      <c r="AV61" s="310"/>
      <c r="AW61" s="328" t="s">
        <v>457</v>
      </c>
      <c r="AX61" s="71">
        <v>0</v>
      </c>
      <c r="AY61">
        <v>0</v>
      </c>
      <c r="AZ61" s="328" t="s">
        <v>457</v>
      </c>
      <c r="BA61" s="310">
        <f t="shared" si="9"/>
        <v>975</v>
      </c>
      <c r="BB61" s="310">
        <f t="shared" si="13"/>
        <v>384</v>
      </c>
      <c r="BC61" s="310">
        <f t="shared" si="14"/>
        <v>609</v>
      </c>
      <c r="BE61" s="328" t="s">
        <v>457</v>
      </c>
      <c r="BF61" s="310">
        <v>6</v>
      </c>
      <c r="BG61" s="310">
        <f t="shared" si="10"/>
        <v>1</v>
      </c>
      <c r="BH61" s="310">
        <f t="shared" si="15"/>
        <v>0</v>
      </c>
      <c r="BI61" s="310">
        <f t="shared" si="16"/>
        <v>8</v>
      </c>
    </row>
    <row r="62" spans="3:66" x14ac:dyDescent="0.3">
      <c r="C62" s="230" t="s">
        <v>510</v>
      </c>
      <c r="D62" s="230"/>
      <c r="E62" s="1">
        <f t="shared" si="2"/>
        <v>0</v>
      </c>
      <c r="F62" s="1">
        <f>IF(Table1[[#This Row],[Daily Vaccination
(vials)]]&gt;J61+Table1[[#This Row],[Problematic 
Vaccine 
Quantity]],IF(Table1[[#This Row],[Daily Vaccination
(vials)]]&gt;$I$26+J61,2*$I$26,$I$26),0)</f>
        <v>0</v>
      </c>
      <c r="G62" s="229">
        <f xml:space="preserve"> E62+G61-F62-Table1[[#This Row],[Outbound 20 clinics
(vials)]]</f>
        <v>3900</v>
      </c>
      <c r="H62" s="229">
        <f t="shared" si="7"/>
        <v>0</v>
      </c>
      <c r="I62" s="229">
        <f t="shared" si="6"/>
        <v>384</v>
      </c>
      <c r="J62" s="229">
        <f>J61+Table1[[#This Row],[ULT Consumption
(vials)]]-Table1[[#This Row],[Daily Vaccination
(vials)]]+Table1[[#This Row],[Problematic 
Vaccine 
Quantity]]</f>
        <v>375</v>
      </c>
      <c r="K62" s="229">
        <f>Table1[[#This Row],[ULT Ending Inventory 
(-75 deg C) (vials)]]+Table1[[#This Row],[Thawed Ending Inventory
(2-8 deg C) (vials)]]</f>
        <v>4275</v>
      </c>
      <c r="L62" s="229">
        <f t="shared" si="3"/>
        <v>2925</v>
      </c>
      <c r="M62" s="229">
        <f t="shared" si="4"/>
        <v>14625</v>
      </c>
      <c r="N62" s="229">
        <f t="shared" si="1"/>
        <v>4875</v>
      </c>
      <c r="O62" s="229" t="str">
        <f>IF(Table1[[#This Row],[Problematic 
Vaccine 
Quantity]]&gt;0, "YES","NO")</f>
        <v>NO</v>
      </c>
      <c r="P62" s="229">
        <v>0</v>
      </c>
      <c r="Q62" s="229">
        <f>Q61+(Table1[[#This Row],[Daily Vaccination
(vials)]]+Table1[[#This Row],[Outbound 20 clinics
(vials)]])*5</f>
        <v>67350</v>
      </c>
      <c r="R62" s="229"/>
      <c r="T62" s="310"/>
      <c r="U62" s="938"/>
      <c r="V62" s="314" t="str">
        <f>Y84</f>
        <v>4 days</v>
      </c>
      <c r="W62" s="314" t="str">
        <f>Z84</f>
        <v>B</v>
      </c>
      <c r="X62" s="310"/>
      <c r="Y62" s="310">
        <f>W84</f>
        <v>1</v>
      </c>
      <c r="Z62" s="310"/>
      <c r="AA62" s="310"/>
      <c r="AB62" s="310" t="s">
        <v>435</v>
      </c>
      <c r="AD62" s="310"/>
      <c r="AE62" s="943"/>
      <c r="AF62" s="313" t="str">
        <f>Y85</f>
        <v>1 day</v>
      </c>
      <c r="AG62" s="313" t="s">
        <v>419</v>
      </c>
      <c r="AH62" s="310"/>
      <c r="AI62" s="310"/>
      <c r="AJ62" s="310"/>
      <c r="AK62" s="310">
        <f>AK57-AJ61</f>
        <v>30</v>
      </c>
      <c r="AL62" s="310"/>
      <c r="AM62" s="310"/>
      <c r="AP62" s="310"/>
      <c r="AQ62" s="328" t="s">
        <v>458</v>
      </c>
      <c r="AR62" s="71">
        <f t="shared" si="8"/>
        <v>1920</v>
      </c>
      <c r="AS62" s="71">
        <f t="shared" si="11"/>
        <v>384</v>
      </c>
      <c r="AT62" s="329">
        <f t="shared" si="12"/>
        <v>0.39384615384615385</v>
      </c>
      <c r="AV62" s="310"/>
      <c r="AW62" s="328" t="s">
        <v>458</v>
      </c>
      <c r="AX62" s="71">
        <v>0</v>
      </c>
      <c r="AY62">
        <v>0</v>
      </c>
      <c r="AZ62" s="328" t="s">
        <v>458</v>
      </c>
      <c r="BA62" s="310">
        <f t="shared" si="9"/>
        <v>0</v>
      </c>
      <c r="BB62" s="310">
        <f t="shared" si="13"/>
        <v>384</v>
      </c>
      <c r="BC62" s="310">
        <f t="shared" si="14"/>
        <v>225</v>
      </c>
      <c r="BE62" s="328" t="s">
        <v>458</v>
      </c>
      <c r="BF62" s="310">
        <v>0</v>
      </c>
      <c r="BG62" s="310">
        <f t="shared" si="10"/>
        <v>0</v>
      </c>
      <c r="BH62" s="310">
        <f t="shared" si="15"/>
        <v>0</v>
      </c>
      <c r="BI62" s="310">
        <f t="shared" si="16"/>
        <v>8</v>
      </c>
    </row>
    <row r="63" spans="3:66" x14ac:dyDescent="0.3">
      <c r="C63" s="294"/>
      <c r="D63" s="294"/>
      <c r="E63" s="229">
        <f>SUM(Table1[Replenishment
(vials)])+SUM(Table1[Problematic 
Vaccine 
Quantity])</f>
        <v>11700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310"/>
      <c r="U63" s="938"/>
      <c r="V63" s="310"/>
      <c r="W63" s="310"/>
      <c r="X63" s="310"/>
      <c r="Y63" s="310"/>
      <c r="Z63" s="310"/>
      <c r="AA63" s="310">
        <f>AA61-Y62</f>
        <v>4</v>
      </c>
      <c r="AB63" s="310" t="s">
        <v>435</v>
      </c>
      <c r="AD63" s="310"/>
      <c r="AE63" s="943"/>
      <c r="AF63" s="313" t="str">
        <f>Y85</f>
        <v>1 day</v>
      </c>
      <c r="AG63" s="313" t="s">
        <v>419</v>
      </c>
      <c r="AH63" s="310"/>
      <c r="AI63" s="310">
        <f>W85</f>
        <v>30</v>
      </c>
      <c r="AJ63" s="310"/>
      <c r="AK63" s="310"/>
      <c r="AL63" s="310"/>
      <c r="AM63" s="310"/>
      <c r="AP63" s="310"/>
      <c r="AQ63" s="328" t="s">
        <v>459</v>
      </c>
      <c r="AR63" s="71">
        <f t="shared" si="8"/>
        <v>1920</v>
      </c>
      <c r="AS63" s="71">
        <f t="shared" si="11"/>
        <v>384</v>
      </c>
      <c r="AT63" s="329">
        <f t="shared" si="12"/>
        <v>0.39384615384615385</v>
      </c>
      <c r="AV63" s="310"/>
      <c r="AW63" s="328" t="s">
        <v>459</v>
      </c>
      <c r="AX63" s="71">
        <v>0</v>
      </c>
      <c r="AY63">
        <v>20</v>
      </c>
      <c r="AZ63" s="328" t="s">
        <v>459</v>
      </c>
      <c r="BA63" s="310">
        <f t="shared" si="9"/>
        <v>975</v>
      </c>
      <c r="BB63" s="310">
        <f t="shared" si="13"/>
        <v>384</v>
      </c>
      <c r="BC63" s="310">
        <f t="shared" si="14"/>
        <v>816</v>
      </c>
      <c r="BE63" s="328" t="s">
        <v>459</v>
      </c>
      <c r="BF63" s="310">
        <v>0</v>
      </c>
      <c r="BG63" s="310">
        <f t="shared" si="10"/>
        <v>1</v>
      </c>
      <c r="BH63" s="310">
        <f t="shared" si="15"/>
        <v>0</v>
      </c>
      <c r="BI63" s="310">
        <f t="shared" si="16"/>
        <v>7</v>
      </c>
    </row>
    <row r="64" spans="3:66" x14ac:dyDescent="0.3">
      <c r="D64" t="s">
        <v>495</v>
      </c>
      <c r="E64" s="295"/>
      <c r="T64" s="310"/>
      <c r="U64" s="938"/>
      <c r="V64" s="319" t="s">
        <v>422</v>
      </c>
      <c r="W64" s="319" t="s">
        <v>10</v>
      </c>
      <c r="X64" s="310"/>
      <c r="Y64" s="310"/>
      <c r="Z64" s="310">
        <v>3</v>
      </c>
      <c r="AA64" s="310"/>
      <c r="AB64" s="310" t="s">
        <v>435</v>
      </c>
      <c r="AD64" s="310"/>
      <c r="AE64" s="943"/>
      <c r="AF64" s="312" t="str">
        <f>Y86</f>
        <v>2 days</v>
      </c>
      <c r="AG64" s="312" t="str">
        <f>Z86</f>
        <v>G</v>
      </c>
      <c r="AH64" s="310"/>
      <c r="AI64" s="310">
        <f>W86</f>
        <v>100</v>
      </c>
      <c r="AJ64" s="310"/>
      <c r="AK64" s="310"/>
      <c r="AL64" s="310"/>
      <c r="AM64" s="310" t="s">
        <v>341</v>
      </c>
      <c r="AP64" s="310"/>
      <c r="AQ64" s="328" t="s">
        <v>460</v>
      </c>
      <c r="AR64" s="71">
        <f t="shared" si="8"/>
        <v>1920</v>
      </c>
      <c r="AS64" s="71">
        <f t="shared" si="11"/>
        <v>384</v>
      </c>
      <c r="AT64" s="329">
        <f t="shared" si="12"/>
        <v>0.39384615384615385</v>
      </c>
      <c r="AV64" s="310"/>
      <c r="AW64" s="328" t="s">
        <v>460</v>
      </c>
      <c r="AX64" s="71">
        <v>0</v>
      </c>
      <c r="AY64">
        <v>0</v>
      </c>
      <c r="AZ64" s="328" t="s">
        <v>460</v>
      </c>
      <c r="BA64" s="310">
        <f t="shared" si="9"/>
        <v>0</v>
      </c>
      <c r="BB64" s="310">
        <f t="shared" si="13"/>
        <v>384</v>
      </c>
      <c r="BC64" s="310">
        <f t="shared" si="14"/>
        <v>432</v>
      </c>
      <c r="BE64" s="328" t="s">
        <v>460</v>
      </c>
      <c r="BF64" s="310">
        <v>0</v>
      </c>
      <c r="BG64" s="310">
        <f t="shared" si="10"/>
        <v>0</v>
      </c>
      <c r="BH64" s="310">
        <f t="shared" si="15"/>
        <v>0</v>
      </c>
      <c r="BI64" s="310">
        <f t="shared" si="16"/>
        <v>7</v>
      </c>
    </row>
    <row r="65" spans="5:61" x14ac:dyDescent="0.3">
      <c r="E65" s="295" t="s">
        <v>497</v>
      </c>
      <c r="T65" s="310"/>
      <c r="U65" s="938"/>
      <c r="V65" s="310" t="s">
        <v>411</v>
      </c>
      <c r="W65" s="310" t="s">
        <v>12</v>
      </c>
      <c r="X65" s="310"/>
      <c r="Y65" s="310"/>
      <c r="Z65" s="310">
        <v>0</v>
      </c>
      <c r="AA65" s="310"/>
      <c r="AB65" s="310" t="s">
        <v>435</v>
      </c>
      <c r="AD65" s="310"/>
      <c r="AE65" s="943"/>
      <c r="AF65" s="314" t="str">
        <f>Y87</f>
        <v>3 days</v>
      </c>
      <c r="AG65" s="314" t="str">
        <f>Z87</f>
        <v>B</v>
      </c>
      <c r="AH65" s="310"/>
      <c r="AI65" s="310">
        <f>W87</f>
        <v>830</v>
      </c>
      <c r="AJ65" s="310"/>
      <c r="AK65" s="310"/>
      <c r="AL65" s="310"/>
      <c r="AM65" s="310" t="s">
        <v>341</v>
      </c>
      <c r="AP65" s="310"/>
      <c r="AQ65" s="328" t="s">
        <v>461</v>
      </c>
      <c r="AR65" s="71">
        <f t="shared" si="8"/>
        <v>1920</v>
      </c>
      <c r="AS65" s="71">
        <f t="shared" si="11"/>
        <v>384</v>
      </c>
      <c r="AT65" s="329">
        <f t="shared" si="12"/>
        <v>0.39384615384615385</v>
      </c>
      <c r="AV65" s="310"/>
      <c r="AW65" s="328" t="s">
        <v>461</v>
      </c>
      <c r="AX65" s="71">
        <v>0</v>
      </c>
      <c r="AY65">
        <v>0</v>
      </c>
      <c r="AZ65" s="328" t="s">
        <v>461</v>
      </c>
      <c r="BA65" s="310">
        <f t="shared" si="9"/>
        <v>0</v>
      </c>
      <c r="BB65" s="310">
        <f t="shared" si="13"/>
        <v>384</v>
      </c>
      <c r="BC65" s="310">
        <f t="shared" si="14"/>
        <v>48</v>
      </c>
      <c r="BE65" s="328" t="s">
        <v>461</v>
      </c>
      <c r="BF65" s="310">
        <v>0</v>
      </c>
      <c r="BG65" s="310">
        <f t="shared" si="10"/>
        <v>0</v>
      </c>
      <c r="BH65" s="310">
        <f t="shared" si="15"/>
        <v>0</v>
      </c>
      <c r="BI65" s="310">
        <f t="shared" si="16"/>
        <v>7</v>
      </c>
    </row>
    <row r="66" spans="5:61" x14ac:dyDescent="0.3">
      <c r="T66" s="310"/>
      <c r="U66" s="941"/>
      <c r="V66" s="310" t="s">
        <v>423</v>
      </c>
      <c r="W66" s="310" t="s">
        <v>412</v>
      </c>
      <c r="X66" s="310"/>
      <c r="Y66" s="310"/>
      <c r="Z66" s="310">
        <v>0</v>
      </c>
      <c r="AA66" s="310"/>
      <c r="AB66" s="310" t="s">
        <v>435</v>
      </c>
      <c r="AC66">
        <f>3*975</f>
        <v>2925</v>
      </c>
      <c r="AD66" s="310"/>
      <c r="AE66" s="943"/>
      <c r="AF66" s="310" t="s">
        <v>417</v>
      </c>
      <c r="AG66" s="310" t="s">
        <v>11</v>
      </c>
      <c r="AH66" s="310"/>
      <c r="AI66" s="310"/>
      <c r="AJ66" s="310"/>
      <c r="AK66" s="310"/>
      <c r="AL66" s="310">
        <f>AL60-AI64-AI63-AI65</f>
        <v>195</v>
      </c>
      <c r="AM66" s="310" t="s">
        <v>341</v>
      </c>
      <c r="AP66" s="310"/>
      <c r="AQ66" s="328" t="s">
        <v>462</v>
      </c>
      <c r="AR66" s="71">
        <f t="shared" si="8"/>
        <v>1920</v>
      </c>
      <c r="AS66" s="71">
        <f t="shared" si="11"/>
        <v>384</v>
      </c>
      <c r="AT66" s="329">
        <f t="shared" si="12"/>
        <v>0.39384615384615385</v>
      </c>
      <c r="AV66" s="310"/>
      <c r="AW66" s="328" t="s">
        <v>462</v>
      </c>
      <c r="AX66" s="71">
        <v>0</v>
      </c>
      <c r="AY66">
        <v>20</v>
      </c>
      <c r="AZ66" s="328" t="s">
        <v>462</v>
      </c>
      <c r="BA66" s="310">
        <f t="shared" si="9"/>
        <v>975</v>
      </c>
      <c r="BB66" s="310">
        <f t="shared" si="13"/>
        <v>384</v>
      </c>
      <c r="BC66" s="310">
        <f t="shared" si="14"/>
        <v>639</v>
      </c>
      <c r="BE66" s="328" t="s">
        <v>462</v>
      </c>
      <c r="BF66" s="310">
        <v>0</v>
      </c>
      <c r="BG66" s="310">
        <f t="shared" si="10"/>
        <v>1</v>
      </c>
      <c r="BH66" s="310">
        <f t="shared" si="15"/>
        <v>0</v>
      </c>
      <c r="BI66" s="310">
        <f t="shared" si="16"/>
        <v>6</v>
      </c>
    </row>
    <row r="67" spans="5:61" x14ac:dyDescent="0.3">
      <c r="P67" s="20"/>
      <c r="AD67" s="310"/>
      <c r="AE67" s="944"/>
      <c r="AF67" s="310" t="s">
        <v>417</v>
      </c>
      <c r="AG67" s="310" t="s">
        <v>11</v>
      </c>
      <c r="AH67" s="310"/>
      <c r="AI67" s="310"/>
      <c r="AJ67" s="310"/>
      <c r="AK67" s="310">
        <f>AL66</f>
        <v>195</v>
      </c>
      <c r="AL67" s="310"/>
      <c r="AM67" s="310" t="s">
        <v>341</v>
      </c>
      <c r="AP67" s="310"/>
      <c r="AQ67" s="328" t="s">
        <v>463</v>
      </c>
      <c r="AR67" s="71">
        <f t="shared" si="8"/>
        <v>1920</v>
      </c>
      <c r="AS67" s="71">
        <f t="shared" si="11"/>
        <v>384</v>
      </c>
      <c r="AT67" s="329">
        <f t="shared" si="12"/>
        <v>0.39384615384615385</v>
      </c>
      <c r="AV67" s="310"/>
      <c r="AW67" s="328" t="s">
        <v>463</v>
      </c>
      <c r="AX67" s="71">
        <v>0</v>
      </c>
      <c r="AY67">
        <v>0</v>
      </c>
      <c r="AZ67" s="328" t="s">
        <v>463</v>
      </c>
      <c r="BA67" s="310">
        <f t="shared" si="9"/>
        <v>0</v>
      </c>
      <c r="BB67" s="310">
        <f t="shared" si="13"/>
        <v>384</v>
      </c>
      <c r="BC67" s="310">
        <f t="shared" si="14"/>
        <v>255</v>
      </c>
      <c r="BE67" s="328" t="s">
        <v>463</v>
      </c>
      <c r="BF67" s="310">
        <v>0</v>
      </c>
      <c r="BG67" s="310">
        <f t="shared" si="10"/>
        <v>0</v>
      </c>
      <c r="BH67" s="310">
        <f t="shared" si="15"/>
        <v>0</v>
      </c>
      <c r="BI67" s="310">
        <f t="shared" si="16"/>
        <v>6</v>
      </c>
    </row>
    <row r="68" spans="5:61" x14ac:dyDescent="0.3">
      <c r="AP68" s="310"/>
      <c r="AQ68" s="328" t="s">
        <v>453</v>
      </c>
      <c r="AR68" s="71">
        <f t="shared" si="8"/>
        <v>1920</v>
      </c>
      <c r="AS68" s="71">
        <f t="shared" si="11"/>
        <v>384</v>
      </c>
      <c r="AT68" s="329">
        <f t="shared" si="12"/>
        <v>0.39384615384615385</v>
      </c>
      <c r="AV68" s="310"/>
      <c r="AW68" s="328" t="s">
        <v>453</v>
      </c>
      <c r="AX68" s="71">
        <v>0</v>
      </c>
      <c r="AY68">
        <v>0</v>
      </c>
      <c r="AZ68" s="328" t="s">
        <v>453</v>
      </c>
      <c r="BA68" s="310">
        <f t="shared" si="9"/>
        <v>975</v>
      </c>
      <c r="BB68" s="310">
        <f t="shared" si="13"/>
        <v>384</v>
      </c>
      <c r="BC68" s="310">
        <f t="shared" si="14"/>
        <v>846</v>
      </c>
      <c r="BE68" s="328" t="s">
        <v>453</v>
      </c>
      <c r="BF68" s="310">
        <v>0</v>
      </c>
      <c r="BG68" s="310">
        <f t="shared" si="10"/>
        <v>1</v>
      </c>
      <c r="BH68" s="310">
        <f t="shared" si="15"/>
        <v>0</v>
      </c>
      <c r="BI68" s="310">
        <f t="shared" si="16"/>
        <v>5</v>
      </c>
    </row>
    <row r="69" spans="5:61" x14ac:dyDescent="0.3">
      <c r="N69" s="20"/>
      <c r="AP69" s="310"/>
      <c r="AQ69" s="328" t="s">
        <v>464</v>
      </c>
      <c r="AR69" s="71">
        <f t="shared" si="8"/>
        <v>1920</v>
      </c>
      <c r="AS69" s="71">
        <f t="shared" si="11"/>
        <v>384</v>
      </c>
      <c r="AT69" s="329">
        <f t="shared" si="12"/>
        <v>0.39384615384615385</v>
      </c>
      <c r="AV69" s="310"/>
      <c r="AW69" s="328" t="s">
        <v>464</v>
      </c>
      <c r="AX69" s="71">
        <v>0</v>
      </c>
      <c r="AY69">
        <v>20</v>
      </c>
      <c r="AZ69" s="328" t="s">
        <v>464</v>
      </c>
      <c r="BA69" s="310">
        <f t="shared" si="9"/>
        <v>0</v>
      </c>
      <c r="BB69" s="310">
        <f t="shared" si="13"/>
        <v>384</v>
      </c>
      <c r="BC69" s="310">
        <f t="shared" si="14"/>
        <v>462</v>
      </c>
      <c r="BE69" s="328" t="s">
        <v>464</v>
      </c>
      <c r="BF69" s="310">
        <v>0</v>
      </c>
      <c r="BG69" s="310">
        <f t="shared" si="10"/>
        <v>0</v>
      </c>
      <c r="BH69" s="310">
        <f t="shared" si="15"/>
        <v>0</v>
      </c>
      <c r="BI69" s="310">
        <f t="shared" si="16"/>
        <v>5</v>
      </c>
    </row>
    <row r="70" spans="5:61" x14ac:dyDescent="0.3">
      <c r="T70" t="s">
        <v>421</v>
      </c>
      <c r="AI70" t="s">
        <v>508</v>
      </c>
      <c r="AP70" s="310"/>
      <c r="AQ70" s="328" t="s">
        <v>465</v>
      </c>
      <c r="AR70" s="71">
        <f t="shared" si="8"/>
        <v>1920</v>
      </c>
      <c r="AS70" s="71">
        <f t="shared" si="11"/>
        <v>384</v>
      </c>
      <c r="AT70" s="329">
        <f t="shared" si="12"/>
        <v>0.39384615384615385</v>
      </c>
      <c r="AV70" s="310"/>
      <c r="AW70" s="328" t="s">
        <v>465</v>
      </c>
      <c r="AX70" s="71">
        <v>0</v>
      </c>
      <c r="AY70">
        <v>0</v>
      </c>
      <c r="AZ70" s="328" t="s">
        <v>465</v>
      </c>
      <c r="BA70" s="310">
        <f t="shared" si="9"/>
        <v>0</v>
      </c>
      <c r="BB70" s="310">
        <f t="shared" si="13"/>
        <v>384</v>
      </c>
      <c r="BC70" s="310">
        <f t="shared" si="14"/>
        <v>78</v>
      </c>
      <c r="BE70" s="328" t="s">
        <v>465</v>
      </c>
      <c r="BF70" s="310">
        <v>0</v>
      </c>
      <c r="BG70" s="310">
        <f t="shared" si="10"/>
        <v>0</v>
      </c>
      <c r="BH70" s="310">
        <f t="shared" si="15"/>
        <v>0</v>
      </c>
      <c r="BI70" s="310">
        <f t="shared" si="16"/>
        <v>5</v>
      </c>
    </row>
    <row r="71" spans="5:61" x14ac:dyDescent="0.3">
      <c r="T71" t="s">
        <v>500</v>
      </c>
      <c r="AD71">
        <v>1</v>
      </c>
      <c r="AP71" s="310"/>
      <c r="AQ71" s="328" t="s">
        <v>466</v>
      </c>
      <c r="AR71" s="71">
        <f t="shared" si="8"/>
        <v>1920</v>
      </c>
      <c r="AS71" s="71">
        <f t="shared" si="11"/>
        <v>384</v>
      </c>
      <c r="AT71" s="329">
        <f t="shared" si="12"/>
        <v>0.39384615384615385</v>
      </c>
      <c r="AV71" s="310"/>
      <c r="AW71" s="328" t="s">
        <v>466</v>
      </c>
      <c r="AX71" s="71">
        <v>0</v>
      </c>
      <c r="AY71">
        <v>0</v>
      </c>
      <c r="AZ71" s="328" t="s">
        <v>466</v>
      </c>
      <c r="BA71" s="310">
        <f t="shared" si="9"/>
        <v>975</v>
      </c>
      <c r="BB71" s="310">
        <f t="shared" si="13"/>
        <v>384</v>
      </c>
      <c r="BC71" s="310">
        <f t="shared" si="14"/>
        <v>669</v>
      </c>
      <c r="BE71" s="328" t="s">
        <v>466</v>
      </c>
      <c r="BF71" s="310">
        <v>0</v>
      </c>
      <c r="BG71" s="310">
        <f t="shared" si="10"/>
        <v>1</v>
      </c>
      <c r="BH71" s="310">
        <f t="shared" si="15"/>
        <v>0</v>
      </c>
      <c r="BI71" s="310">
        <f t="shared" si="16"/>
        <v>4</v>
      </c>
    </row>
    <row r="72" spans="5:61" x14ac:dyDescent="0.3">
      <c r="P72" s="20"/>
      <c r="T72" t="s">
        <v>426</v>
      </c>
      <c r="AD72" t="s">
        <v>429</v>
      </c>
      <c r="AE72" t="s">
        <v>427</v>
      </c>
      <c r="AF72">
        <v>975</v>
      </c>
      <c r="AG72" t="s">
        <v>367</v>
      </c>
      <c r="AP72" s="310"/>
      <c r="AQ72" s="328" t="s">
        <v>467</v>
      </c>
      <c r="AR72" s="71">
        <f t="shared" si="8"/>
        <v>1920</v>
      </c>
      <c r="AS72" s="71">
        <f t="shared" si="11"/>
        <v>384</v>
      </c>
      <c r="AT72" s="329">
        <f t="shared" si="12"/>
        <v>0.39384615384615385</v>
      </c>
      <c r="AV72" s="310"/>
      <c r="AW72" s="328" t="s">
        <v>467</v>
      </c>
      <c r="AX72" s="71">
        <v>0</v>
      </c>
      <c r="AY72">
        <v>20</v>
      </c>
      <c r="AZ72" s="328" t="s">
        <v>467</v>
      </c>
      <c r="BA72" s="310">
        <f t="shared" si="9"/>
        <v>0</v>
      </c>
      <c r="BB72" s="310">
        <f t="shared" si="13"/>
        <v>384</v>
      </c>
      <c r="BC72" s="310">
        <f t="shared" si="14"/>
        <v>285</v>
      </c>
      <c r="BE72" s="328" t="s">
        <v>467</v>
      </c>
      <c r="BF72" s="310"/>
      <c r="BG72" s="310">
        <f t="shared" si="10"/>
        <v>0</v>
      </c>
      <c r="BH72" s="310">
        <f t="shared" si="15"/>
        <v>0</v>
      </c>
      <c r="BI72" s="310">
        <f t="shared" si="16"/>
        <v>4</v>
      </c>
    </row>
    <row r="73" spans="5:61" x14ac:dyDescent="0.3">
      <c r="AC73" s="20" t="s">
        <v>428</v>
      </c>
      <c r="AD73" t="s">
        <v>430</v>
      </c>
      <c r="AP73" s="310"/>
      <c r="AQ73" s="328" t="s">
        <v>468</v>
      </c>
      <c r="AR73" s="71">
        <f t="shared" si="8"/>
        <v>1920</v>
      </c>
      <c r="AS73" s="71">
        <f t="shared" si="11"/>
        <v>384</v>
      </c>
      <c r="AT73" s="329">
        <f t="shared" si="12"/>
        <v>0.39384615384615385</v>
      </c>
      <c r="AV73" s="310"/>
      <c r="AW73" s="328" t="s">
        <v>468</v>
      </c>
      <c r="AX73" s="71">
        <v>0</v>
      </c>
      <c r="AY73">
        <v>0</v>
      </c>
      <c r="AZ73" s="328" t="s">
        <v>468</v>
      </c>
      <c r="BA73" s="310">
        <f t="shared" si="9"/>
        <v>975</v>
      </c>
      <c r="BB73" s="310">
        <f t="shared" si="13"/>
        <v>384</v>
      </c>
      <c r="BC73" s="310">
        <f t="shared" si="14"/>
        <v>876</v>
      </c>
      <c r="BE73" s="328" t="s">
        <v>468</v>
      </c>
      <c r="BF73" s="310">
        <v>0</v>
      </c>
      <c r="BG73" s="310">
        <f t="shared" si="10"/>
        <v>1</v>
      </c>
      <c r="BH73" s="310">
        <f t="shared" si="15"/>
        <v>0</v>
      </c>
      <c r="BI73" s="310">
        <f t="shared" si="16"/>
        <v>3</v>
      </c>
    </row>
    <row r="74" spans="5:61" x14ac:dyDescent="0.3">
      <c r="AD74" t="s">
        <v>431</v>
      </c>
      <c r="AP74" s="310"/>
      <c r="AQ74" s="328" t="s">
        <v>469</v>
      </c>
      <c r="AR74" s="71">
        <f t="shared" si="8"/>
        <v>1920</v>
      </c>
      <c r="AS74" s="71">
        <f t="shared" si="11"/>
        <v>384</v>
      </c>
      <c r="AT74" s="329">
        <f t="shared" si="12"/>
        <v>0.39384615384615385</v>
      </c>
      <c r="AV74" s="310"/>
      <c r="AW74" s="328" t="s">
        <v>469</v>
      </c>
      <c r="AX74" s="71">
        <v>0</v>
      </c>
      <c r="AY74">
        <v>0</v>
      </c>
      <c r="AZ74" s="328" t="s">
        <v>469</v>
      </c>
      <c r="BA74" s="310">
        <f t="shared" si="9"/>
        <v>0</v>
      </c>
      <c r="BB74" s="310">
        <f t="shared" si="13"/>
        <v>384</v>
      </c>
      <c r="BC74" s="310">
        <f t="shared" si="14"/>
        <v>492</v>
      </c>
      <c r="BE74" s="328" t="s">
        <v>469</v>
      </c>
      <c r="BF74" s="310">
        <v>0</v>
      </c>
      <c r="BG74" s="310">
        <f t="shared" si="10"/>
        <v>0</v>
      </c>
      <c r="BH74" s="310">
        <f t="shared" si="15"/>
        <v>0</v>
      </c>
      <c r="BI74" s="310">
        <f t="shared" si="16"/>
        <v>3</v>
      </c>
    </row>
    <row r="75" spans="5:61" ht="28.8" x14ac:dyDescent="0.3">
      <c r="T75" s="301" t="s">
        <v>441</v>
      </c>
      <c r="AD75" t="s">
        <v>434</v>
      </c>
      <c r="AP75" s="310"/>
      <c r="AQ75" s="328" t="s">
        <v>470</v>
      </c>
      <c r="AR75" s="71">
        <f t="shared" si="8"/>
        <v>1920</v>
      </c>
      <c r="AS75" s="71">
        <f t="shared" si="11"/>
        <v>384</v>
      </c>
      <c r="AT75" s="329">
        <f t="shared" si="12"/>
        <v>0.39384615384615385</v>
      </c>
      <c r="AV75" s="310"/>
      <c r="AW75" s="328" t="s">
        <v>470</v>
      </c>
      <c r="AX75" s="71">
        <v>0</v>
      </c>
      <c r="AY75">
        <v>20</v>
      </c>
      <c r="AZ75" s="328" t="s">
        <v>470</v>
      </c>
      <c r="BA75" s="310">
        <f t="shared" si="9"/>
        <v>0</v>
      </c>
      <c r="BB75" s="310">
        <f t="shared" si="13"/>
        <v>384</v>
      </c>
      <c r="BC75" s="310">
        <f t="shared" si="14"/>
        <v>108</v>
      </c>
      <c r="BE75" s="328" t="s">
        <v>470</v>
      </c>
      <c r="BF75" s="310"/>
      <c r="BG75" s="310">
        <f t="shared" si="10"/>
        <v>0</v>
      </c>
      <c r="BH75" s="310">
        <f t="shared" si="15"/>
        <v>0</v>
      </c>
      <c r="BI75" s="310">
        <f t="shared" si="16"/>
        <v>3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P76" s="310"/>
      <c r="AQ76" s="328" t="s">
        <v>471</v>
      </c>
      <c r="AR76" s="71">
        <f t="shared" si="8"/>
        <v>1920</v>
      </c>
      <c r="AS76" s="71">
        <f t="shared" si="11"/>
        <v>384</v>
      </c>
      <c r="AT76" s="329">
        <f t="shared" si="12"/>
        <v>0.39384615384615385</v>
      </c>
      <c r="AV76" s="310"/>
      <c r="AW76" s="328" t="s">
        <v>471</v>
      </c>
      <c r="AX76" s="71">
        <v>0</v>
      </c>
      <c r="AY76">
        <v>0</v>
      </c>
      <c r="AZ76" s="328" t="s">
        <v>471</v>
      </c>
      <c r="BA76" s="310">
        <f t="shared" si="9"/>
        <v>975</v>
      </c>
      <c r="BB76" s="310">
        <f t="shared" si="13"/>
        <v>384</v>
      </c>
      <c r="BC76" s="310">
        <f t="shared" si="14"/>
        <v>699</v>
      </c>
      <c r="BE76" s="328" t="s">
        <v>471</v>
      </c>
      <c r="BF76" s="310">
        <v>6</v>
      </c>
      <c r="BG76" s="310">
        <f t="shared" si="10"/>
        <v>1</v>
      </c>
      <c r="BH76" s="310">
        <f t="shared" si="15"/>
        <v>0</v>
      </c>
      <c r="BI76" s="310">
        <f t="shared" si="16"/>
        <v>8</v>
      </c>
    </row>
    <row r="77" spans="5:61" ht="47.4" customHeight="1" x14ac:dyDescent="0.3">
      <c r="T77" s="37" t="s">
        <v>414</v>
      </c>
      <c r="U77" s="296">
        <v>44187</v>
      </c>
      <c r="V77" t="s">
        <v>408</v>
      </c>
      <c r="W77">
        <v>25</v>
      </c>
      <c r="X77" t="s">
        <v>435</v>
      </c>
      <c r="Y77" s="303" t="s">
        <v>411</v>
      </c>
      <c r="Z77" s="303" t="s">
        <v>12</v>
      </c>
      <c r="AD77" s="37" t="s">
        <v>443</v>
      </c>
      <c r="AE77" s="323" t="s">
        <v>432</v>
      </c>
      <c r="AF77" s="323" t="s">
        <v>433</v>
      </c>
      <c r="AG77" s="323" t="s">
        <v>413</v>
      </c>
      <c r="AP77" s="310"/>
      <c r="AQ77" s="328" t="s">
        <v>472</v>
      </c>
      <c r="AR77" s="71">
        <f t="shared" si="8"/>
        <v>1920</v>
      </c>
      <c r="AS77" s="71">
        <f t="shared" si="11"/>
        <v>384</v>
      </c>
      <c r="AT77" s="329">
        <f t="shared" si="12"/>
        <v>0.39384615384615385</v>
      </c>
      <c r="AV77" s="310"/>
      <c r="AW77" s="328" t="s">
        <v>472</v>
      </c>
      <c r="AX77" s="71">
        <v>0</v>
      </c>
      <c r="AY77">
        <v>0</v>
      </c>
      <c r="AZ77" s="328" t="s">
        <v>472</v>
      </c>
      <c r="BA77" s="310">
        <f t="shared" si="9"/>
        <v>0</v>
      </c>
      <c r="BB77" s="310">
        <f t="shared" si="13"/>
        <v>384</v>
      </c>
      <c r="BC77" s="310">
        <f t="shared" si="14"/>
        <v>315</v>
      </c>
      <c r="BE77" s="328" t="s">
        <v>472</v>
      </c>
      <c r="BF77" s="310">
        <v>0</v>
      </c>
      <c r="BG77" s="310">
        <f t="shared" si="10"/>
        <v>0</v>
      </c>
      <c r="BH77" s="310">
        <f t="shared" si="15"/>
        <v>0</v>
      </c>
      <c r="BI77" s="310">
        <f t="shared" si="16"/>
        <v>8</v>
      </c>
    </row>
    <row r="78" spans="5:61" x14ac:dyDescent="0.3">
      <c r="T78" s="37" t="s">
        <v>414</v>
      </c>
      <c r="U78" s="296">
        <v>44187</v>
      </c>
      <c r="V78" t="s">
        <v>408</v>
      </c>
      <c r="W78">
        <v>20</v>
      </c>
      <c r="X78" t="s">
        <v>435</v>
      </c>
      <c r="Y78" s="235" t="s">
        <v>423</v>
      </c>
      <c r="Z78" s="235" t="s">
        <v>412</v>
      </c>
      <c r="AP78" s="310"/>
      <c r="AQ78" s="328" t="s">
        <v>473</v>
      </c>
      <c r="AR78" s="71">
        <f t="shared" si="8"/>
        <v>1920</v>
      </c>
      <c r="AS78" s="71">
        <f t="shared" si="11"/>
        <v>384</v>
      </c>
      <c r="AT78" s="329">
        <f t="shared" si="12"/>
        <v>0.39384615384615385</v>
      </c>
      <c r="AV78" s="310"/>
      <c r="AW78" s="328" t="s">
        <v>473</v>
      </c>
      <c r="AX78" s="71">
        <v>0</v>
      </c>
      <c r="AY78">
        <v>20</v>
      </c>
      <c r="AZ78" s="328" t="s">
        <v>473</v>
      </c>
      <c r="BA78" s="310">
        <f t="shared" si="9"/>
        <v>975</v>
      </c>
      <c r="BB78" s="310">
        <f t="shared" si="13"/>
        <v>384</v>
      </c>
      <c r="BC78" s="310">
        <f t="shared" si="14"/>
        <v>906</v>
      </c>
      <c r="BE78" s="328" t="s">
        <v>473</v>
      </c>
      <c r="BF78" s="310">
        <v>0</v>
      </c>
      <c r="BG78" s="310">
        <f t="shared" si="10"/>
        <v>1</v>
      </c>
      <c r="BH78" s="310">
        <f t="shared" si="15"/>
        <v>0</v>
      </c>
      <c r="BI78" s="310">
        <f t="shared" si="16"/>
        <v>7</v>
      </c>
    </row>
    <row r="79" spans="5:61" x14ac:dyDescent="0.3">
      <c r="T79" s="37" t="s">
        <v>414</v>
      </c>
      <c r="U79" s="296">
        <v>44187</v>
      </c>
      <c r="V79" t="s">
        <v>407</v>
      </c>
      <c r="W79">
        <v>975</v>
      </c>
      <c r="X79" t="s">
        <v>341</v>
      </c>
      <c r="Y79" s="298" t="s">
        <v>417</v>
      </c>
      <c r="Z79" s="298" t="s">
        <v>11</v>
      </c>
      <c r="AP79" s="310"/>
      <c r="AQ79" s="328" t="s">
        <v>474</v>
      </c>
      <c r="AR79" s="71">
        <f t="shared" si="8"/>
        <v>1920</v>
      </c>
      <c r="AS79" s="71">
        <f t="shared" si="11"/>
        <v>384</v>
      </c>
      <c r="AT79" s="329">
        <f t="shared" si="12"/>
        <v>0.39384615384615385</v>
      </c>
      <c r="AV79" s="310"/>
      <c r="AW79" s="328" t="s">
        <v>474</v>
      </c>
      <c r="AX79" s="71">
        <v>0</v>
      </c>
      <c r="AY79">
        <v>0</v>
      </c>
      <c r="AZ79" s="328" t="s">
        <v>474</v>
      </c>
      <c r="BA79" s="310">
        <f t="shared" si="9"/>
        <v>0</v>
      </c>
      <c r="BB79" s="310">
        <f t="shared" si="13"/>
        <v>384</v>
      </c>
      <c r="BC79" s="310">
        <f t="shared" si="14"/>
        <v>522</v>
      </c>
      <c r="BE79" s="328" t="s">
        <v>474</v>
      </c>
      <c r="BF79" s="310">
        <v>0</v>
      </c>
      <c r="BG79" s="310">
        <f t="shared" si="10"/>
        <v>0</v>
      </c>
      <c r="BH79" s="310">
        <f t="shared" si="15"/>
        <v>0</v>
      </c>
      <c r="BI79" s="310">
        <f t="shared" si="16"/>
        <v>7</v>
      </c>
    </row>
    <row r="80" spans="5:61" x14ac:dyDescent="0.3">
      <c r="T80" s="37"/>
      <c r="U80" s="297"/>
      <c r="AP80" s="310"/>
      <c r="AQ80" s="328" t="s">
        <v>475</v>
      </c>
      <c r="AR80" s="71">
        <f t="shared" si="8"/>
        <v>1920</v>
      </c>
      <c r="AS80" s="71">
        <f t="shared" si="11"/>
        <v>384</v>
      </c>
      <c r="AT80" s="329">
        <f t="shared" si="12"/>
        <v>0.39384615384615385</v>
      </c>
      <c r="AV80" s="310"/>
      <c r="AW80" s="328" t="s">
        <v>475</v>
      </c>
      <c r="AX80" s="71">
        <v>0</v>
      </c>
      <c r="AY80">
        <v>0</v>
      </c>
      <c r="AZ80" s="328" t="s">
        <v>475</v>
      </c>
      <c r="BA80" s="310">
        <f t="shared" si="9"/>
        <v>0</v>
      </c>
      <c r="BB80" s="310">
        <f t="shared" si="13"/>
        <v>384</v>
      </c>
      <c r="BC80" s="310">
        <f t="shared" si="14"/>
        <v>138</v>
      </c>
      <c r="BE80" s="328" t="s">
        <v>475</v>
      </c>
      <c r="BF80" s="310">
        <v>0</v>
      </c>
      <c r="BG80" s="310">
        <f t="shared" si="10"/>
        <v>0</v>
      </c>
      <c r="BH80" s="310">
        <f t="shared" si="15"/>
        <v>0</v>
      </c>
      <c r="BI80" s="310">
        <f t="shared" si="16"/>
        <v>7</v>
      </c>
    </row>
    <row r="81" spans="20:61" x14ac:dyDescent="0.3">
      <c r="AP81" s="310"/>
      <c r="AQ81" s="328" t="s">
        <v>476</v>
      </c>
      <c r="AR81" s="71">
        <f t="shared" si="8"/>
        <v>1920</v>
      </c>
      <c r="AS81" s="71">
        <f t="shared" si="11"/>
        <v>384</v>
      </c>
      <c r="AT81" s="329">
        <f t="shared" si="12"/>
        <v>0.39384615384615385</v>
      </c>
      <c r="AV81" s="310"/>
      <c r="AW81" s="328" t="s">
        <v>476</v>
      </c>
      <c r="AX81" s="71">
        <v>0</v>
      </c>
      <c r="AY81">
        <v>20</v>
      </c>
      <c r="AZ81" s="328" t="s">
        <v>476</v>
      </c>
      <c r="BA81" s="310">
        <f t="shared" si="9"/>
        <v>975</v>
      </c>
      <c r="BB81" s="310">
        <f t="shared" si="13"/>
        <v>384</v>
      </c>
      <c r="BC81" s="310">
        <f t="shared" si="14"/>
        <v>729</v>
      </c>
      <c r="BE81" s="328" t="s">
        <v>476</v>
      </c>
      <c r="BF81" s="310">
        <v>0</v>
      </c>
      <c r="BG81" s="310">
        <f t="shared" si="10"/>
        <v>1</v>
      </c>
      <c r="BH81" s="310">
        <f t="shared" si="15"/>
        <v>0</v>
      </c>
      <c r="BI81" s="310">
        <f t="shared" si="16"/>
        <v>6</v>
      </c>
    </row>
    <row r="82" spans="20:61" ht="28.8" x14ac:dyDescent="0.3">
      <c r="T82" s="301" t="s">
        <v>444</v>
      </c>
      <c r="AP82" s="310"/>
      <c r="AQ82" s="328" t="s">
        <v>477</v>
      </c>
      <c r="AR82" s="71">
        <f t="shared" si="8"/>
        <v>1920</v>
      </c>
      <c r="AS82" s="71">
        <f t="shared" si="11"/>
        <v>384</v>
      </c>
      <c r="AT82" s="329">
        <f t="shared" si="12"/>
        <v>0.39384615384615385</v>
      </c>
      <c r="AV82" s="310"/>
      <c r="AW82" s="328" t="s">
        <v>477</v>
      </c>
      <c r="AX82" s="71">
        <v>0</v>
      </c>
      <c r="AY82">
        <v>0</v>
      </c>
      <c r="AZ82" s="328" t="s">
        <v>477</v>
      </c>
      <c r="BA82" s="310">
        <f t="shared" si="9"/>
        <v>0</v>
      </c>
      <c r="BB82" s="310">
        <f t="shared" si="13"/>
        <v>384</v>
      </c>
      <c r="BC82" s="310">
        <f t="shared" si="14"/>
        <v>345</v>
      </c>
      <c r="BE82" s="328" t="s">
        <v>477</v>
      </c>
      <c r="BF82" s="310">
        <v>0</v>
      </c>
      <c r="BG82" s="310">
        <f t="shared" si="10"/>
        <v>0</v>
      </c>
      <c r="BH82" s="310">
        <f t="shared" si="15"/>
        <v>0</v>
      </c>
      <c r="BI82" s="310">
        <f t="shared" si="16"/>
        <v>6</v>
      </c>
    </row>
    <row r="83" spans="20:61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1">
        <f t="shared" si="8"/>
        <v>1920</v>
      </c>
      <c r="AS83" s="71">
        <f t="shared" si="11"/>
        <v>384</v>
      </c>
      <c r="AT83" s="329">
        <f t="shared" si="12"/>
        <v>0.39384615384615385</v>
      </c>
      <c r="AV83" s="310"/>
      <c r="AW83" s="328" t="s">
        <v>478</v>
      </c>
      <c r="AX83" s="71">
        <v>0</v>
      </c>
      <c r="AY83">
        <v>0</v>
      </c>
      <c r="AZ83" s="328" t="s">
        <v>478</v>
      </c>
      <c r="BA83" s="310">
        <f t="shared" si="9"/>
        <v>975</v>
      </c>
      <c r="BB83" s="310">
        <f t="shared" si="13"/>
        <v>384</v>
      </c>
      <c r="BC83" s="310">
        <f t="shared" si="14"/>
        <v>936</v>
      </c>
      <c r="BE83" s="328" t="s">
        <v>478</v>
      </c>
      <c r="BF83" s="310">
        <v>0</v>
      </c>
      <c r="BG83" s="310">
        <f t="shared" si="10"/>
        <v>1</v>
      </c>
      <c r="BH83" s="310">
        <f t="shared" si="15"/>
        <v>0</v>
      </c>
      <c r="BI83" s="310">
        <f t="shared" si="16"/>
        <v>5</v>
      </c>
    </row>
    <row r="84" spans="20:61" ht="42" customHeight="1" x14ac:dyDescent="0.3">
      <c r="T84" s="37" t="s">
        <v>414</v>
      </c>
      <c r="U84" s="296">
        <v>44187</v>
      </c>
      <c r="V84" t="s">
        <v>408</v>
      </c>
      <c r="W84">
        <v>1</v>
      </c>
      <c r="X84" t="s">
        <v>435</v>
      </c>
      <c r="Y84" s="298" t="s">
        <v>425</v>
      </c>
      <c r="Z84" s="298" t="s">
        <v>11</v>
      </c>
      <c r="AP84" s="310"/>
      <c r="AQ84" s="328" t="s">
        <v>479</v>
      </c>
      <c r="AR84" s="71">
        <f t="shared" si="8"/>
        <v>1920</v>
      </c>
      <c r="AS84" s="71">
        <f t="shared" si="11"/>
        <v>384</v>
      </c>
      <c r="AT84" s="329">
        <f t="shared" si="12"/>
        <v>0.39384615384615385</v>
      </c>
      <c r="AV84" s="310"/>
      <c r="AW84" s="328" t="s">
        <v>479</v>
      </c>
      <c r="AX84" s="71">
        <v>0</v>
      </c>
      <c r="AY84">
        <v>20</v>
      </c>
      <c r="AZ84" s="328" t="s">
        <v>479</v>
      </c>
      <c r="BA84" s="310">
        <f t="shared" si="9"/>
        <v>0</v>
      </c>
      <c r="BB84" s="310">
        <f t="shared" si="13"/>
        <v>384</v>
      </c>
      <c r="BC84" s="310">
        <f t="shared" si="14"/>
        <v>552</v>
      </c>
      <c r="BE84" s="328" t="s">
        <v>479</v>
      </c>
      <c r="BF84" s="310">
        <v>0</v>
      </c>
      <c r="BG84" s="310">
        <f t="shared" si="10"/>
        <v>0</v>
      </c>
      <c r="BH84" s="310">
        <f t="shared" si="15"/>
        <v>0</v>
      </c>
      <c r="BI84" s="310">
        <f t="shared" si="16"/>
        <v>5</v>
      </c>
    </row>
    <row r="85" spans="20:61" x14ac:dyDescent="0.3">
      <c r="T85" s="37" t="s">
        <v>414</v>
      </c>
      <c r="U85" s="296">
        <v>44187</v>
      </c>
      <c r="V85" t="s">
        <v>407</v>
      </c>
      <c r="W85">
        <v>30</v>
      </c>
      <c r="X85" t="s">
        <v>341</v>
      </c>
      <c r="Y85" s="302" t="s">
        <v>416</v>
      </c>
      <c r="Z85" s="302" t="s">
        <v>419</v>
      </c>
      <c r="AP85" s="310"/>
      <c r="AQ85" s="328" t="s">
        <v>480</v>
      </c>
      <c r="AR85" s="71">
        <f t="shared" si="8"/>
        <v>1920</v>
      </c>
      <c r="AS85" s="71">
        <f t="shared" si="11"/>
        <v>384</v>
      </c>
      <c r="AT85" s="329">
        <f t="shared" si="12"/>
        <v>0.39384615384615385</v>
      </c>
      <c r="AV85" s="310"/>
      <c r="AW85" s="328" t="s">
        <v>480</v>
      </c>
      <c r="AX85" s="71">
        <v>0</v>
      </c>
      <c r="AY85">
        <v>0</v>
      </c>
      <c r="AZ85" s="328" t="s">
        <v>480</v>
      </c>
      <c r="BA85" s="310">
        <f t="shared" si="9"/>
        <v>0</v>
      </c>
      <c r="BB85" s="310">
        <f t="shared" si="13"/>
        <v>384</v>
      </c>
      <c r="BC85" s="310">
        <f t="shared" si="14"/>
        <v>168</v>
      </c>
      <c r="BE85" s="328" t="s">
        <v>480</v>
      </c>
      <c r="BF85" s="310">
        <v>0</v>
      </c>
      <c r="BG85" s="310">
        <f t="shared" si="10"/>
        <v>0</v>
      </c>
      <c r="BH85" s="310">
        <f t="shared" si="15"/>
        <v>0</v>
      </c>
      <c r="BI85" s="310">
        <f t="shared" si="16"/>
        <v>5</v>
      </c>
    </row>
    <row r="86" spans="20:61" x14ac:dyDescent="0.3">
      <c r="T86" s="37" t="s">
        <v>414</v>
      </c>
      <c r="U86" s="296">
        <v>44187</v>
      </c>
      <c r="V86" t="s">
        <v>407</v>
      </c>
      <c r="W86">
        <v>100</v>
      </c>
      <c r="X86" t="s">
        <v>341</v>
      </c>
      <c r="Y86" s="299" t="s">
        <v>415</v>
      </c>
      <c r="Z86" s="299" t="s">
        <v>418</v>
      </c>
      <c r="AP86" s="310"/>
      <c r="AQ86" s="328" t="s">
        <v>481</v>
      </c>
      <c r="AR86" s="71">
        <f t="shared" si="8"/>
        <v>1920</v>
      </c>
      <c r="AS86" s="71">
        <f t="shared" si="11"/>
        <v>384</v>
      </c>
      <c r="AT86" s="329">
        <f t="shared" si="12"/>
        <v>0.39384615384615385</v>
      </c>
      <c r="AV86" s="310"/>
      <c r="AW86" s="328" t="s">
        <v>481</v>
      </c>
      <c r="AX86" s="71">
        <v>0</v>
      </c>
      <c r="AY86">
        <v>0</v>
      </c>
      <c r="AZ86" s="328" t="s">
        <v>481</v>
      </c>
      <c r="BA86" s="310">
        <f t="shared" si="9"/>
        <v>975</v>
      </c>
      <c r="BB86" s="310">
        <f t="shared" si="13"/>
        <v>384</v>
      </c>
      <c r="BC86" s="310">
        <f t="shared" si="14"/>
        <v>759</v>
      </c>
      <c r="BE86" s="328" t="s">
        <v>481</v>
      </c>
      <c r="BF86" s="310">
        <v>0</v>
      </c>
      <c r="BG86" s="310">
        <f t="shared" si="10"/>
        <v>1</v>
      </c>
      <c r="BH86" s="310">
        <f t="shared" si="15"/>
        <v>0</v>
      </c>
      <c r="BI86" s="310">
        <f t="shared" si="16"/>
        <v>4</v>
      </c>
    </row>
    <row r="87" spans="20:61" x14ac:dyDescent="0.3">
      <c r="T87" s="37" t="s">
        <v>414</v>
      </c>
      <c r="U87" s="296">
        <v>44187</v>
      </c>
      <c r="V87" t="s">
        <v>407</v>
      </c>
      <c r="W87" s="305">
        <v>830</v>
      </c>
      <c r="X87" t="s">
        <v>341</v>
      </c>
      <c r="Y87" s="298" t="s">
        <v>417</v>
      </c>
      <c r="Z87" s="298" t="s">
        <v>11</v>
      </c>
      <c r="AP87" s="310"/>
      <c r="AQ87" s="328" t="s">
        <v>510</v>
      </c>
      <c r="AR87" s="71">
        <f t="shared" si="8"/>
        <v>1920</v>
      </c>
      <c r="AS87" s="71">
        <f t="shared" si="11"/>
        <v>384</v>
      </c>
      <c r="AT87" s="329">
        <f t="shared" si="12"/>
        <v>0.39384615384615385</v>
      </c>
      <c r="AV87" s="310"/>
      <c r="AW87" s="328" t="s">
        <v>510</v>
      </c>
      <c r="AX87" s="71">
        <v>0</v>
      </c>
      <c r="AY87">
        <v>20</v>
      </c>
      <c r="AZ87" s="328" t="s">
        <v>510</v>
      </c>
      <c r="BA87" s="310">
        <f t="shared" si="9"/>
        <v>0</v>
      </c>
      <c r="BB87" s="310">
        <f t="shared" si="13"/>
        <v>384</v>
      </c>
      <c r="BC87" s="310">
        <f t="shared" ref="BC87" si="17">BA87+BC86-BB87</f>
        <v>375</v>
      </c>
      <c r="BE87" s="328" t="s">
        <v>510</v>
      </c>
      <c r="BF87" s="310">
        <v>0</v>
      </c>
      <c r="BG87" s="310">
        <f t="shared" si="10"/>
        <v>0</v>
      </c>
      <c r="BH87" s="310">
        <f t="shared" si="15"/>
        <v>0</v>
      </c>
      <c r="BI87" s="310">
        <f t="shared" si="16"/>
        <v>4</v>
      </c>
    </row>
    <row r="88" spans="20:61" x14ac:dyDescent="0.3">
      <c r="AQ88" s="333" t="s">
        <v>66</v>
      </c>
      <c r="AR88">
        <f>SUM(AR57:AR87)</f>
        <v>59520</v>
      </c>
      <c r="AS88">
        <f>SUM(AS57:AS87)</f>
        <v>11904</v>
      </c>
      <c r="AW88" s="333" t="s">
        <v>66</v>
      </c>
      <c r="AX88">
        <f>SUM(AX57:AX87)</f>
        <v>0</v>
      </c>
      <c r="AZ88" s="333" t="s">
        <v>66</v>
      </c>
      <c r="BA88">
        <f>SUM(BA57:BA87)</f>
        <v>11700</v>
      </c>
      <c r="BB88" t="s">
        <v>341</v>
      </c>
      <c r="BE88" s="333" t="s">
        <v>66</v>
      </c>
      <c r="BF88">
        <f>SUM(BF57:BF87)</f>
        <v>12</v>
      </c>
      <c r="BG88" t="s">
        <v>435</v>
      </c>
      <c r="BH88">
        <f>SUM(BH57:BH87)</f>
        <v>0</v>
      </c>
    </row>
    <row r="90" spans="20:61" x14ac:dyDescent="0.3">
      <c r="T90" s="301" t="s">
        <v>445</v>
      </c>
    </row>
    <row r="91" spans="20:61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</row>
    <row r="92" spans="20:61" x14ac:dyDescent="0.3">
      <c r="T92" s="37" t="s">
        <v>414</v>
      </c>
      <c r="U92" s="296">
        <v>44187</v>
      </c>
      <c r="V92" t="s">
        <v>407</v>
      </c>
      <c r="W92">
        <v>50</v>
      </c>
      <c r="X92" t="s">
        <v>341</v>
      </c>
      <c r="Y92" s="302" t="s">
        <v>447</v>
      </c>
      <c r="Z92" s="302" t="s">
        <v>419</v>
      </c>
      <c r="AA92" t="s">
        <v>449</v>
      </c>
    </row>
  </sheetData>
  <mergeCells count="8">
    <mergeCell ref="AE59:AE67"/>
    <mergeCell ref="U56:U58"/>
    <mergeCell ref="U59:U66"/>
    <mergeCell ref="AZ55:BA55"/>
    <mergeCell ref="BE55:BF55"/>
    <mergeCell ref="AV55:AW55"/>
    <mergeCell ref="AP55:AQ55"/>
    <mergeCell ref="AE56:AE58"/>
  </mergeCells>
  <phoneticPr fontId="6" type="noConversion"/>
  <conditionalFormatting sqref="F32:F6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{CECAD9AE-0119-4534-8CB0-2E684C1224F4}</x14:id>
        </ext>
      </extLst>
    </cfRule>
  </conditionalFormatting>
  <conditionalFormatting sqref="G32:K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{280ACC5B-4627-488E-BFB0-2E9DEE94A622}</x14:id>
        </ext>
      </extLst>
    </cfRule>
  </conditionalFormatting>
  <hyperlinks>
    <hyperlink ref="E3" r:id="rId1" xr:uid="{DDB17CC0-DD60-42F3-A708-21FA63788B51}"/>
    <hyperlink ref="E5" r:id="rId2" xr:uid="{1DE0DD2A-5DDE-43AE-8BCF-0CE2C870BCC8}"/>
    <hyperlink ref="E10" r:id="rId3" xr:uid="{C73320CF-E241-474F-B201-3E27C00CAB5E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AD9AE-0119-4534-8CB0-2E684C1224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280ACC5B-4627-488E-BFB0-2E9DEE94A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0587-D2FA-4E09-B2DA-6DCE4A63E96A}">
  <sheetPr>
    <tabColor theme="9" tint="0.59999389629810485"/>
  </sheetPr>
  <dimension ref="A1:BN92"/>
  <sheetViews>
    <sheetView topLeftCell="AN57" zoomScale="84" zoomScaleNormal="84" workbookViewId="0">
      <selection activeCell="BB67" sqref="BB67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1093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9.5546875" customWidth="1"/>
    <col min="37" max="37" width="9.88671875" customWidth="1"/>
    <col min="38" max="38" width="9.44140625" customWidth="1"/>
    <col min="42" max="42" width="12.77734375" bestFit="1" customWidth="1"/>
    <col min="44" max="44" width="9.44140625" bestFit="1" customWidth="1"/>
    <col min="45" max="45" width="17.6640625" bestFit="1" customWidth="1"/>
    <col min="46" max="46" width="7.6640625" bestFit="1" customWidth="1"/>
    <col min="48" max="48" width="12.77734375" bestFit="1" customWidth="1"/>
    <col min="49" max="49" width="9.77734375" customWidth="1"/>
    <col min="50" max="50" width="8.88671875" bestFit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bestFit="1" customWidth="1"/>
    <col min="58" max="58" width="13.6640625" bestFit="1" customWidth="1"/>
    <col min="59" max="59" width="21.33203125" bestFit="1" customWidth="1"/>
    <col min="60" max="60" width="12.77734375" bestFit="1" customWidth="1"/>
    <col min="61" max="61" width="12.5546875" customWidth="1"/>
    <col min="62" max="62" width="5" bestFit="1" customWidth="1"/>
  </cols>
  <sheetData>
    <row r="1" spans="1:15" ht="21" x14ac:dyDescent="0.4">
      <c r="A1" s="152" t="s">
        <v>539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</row>
    <row r="17" spans="1:29" ht="14.4" customHeight="1" x14ac:dyDescent="0.4">
      <c r="A17" s="152"/>
      <c r="E17" t="s">
        <v>343</v>
      </c>
      <c r="K17" s="249" t="s">
        <v>450</v>
      </c>
      <c r="L17" t="s">
        <v>397</v>
      </c>
    </row>
    <row r="18" spans="1:29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29" ht="14.4" customHeight="1" x14ac:dyDescent="0.4">
      <c r="A19" s="152"/>
      <c r="E19" s="290" t="s">
        <v>345</v>
      </c>
    </row>
    <row r="20" spans="1:29" ht="14.4" customHeight="1" x14ac:dyDescent="0.4">
      <c r="A20" s="152"/>
      <c r="E20" s="291" t="s">
        <v>348</v>
      </c>
      <c r="J20" s="249" t="s">
        <v>398</v>
      </c>
      <c r="L20" s="249" t="s">
        <v>399</v>
      </c>
    </row>
    <row r="21" spans="1:29" x14ac:dyDescent="0.3">
      <c r="A21" s="26"/>
      <c r="E21" s="6" t="s">
        <v>346</v>
      </c>
      <c r="J21" t="s">
        <v>504</v>
      </c>
      <c r="L21" t="s">
        <v>505</v>
      </c>
    </row>
    <row r="22" spans="1:29" x14ac:dyDescent="0.3">
      <c r="A22" s="26"/>
      <c r="E22" s="6"/>
    </row>
    <row r="23" spans="1:29" x14ac:dyDescent="0.3">
      <c r="A23" s="26"/>
      <c r="E23" s="20" t="s">
        <v>56</v>
      </c>
      <c r="F23" s="331" t="s">
        <v>57</v>
      </c>
    </row>
    <row r="24" spans="1:29" ht="28.8" x14ac:dyDescent="0.3">
      <c r="A24" s="26"/>
      <c r="E24" s="20" t="s">
        <v>352</v>
      </c>
      <c r="F24" s="347" t="s">
        <v>223</v>
      </c>
      <c r="G24" s="241" t="s">
        <v>357</v>
      </c>
      <c r="H24" s="241">
        <v>20</v>
      </c>
      <c r="I24" s="241"/>
      <c r="J24" s="241"/>
      <c r="K24" s="241"/>
    </row>
    <row r="25" spans="1:29" x14ac:dyDescent="0.3">
      <c r="D25" s="295" t="s">
        <v>379</v>
      </c>
      <c r="E25" s="20" t="s">
        <v>291</v>
      </c>
      <c r="F25" s="331">
        <v>1</v>
      </c>
      <c r="G25" t="s">
        <v>293</v>
      </c>
    </row>
    <row r="26" spans="1:29" x14ac:dyDescent="0.3">
      <c r="E26" s="293" t="s">
        <v>342</v>
      </c>
      <c r="F26" s="331">
        <f>BH52</f>
        <v>9750</v>
      </c>
      <c r="G26" t="s">
        <v>341</v>
      </c>
      <c r="H26" s="3" t="s">
        <v>369</v>
      </c>
      <c r="I26" s="326">
        <v>975</v>
      </c>
      <c r="J26" t="s">
        <v>367</v>
      </c>
    </row>
    <row r="27" spans="1:29" s="6" customFormat="1" x14ac:dyDescent="0.3">
      <c r="E27" s="231" t="s">
        <v>300</v>
      </c>
      <c r="F27" s="331">
        <f>BH53</f>
        <v>1950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29" s="6" customFormat="1" x14ac:dyDescent="0.3">
      <c r="E28" s="45" t="s">
        <v>299</v>
      </c>
      <c r="F28" s="331">
        <f>BH54</f>
        <v>4875</v>
      </c>
      <c r="G28" t="s">
        <v>341</v>
      </c>
      <c r="H28"/>
      <c r="I28"/>
      <c r="J28"/>
      <c r="K28"/>
    </row>
    <row r="29" spans="1:29" s="6" customFormat="1" x14ac:dyDescent="0.3">
      <c r="E29" s="45" t="s">
        <v>298</v>
      </c>
      <c r="F29" s="331">
        <f>BH55</f>
        <v>4875</v>
      </c>
      <c r="G29" t="s">
        <v>341</v>
      </c>
      <c r="H29"/>
      <c r="I29"/>
      <c r="J29"/>
      <c r="K29"/>
    </row>
    <row r="30" spans="1:29" s="6" customFormat="1" x14ac:dyDescent="0.3"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</row>
    <row r="32" spans="1:29" x14ac:dyDescent="0.3">
      <c r="B32" t="s">
        <v>25</v>
      </c>
      <c r="C32" s="230" t="s">
        <v>509</v>
      </c>
      <c r="D32" s="1"/>
      <c r="E32" s="1"/>
      <c r="F32" s="1"/>
      <c r="G32" s="307">
        <f>AA63*975</f>
        <v>2925</v>
      </c>
      <c r="H32" s="1"/>
      <c r="I32" s="1"/>
      <c r="J32" s="308">
        <f>AL66</f>
        <v>195</v>
      </c>
      <c r="K32" s="229">
        <f>Table14[[#This Row],[ULT Ending Inventory 
(-75 deg C) (vials)]]+Table14[[#This Row],[Thawed Ending Inventory
(2-8 deg C) (vials)]]</f>
        <v>3120</v>
      </c>
      <c r="L32" s="229">
        <f>$F$27</f>
        <v>1950</v>
      </c>
      <c r="M32" s="229">
        <f>$F$26</f>
        <v>9750</v>
      </c>
      <c r="N32" s="229">
        <f t="shared" ref="N32:N62" si="0">$F$29</f>
        <v>4875</v>
      </c>
      <c r="O32" s="229" t="str">
        <f>IF(Table14[[#This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62" x14ac:dyDescent="0.3">
      <c r="C33" s="230" t="s">
        <v>512</v>
      </c>
      <c r="D33" s="1"/>
      <c r="E33" s="1">
        <f t="shared" ref="E33:E62" si="1">BF58*$I$26</f>
        <v>0</v>
      </c>
      <c r="F33" s="1">
        <f>IF(Table14[[#This Row],[Daily Vaccination
(vials)]]&gt;J32+Table14[[#This Row],[Problematic 
Vaccine 
Quantity]],IF(Table14[[#This Row],[Daily Vaccination
(vials)]]&gt;$I$26+J32,2*$I$26,$I$26),0)</f>
        <v>975</v>
      </c>
      <c r="G33" s="229">
        <f xml:space="preserve"> E33+G32-F33-Table14[[#This Row],[Outbound 20 clinics
(vials)]]</f>
        <v>1950</v>
      </c>
      <c r="H33" s="229">
        <f>AX58*975</f>
        <v>0</v>
      </c>
      <c r="I33" s="229">
        <f>AS58</f>
        <v>214.00000000000003</v>
      </c>
      <c r="J33" s="229">
        <f>J32+Table14[[#This Row],[ULT Consumption
(vials)]]-Table14[[#This Row],[Daily Vaccination
(vials)]]+Table14[[#This Row],[Problematic 
Vaccine 
Quantity]]</f>
        <v>956</v>
      </c>
      <c r="K33" s="229">
        <f>Table14[[#This Row],[ULT Ending Inventory 
(-75 deg C) (vials)]]+Table14[[#This Row],[Thawed Ending Inventory
(2-8 deg C) (vials)]]</f>
        <v>2906</v>
      </c>
      <c r="L33" s="229">
        <f t="shared" ref="L33:L62" si="2">$F$27</f>
        <v>1950</v>
      </c>
      <c r="M33" s="229">
        <f t="shared" ref="M33:M62" si="3">$F$26</f>
        <v>9750</v>
      </c>
      <c r="N33" s="229">
        <f t="shared" si="0"/>
        <v>4875</v>
      </c>
      <c r="O33" s="229" t="str">
        <f>IF(Table14[[#This Row],[Problematic 
Vaccine 
Quantity]]&gt;0, "YES","NO")</f>
        <v>NO</v>
      </c>
      <c r="P33" s="229">
        <v>0</v>
      </c>
      <c r="Q33" s="229">
        <f>Q32+(Table14[[#This Row],[Daily Vaccination
(vials)]]+Table14[[#This Row],[Outbound 20 clinics
(vials)]])*5</f>
        <v>10820</v>
      </c>
      <c r="R33" s="229"/>
      <c r="AA33" t="s">
        <v>381</v>
      </c>
      <c r="AB33" t="s">
        <v>404</v>
      </c>
      <c r="AC33" t="s">
        <v>405</v>
      </c>
    </row>
    <row r="34" spans="2:62" x14ac:dyDescent="0.3">
      <c r="C34" s="230" t="s">
        <v>513</v>
      </c>
      <c r="D34" s="1"/>
      <c r="E34" s="1">
        <f t="shared" si="1"/>
        <v>0</v>
      </c>
      <c r="F34" s="1">
        <f>IF(Table14[[#This Row],[Daily Vaccination
(vials)]]&gt;J33+Table14[[#This Row],[Problematic 
Vaccine 
Quantity]],IF(Table14[[#This Row],[Daily Vaccination
(vials)]]&gt;$I$26+J33,2*$I$26,$I$26),0)</f>
        <v>0</v>
      </c>
      <c r="G34" s="229">
        <f xml:space="preserve"> E34+G33-F34-Table14[[#This Row],[Outbound 20 clinics
(vials)]]</f>
        <v>1950</v>
      </c>
      <c r="H34" s="229">
        <f t="shared" ref="H34:H35" si="4">AX59*975</f>
        <v>0</v>
      </c>
      <c r="I34" s="229">
        <f t="shared" ref="I34:I62" si="5">AS59</f>
        <v>214.00000000000003</v>
      </c>
      <c r="J34" s="229">
        <f>J33+Table14[[#This Row],[ULT Consumption
(vials)]]-Table14[[#This Row],[Daily Vaccination
(vials)]]+Table14[[#This Row],[Problematic 
Vaccine 
Quantity]]</f>
        <v>742</v>
      </c>
      <c r="K34" s="229">
        <f>Table14[[#This Row],[ULT Ending Inventory 
(-75 deg C) (vials)]]+Table14[[#This Row],[Thawed Ending Inventory
(2-8 deg C) (vials)]]</f>
        <v>2692</v>
      </c>
      <c r="L34" s="229">
        <f t="shared" si="2"/>
        <v>1950</v>
      </c>
      <c r="M34" s="229">
        <f t="shared" si="3"/>
        <v>9750</v>
      </c>
      <c r="N34" s="229">
        <f t="shared" si="0"/>
        <v>4875</v>
      </c>
      <c r="O34" s="229" t="str">
        <f>IF(Table14[[#This Row],[Problematic 
Vaccine 
Quantity]]&gt;0, "YES","NO")</f>
        <v>NO</v>
      </c>
      <c r="P34" s="229">
        <v>0</v>
      </c>
      <c r="Q34" s="229">
        <f>Q33+(Table14[[#This Row],[Daily Vaccination
(vials)]]+Table14[[#This Row],[Outbound 20 clinics
(vials)]])*5</f>
        <v>11890</v>
      </c>
      <c r="R34" s="229"/>
      <c r="T34" t="s">
        <v>82</v>
      </c>
      <c r="BH34" s="62"/>
    </row>
    <row r="35" spans="2:62" x14ac:dyDescent="0.3">
      <c r="C35" s="230" t="s">
        <v>514</v>
      </c>
      <c r="D35" s="230"/>
      <c r="E35" s="1">
        <f t="shared" si="1"/>
        <v>0</v>
      </c>
      <c r="F35" s="1">
        <f>IF(Table14[[#This Row],[Daily Vaccination
(vials)]]&gt;J34+Table14[[#This Row],[Problematic 
Vaccine 
Quantity]],IF(Table14[[#This Row],[Daily Vaccination
(vials)]]&gt;$I$26+J34,2*$I$26,$I$26),0)</f>
        <v>0</v>
      </c>
      <c r="G35" s="229">
        <f xml:space="preserve"> E35+G34-F35-Table14[[#This Row],[Outbound 20 clinics
(vials)]]</f>
        <v>1950</v>
      </c>
      <c r="H35" s="229">
        <f t="shared" si="4"/>
        <v>0</v>
      </c>
      <c r="I35" s="229">
        <f t="shared" si="5"/>
        <v>214.00000000000003</v>
      </c>
      <c r="J35" s="229">
        <f>J34+Table14[[#This Row],[ULT Consumption
(vials)]]-Table14[[#This Row],[Daily Vaccination
(vials)]]+Table14[[#This Row],[Problematic 
Vaccine 
Quantity]]</f>
        <v>528</v>
      </c>
      <c r="K35" s="229">
        <f>Table14[[#This Row],[ULT Ending Inventory 
(-75 deg C) (vials)]]+Table14[[#This Row],[Thawed Ending Inventory
(2-8 deg C) (vials)]]</f>
        <v>2478</v>
      </c>
      <c r="L35" s="229">
        <f t="shared" si="2"/>
        <v>1950</v>
      </c>
      <c r="M35" s="229">
        <f t="shared" si="3"/>
        <v>9750</v>
      </c>
      <c r="N35" s="229">
        <f t="shared" si="0"/>
        <v>4875</v>
      </c>
      <c r="O35" s="229" t="str">
        <f>IF(Table14[[#This Row],[Problematic 
Vaccine 
Quantity]]&gt;0, "YES","NO")</f>
        <v>NO</v>
      </c>
      <c r="P35" s="229">
        <v>0</v>
      </c>
      <c r="Q35" s="229">
        <f>Q34+(Table14[[#This Row],[Daily Vaccination
(vials)]]+Table14[[#This Row],[Outbound 20 clinics
(vials)]])*5</f>
        <v>12960</v>
      </c>
      <c r="R35" s="229"/>
      <c r="W35" t="s">
        <v>383</v>
      </c>
      <c r="AA35" t="s">
        <v>382</v>
      </c>
      <c r="BH35" s="626"/>
    </row>
    <row r="36" spans="2:62" x14ac:dyDescent="0.3">
      <c r="C36" s="230" t="s">
        <v>515</v>
      </c>
      <c r="D36" s="230"/>
      <c r="E36" s="1">
        <f t="shared" si="1"/>
        <v>0</v>
      </c>
      <c r="F36" s="1">
        <f>IF(Table14[[#This Row],[Daily Vaccination
(vials)]]&gt;J35+Table14[[#This Row],[Problematic 
Vaccine 
Quantity]],IF(Table14[[#This Row],[Daily Vaccination
(vials)]]&gt;$I$26+J35,2*$I$26,$I$26),0)</f>
        <v>0</v>
      </c>
      <c r="G36" s="229">
        <f xml:space="preserve"> E36+G35-F36-Table14[[#This Row],[Outbound 20 clinics
(vials)]]</f>
        <v>1950</v>
      </c>
      <c r="H36" s="229">
        <f>AX61*975</f>
        <v>0</v>
      </c>
      <c r="I36" s="229">
        <f t="shared" si="5"/>
        <v>214.00000000000003</v>
      </c>
      <c r="J36" s="229">
        <f>J35+Table14[[#This Row],[ULT Consumption
(vials)]]-Table14[[#This Row],[Daily Vaccination
(vials)]]+Table14[[#This Row],[Problematic 
Vaccine 
Quantity]]</f>
        <v>314</v>
      </c>
      <c r="K36" s="229">
        <f>Table14[[#This Row],[ULT Ending Inventory 
(-75 deg C) (vials)]]+Table14[[#This Row],[Thawed Ending Inventory
(2-8 deg C) (vials)]]</f>
        <v>2264</v>
      </c>
      <c r="L36" s="229">
        <f t="shared" si="2"/>
        <v>1950</v>
      </c>
      <c r="M36" s="229">
        <f t="shared" si="3"/>
        <v>9750</v>
      </c>
      <c r="N36" s="229">
        <f t="shared" si="0"/>
        <v>4875</v>
      </c>
      <c r="O36" s="229" t="str">
        <f>IF(Table14[[#This Row],[Problematic 
Vaccine 
Quantity]]&gt;0, "YES","NO")</f>
        <v>NO</v>
      </c>
      <c r="P36" s="229">
        <v>0</v>
      </c>
      <c r="Q36" s="229">
        <f>Q35+(Table14[[#This Row],[Daily Vaccination
(vials)]]+Table14[[#This Row],[Outbound 20 clinics
(vials)]])*5</f>
        <v>14030</v>
      </c>
      <c r="R36" s="229"/>
      <c r="BH36" s="119"/>
    </row>
    <row r="37" spans="2:62" x14ac:dyDescent="0.3">
      <c r="C37" s="230" t="s">
        <v>516</v>
      </c>
      <c r="D37" s="230"/>
      <c r="E37" s="1">
        <f t="shared" si="1"/>
        <v>0</v>
      </c>
      <c r="F37" s="1">
        <f>IF(Table14[[#This Row],[Daily Vaccination
(vials)]]&gt;J36+Table14[[#This Row],[Problematic 
Vaccine 
Quantity]],IF(Table14[[#This Row],[Daily Vaccination
(vials)]]&gt;$I$26+J36,2*$I$26,$I$26),0)</f>
        <v>0</v>
      </c>
      <c r="G37" s="229">
        <f xml:space="preserve"> E37+G36-F37-Table14[[#This Row],[Outbound 20 clinics
(vials)]]</f>
        <v>1950</v>
      </c>
      <c r="H37" s="229">
        <f t="shared" ref="H37:H62" si="6">AX62*975</f>
        <v>0</v>
      </c>
      <c r="I37" s="229">
        <f t="shared" si="5"/>
        <v>214.00000000000003</v>
      </c>
      <c r="J37" s="229">
        <f>J36+Table14[[#This Row],[ULT Consumption
(vials)]]-Table14[[#This Row],[Daily Vaccination
(vials)]]+Table14[[#This Row],[Problematic 
Vaccine 
Quantity]]</f>
        <v>99.999999999999972</v>
      </c>
      <c r="K37" s="229">
        <f>Table14[[#This Row],[ULT Ending Inventory 
(-75 deg C) (vials)]]+Table14[[#This Row],[Thawed Ending Inventory
(2-8 deg C) (vials)]]</f>
        <v>2050</v>
      </c>
      <c r="L37" s="229">
        <f t="shared" si="2"/>
        <v>1950</v>
      </c>
      <c r="M37" s="229">
        <f t="shared" si="3"/>
        <v>9750</v>
      </c>
      <c r="N37" s="229">
        <f t="shared" si="0"/>
        <v>4875</v>
      </c>
      <c r="O37" s="229" t="str">
        <f>IF(Table14[[#This Row],[Problematic 
Vaccine 
Quantity]]&gt;0, "YES","NO")</f>
        <v>NO</v>
      </c>
      <c r="P37" s="229">
        <v>0</v>
      </c>
      <c r="Q37" s="229">
        <f>Q36+(Table14[[#This Row],[Daily Vaccination
(vials)]]+Table14[[#This Row],[Outbound 20 clinics
(vials)]])*5</f>
        <v>15100</v>
      </c>
      <c r="R37" s="229"/>
    </row>
    <row r="38" spans="2:62" x14ac:dyDescent="0.3">
      <c r="C38" s="230" t="s">
        <v>517</v>
      </c>
      <c r="D38" s="230"/>
      <c r="E38" s="1">
        <f t="shared" si="1"/>
        <v>4875</v>
      </c>
      <c r="F38" s="1">
        <f>IF(Table14[[#This Row],[Daily Vaccination
(vials)]]&gt;J37+Table14[[#This Row],[Problematic 
Vaccine 
Quantity]],IF(Table14[[#This Row],[Daily Vaccination
(vials)]]&gt;$I$26+J37,2*$I$26,$I$26),0)</f>
        <v>975</v>
      </c>
      <c r="G38" s="229">
        <f xml:space="preserve"> E38+G37-F38-Table14[[#This Row],[Outbound 20 clinics
(vials)]]</f>
        <v>5850</v>
      </c>
      <c r="H38" s="229">
        <f t="shared" si="6"/>
        <v>0</v>
      </c>
      <c r="I38" s="229">
        <f t="shared" si="5"/>
        <v>214.00000000000003</v>
      </c>
      <c r="J38" s="229">
        <f>J37+Table14[[#This Row],[ULT Consumption
(vials)]]-Table14[[#This Row],[Daily Vaccination
(vials)]]+Table14[[#This Row],[Problematic 
Vaccine 
Quantity]]</f>
        <v>861</v>
      </c>
      <c r="K38" s="229">
        <f>Table14[[#This Row],[ULT Ending Inventory 
(-75 deg C) (vials)]]+Table14[[#This Row],[Thawed Ending Inventory
(2-8 deg C) (vials)]]</f>
        <v>6711</v>
      </c>
      <c r="L38" s="229">
        <f t="shared" si="2"/>
        <v>1950</v>
      </c>
      <c r="M38" s="229">
        <f t="shared" si="3"/>
        <v>9750</v>
      </c>
      <c r="N38" s="229">
        <f t="shared" si="0"/>
        <v>4875</v>
      </c>
      <c r="O38" s="229" t="str">
        <f>IF(Table14[[#This Row],[Problematic 
Vaccine 
Quantity]]&gt;0, "YES","NO")</f>
        <v>NO</v>
      </c>
      <c r="P38" s="229">
        <v>0</v>
      </c>
      <c r="Q38" s="229">
        <f>Q37+(Table14[[#This Row],[Daily Vaccination
(vials)]]+Table14[[#This Row],[Outbound 20 clinics
(vials)]])*5</f>
        <v>16170</v>
      </c>
      <c r="R38" s="229"/>
      <c r="V38" t="s">
        <v>385</v>
      </c>
    </row>
    <row r="39" spans="2:62" x14ac:dyDescent="0.3">
      <c r="C39" s="230" t="s">
        <v>518</v>
      </c>
      <c r="D39" s="230"/>
      <c r="E39" s="1">
        <f t="shared" si="1"/>
        <v>0</v>
      </c>
      <c r="F39" s="1">
        <f>IF(Table14[[#This Row],[Daily Vaccination
(vials)]]&gt;J38+Table14[[#This Row],[Problematic 
Vaccine 
Quantity]],IF(Table14[[#This Row],[Daily Vaccination
(vials)]]&gt;$I$26+J38,2*$I$26,$I$26),0)</f>
        <v>0</v>
      </c>
      <c r="G39" s="229">
        <f xml:space="preserve"> E39+G38-F39-Table14[[#This Row],[Outbound 20 clinics
(vials)]]</f>
        <v>5850</v>
      </c>
      <c r="H39" s="229">
        <f t="shared" si="6"/>
        <v>0</v>
      </c>
      <c r="I39" s="229">
        <f t="shared" si="5"/>
        <v>214.00000000000003</v>
      </c>
      <c r="J39" s="229">
        <f>J38+Table14[[#This Row],[ULT Consumption
(vials)]]-Table14[[#This Row],[Daily Vaccination
(vials)]]+Table14[[#This Row],[Problematic 
Vaccine 
Quantity]]</f>
        <v>647</v>
      </c>
      <c r="K39" s="229">
        <f>Table14[[#This Row],[ULT Ending Inventory 
(-75 deg C) (vials)]]+Table14[[#This Row],[Thawed Ending Inventory
(2-8 deg C) (vials)]]</f>
        <v>6497</v>
      </c>
      <c r="L39" s="229">
        <f t="shared" si="2"/>
        <v>1950</v>
      </c>
      <c r="M39" s="229">
        <f t="shared" si="3"/>
        <v>9750</v>
      </c>
      <c r="N39" s="229">
        <f t="shared" si="0"/>
        <v>4875</v>
      </c>
      <c r="O39" s="229" t="str">
        <f>IF(Table14[[#This Row],[Problematic 
Vaccine 
Quantity]]&gt;0, "YES","NO")</f>
        <v>NO</v>
      </c>
      <c r="P39" s="229">
        <v>0</v>
      </c>
      <c r="Q39" s="229">
        <f>Q38+(Table14[[#This Row],[Daily Vaccination
(vials)]]+Table14[[#This Row],[Outbound 20 clinics
(vials)]])*5</f>
        <v>17240</v>
      </c>
      <c r="R39" s="229"/>
      <c r="V39">
        <v>5000</v>
      </c>
      <c r="X39" t="s">
        <v>384</v>
      </c>
      <c r="AA39" s="295" t="s">
        <v>401</v>
      </c>
      <c r="BG39" s="20" t="s">
        <v>677</v>
      </c>
      <c r="BH39" s="331">
        <v>64</v>
      </c>
      <c r="BI39" s="62"/>
    </row>
    <row r="40" spans="2:62" x14ac:dyDescent="0.3">
      <c r="C40" s="230" t="s">
        <v>519</v>
      </c>
      <c r="D40" s="230"/>
      <c r="E40" s="1">
        <f t="shared" si="1"/>
        <v>0</v>
      </c>
      <c r="F40" s="1">
        <f>IF(Table14[[#This Row],[Daily Vaccination
(vials)]]&gt;J39+Table14[[#This Row],[Problematic 
Vaccine 
Quantity]],IF(Table14[[#This Row],[Daily Vaccination
(vials)]]&gt;$I$26+J39,2*$I$26,$I$26),0)</f>
        <v>0</v>
      </c>
      <c r="G40" s="229">
        <f xml:space="preserve"> E40+G39-F40-Table14[[#This Row],[Outbound 20 clinics
(vials)]]</f>
        <v>5850</v>
      </c>
      <c r="H40" s="229">
        <f t="shared" si="6"/>
        <v>0</v>
      </c>
      <c r="I40" s="229">
        <f t="shared" si="5"/>
        <v>214.00000000000003</v>
      </c>
      <c r="J40" s="229">
        <f>J39+Table14[[#This Row],[ULT Consumption
(vials)]]-Table14[[#This Row],[Daily Vaccination
(vials)]]+Table14[[#This Row],[Problematic 
Vaccine 
Quantity]]</f>
        <v>433</v>
      </c>
      <c r="K40" s="229">
        <f>Table14[[#This Row],[ULT Ending Inventory 
(-75 deg C) (vials)]]+Table14[[#This Row],[Thawed Ending Inventory
(2-8 deg C) (vials)]]</f>
        <v>6283</v>
      </c>
      <c r="L40" s="229">
        <f t="shared" si="2"/>
        <v>1950</v>
      </c>
      <c r="M40" s="229">
        <f t="shared" si="3"/>
        <v>9750</v>
      </c>
      <c r="N40" s="229">
        <f t="shared" si="0"/>
        <v>4875</v>
      </c>
      <c r="O40" s="229" t="str">
        <f>IF(Table14[[#This Row],[Problematic 
Vaccine 
Quantity]]&gt;0, "YES","NO")</f>
        <v>NO</v>
      </c>
      <c r="P40" s="229">
        <v>0</v>
      </c>
      <c r="Q40" s="229">
        <f>Q39+(Table14[[#This Row],[Daily Vaccination
(vials)]]+Table14[[#This Row],[Outbound 20 clinics
(vials)]])*5</f>
        <v>18310</v>
      </c>
      <c r="R40" s="229"/>
      <c r="BG40" s="20" t="s">
        <v>680</v>
      </c>
      <c r="BH40" s="326">
        <v>80000</v>
      </c>
      <c r="BI40" t="s">
        <v>678</v>
      </c>
    </row>
    <row r="41" spans="2:62" x14ac:dyDescent="0.3">
      <c r="C41" s="230" t="s">
        <v>520</v>
      </c>
      <c r="D41" s="230"/>
      <c r="E41" s="1">
        <f t="shared" si="1"/>
        <v>0</v>
      </c>
      <c r="F41" s="1">
        <f>IF(Table14[[#This Row],[Daily Vaccination
(vials)]]&gt;J40+Table14[[#This Row],[Problematic 
Vaccine 
Quantity]],IF(Table14[[#This Row],[Daily Vaccination
(vials)]]&gt;$I$26+J40,2*$I$26,$I$26),0)</f>
        <v>0</v>
      </c>
      <c r="G41" s="229">
        <f xml:space="preserve"> E41+G40-F41-Table14[[#This Row],[Outbound 20 clinics
(vials)]]</f>
        <v>5850</v>
      </c>
      <c r="H41" s="229">
        <f t="shared" si="6"/>
        <v>0</v>
      </c>
      <c r="I41" s="229">
        <f t="shared" si="5"/>
        <v>214.00000000000003</v>
      </c>
      <c r="J41" s="229">
        <f>J40+Table14[[#This Row],[ULT Consumption
(vials)]]-Table14[[#This Row],[Daily Vaccination
(vials)]]+Table14[[#This Row],[Problematic 
Vaccine 
Quantity]]</f>
        <v>218.99999999999997</v>
      </c>
      <c r="K41" s="229">
        <f>Table14[[#This Row],[ULT Ending Inventory 
(-75 deg C) (vials)]]+Table14[[#This Row],[Thawed Ending Inventory
(2-8 deg C) (vials)]]</f>
        <v>6069</v>
      </c>
      <c r="L41" s="229">
        <f t="shared" si="2"/>
        <v>1950</v>
      </c>
      <c r="M41" s="229">
        <f t="shared" si="3"/>
        <v>9750</v>
      </c>
      <c r="N41" s="229">
        <f t="shared" si="0"/>
        <v>4875</v>
      </c>
      <c r="O41" s="229" t="str">
        <f>IF(Table14[[#This Row],[Problematic 
Vaccine 
Quantity]]&gt;0, "YES","NO")</f>
        <v>NO</v>
      </c>
      <c r="P41" s="229">
        <v>0</v>
      </c>
      <c r="Q41" s="229">
        <f>Q40+(Table14[[#This Row],[Daily Vaccination
(vials)]]+Table14[[#This Row],[Outbound 20 clinics
(vials)]])*5</f>
        <v>19380</v>
      </c>
      <c r="R41" s="229"/>
      <c r="BG41" s="20" t="s">
        <v>675</v>
      </c>
      <c r="BH41" s="627">
        <v>0.1</v>
      </c>
    </row>
    <row r="42" spans="2:62" x14ac:dyDescent="0.3">
      <c r="B42" t="s">
        <v>248</v>
      </c>
      <c r="C42" s="230" t="s">
        <v>463</v>
      </c>
      <c r="D42" s="230"/>
      <c r="E42" s="1">
        <f t="shared" si="1"/>
        <v>0</v>
      </c>
      <c r="F42" s="1">
        <f>IF(Table14[[#This Row],[Daily Vaccination
(vials)]]&gt;J41+Table14[[#This Row],[Problematic 
Vaccine 
Quantity]],IF(Table14[[#This Row],[Daily Vaccination
(vials)]]&gt;$I$26+J41,2*$I$26,$I$26),0)</f>
        <v>0</v>
      </c>
      <c r="G42" s="229">
        <f xml:space="preserve"> E42+G41-F42-Table14[[#This Row],[Outbound 20 clinics
(vials)]]</f>
        <v>5850</v>
      </c>
      <c r="H42" s="229">
        <f t="shared" si="6"/>
        <v>0</v>
      </c>
      <c r="I42" s="229">
        <f t="shared" si="5"/>
        <v>214.00000000000003</v>
      </c>
      <c r="J42" s="229">
        <f>J41+Table14[[#This Row],[ULT Consumption
(vials)]]-Table14[[#This Row],[Daily Vaccination
(vials)]]+Table14[[#This Row],[Problematic 
Vaccine 
Quantity]]</f>
        <v>4.9999999999999432</v>
      </c>
      <c r="K42" s="229">
        <f>Table14[[#This Row],[ULT Ending Inventory 
(-75 deg C) (vials)]]+Table14[[#This Row],[Thawed Ending Inventory
(2-8 deg C) (vials)]]</f>
        <v>5855</v>
      </c>
      <c r="L42" s="229">
        <f t="shared" si="2"/>
        <v>1950</v>
      </c>
      <c r="M42" s="229">
        <f t="shared" si="3"/>
        <v>9750</v>
      </c>
      <c r="N42" s="229">
        <f t="shared" si="0"/>
        <v>4875</v>
      </c>
      <c r="O42" s="229" t="str">
        <f>IF(Table14[[#This Row],[Problematic 
Vaccine 
Quantity]]&gt;0, "YES","NO")</f>
        <v>NO</v>
      </c>
      <c r="P42" s="229">
        <v>0</v>
      </c>
      <c r="Q42" s="229">
        <f>Q41+(Table14[[#This Row],[Daily Vaccination
(vials)]]+Table14[[#This Row],[Outbound 20 clinics
(vials)]])*5</f>
        <v>20450</v>
      </c>
      <c r="R42" s="229"/>
      <c r="BG42" s="20" t="s">
        <v>676</v>
      </c>
      <c r="BH42" s="326">
        <f>BH40*BH41</f>
        <v>8000</v>
      </c>
      <c r="BI42" t="s">
        <v>678</v>
      </c>
    </row>
    <row r="43" spans="2:62" x14ac:dyDescent="0.3">
      <c r="C43" s="230" t="s">
        <v>453</v>
      </c>
      <c r="D43" s="230"/>
      <c r="E43" s="1">
        <f t="shared" si="1"/>
        <v>0</v>
      </c>
      <c r="F43" s="1">
        <f>IF(Table14[[#This Row],[Daily Vaccination
(vials)]]&gt;J42+Table14[[#This Row],[Problematic 
Vaccine 
Quantity]],IF(Table14[[#This Row],[Daily Vaccination
(vials)]]&gt;$I$26+J42,2*$I$26,$I$26),0)</f>
        <v>975</v>
      </c>
      <c r="G43" s="229">
        <f xml:space="preserve"> E43+G42-F43-Table14[[#This Row],[Outbound 20 clinics
(vials)]]</f>
        <v>4875</v>
      </c>
      <c r="H43" s="229">
        <f t="shared" si="6"/>
        <v>0</v>
      </c>
      <c r="I43" s="229">
        <f t="shared" si="5"/>
        <v>214.00000000000003</v>
      </c>
      <c r="J43" s="229">
        <f>J42+Table14[[#This Row],[ULT Consumption
(vials)]]-Table14[[#This Row],[Daily Vaccination
(vials)]]+Table14[[#This Row],[Problematic 
Vaccine 
Quantity]]</f>
        <v>766</v>
      </c>
      <c r="K43" s="229">
        <f>Table14[[#This Row],[ULT Ending Inventory 
(-75 deg C) (vials)]]+Table14[[#This Row],[Thawed Ending Inventory
(2-8 deg C) (vials)]]</f>
        <v>5641</v>
      </c>
      <c r="L43" s="229">
        <f t="shared" si="2"/>
        <v>1950</v>
      </c>
      <c r="M43" s="229">
        <f t="shared" si="3"/>
        <v>9750</v>
      </c>
      <c r="N43" s="229">
        <f t="shared" si="0"/>
        <v>4875</v>
      </c>
      <c r="O43" s="229" t="str">
        <f>IF(Table14[[#This Row],[Problematic 
Vaccine 
Quantity]]&gt;0, "YES","NO")</f>
        <v>NO</v>
      </c>
      <c r="P43" s="229">
        <v>0</v>
      </c>
      <c r="Q43" s="229">
        <f>Q42+(Table14[[#This Row],[Daily Vaccination
(vials)]]+Table14[[#This Row],[Outbound 20 clinics
(vials)]])*5</f>
        <v>21520</v>
      </c>
      <c r="R43" s="229"/>
      <c r="BH43" s="331">
        <f>BH42/BH39</f>
        <v>125</v>
      </c>
      <c r="BI43" s="326">
        <f>BH43/4</f>
        <v>31.25</v>
      </c>
      <c r="BJ43" t="s">
        <v>663</v>
      </c>
    </row>
    <row r="44" spans="2:62" x14ac:dyDescent="0.3">
      <c r="C44" s="230" t="s">
        <v>464</v>
      </c>
      <c r="D44" s="230"/>
      <c r="E44" s="1">
        <f t="shared" si="1"/>
        <v>0</v>
      </c>
      <c r="F44" s="1">
        <f>IF(Table14[[#This Row],[Daily Vaccination
(vials)]]&gt;J43+Table14[[#This Row],[Problematic 
Vaccine 
Quantity]],IF(Table14[[#This Row],[Daily Vaccination
(vials)]]&gt;$I$26+J43,2*$I$26,$I$26),0)</f>
        <v>0</v>
      </c>
      <c r="G44" s="229">
        <f xml:space="preserve"> E44+G43-F44-Table14[[#This Row],[Outbound 20 clinics
(vials)]]</f>
        <v>4875</v>
      </c>
      <c r="H44" s="229">
        <f t="shared" si="6"/>
        <v>0</v>
      </c>
      <c r="I44" s="229">
        <f t="shared" si="5"/>
        <v>214.00000000000003</v>
      </c>
      <c r="J44" s="229">
        <f>J43+Table14[[#This Row],[ULT Consumption
(vials)]]-Table14[[#This Row],[Daily Vaccination
(vials)]]+Table14[[#This Row],[Problematic 
Vaccine 
Quantity]]</f>
        <v>552</v>
      </c>
      <c r="K44" s="229">
        <f>Table14[[#This Row],[ULT Ending Inventory 
(-75 deg C) (vials)]]+Table14[[#This Row],[Thawed Ending Inventory
(2-8 deg C) (vials)]]</f>
        <v>5427</v>
      </c>
      <c r="L44" s="229">
        <f t="shared" si="2"/>
        <v>1950</v>
      </c>
      <c r="M44" s="229">
        <f t="shared" si="3"/>
        <v>9750</v>
      </c>
      <c r="N44" s="229">
        <f t="shared" si="0"/>
        <v>4875</v>
      </c>
      <c r="O44" s="229" t="str">
        <f>IF(Table14[[#This Row],[Problematic 
Vaccine 
Quantity]]&gt;0, "YES","NO")</f>
        <v>NO</v>
      </c>
      <c r="P44" s="229">
        <v>0</v>
      </c>
      <c r="Q44" s="229">
        <f>Q43+(Table14[[#This Row],[Daily Vaccination
(vials)]]+Table14[[#This Row],[Outbound 20 clinics
(vials)]])*5</f>
        <v>22590</v>
      </c>
      <c r="R44" s="229"/>
      <c r="BG44" s="6"/>
    </row>
    <row r="45" spans="2:62" x14ac:dyDescent="0.3">
      <c r="C45" s="230" t="s">
        <v>465</v>
      </c>
      <c r="D45" s="230"/>
      <c r="E45" s="1">
        <f t="shared" si="1"/>
        <v>0</v>
      </c>
      <c r="F45" s="1">
        <f>IF(Table14[[#This Row],[Daily Vaccination
(vials)]]&gt;J44+Table14[[#This Row],[Problematic 
Vaccine 
Quantity]],IF(Table14[[#This Row],[Daily Vaccination
(vials)]]&gt;$I$26+J44,2*$I$26,$I$26),0)</f>
        <v>0</v>
      </c>
      <c r="G45" s="229">
        <f xml:space="preserve"> E45+G44-F45-Table14[[#This Row],[Outbound 20 clinics
(vials)]]</f>
        <v>4875</v>
      </c>
      <c r="H45" s="229">
        <f t="shared" si="6"/>
        <v>0</v>
      </c>
      <c r="I45" s="229">
        <f t="shared" si="5"/>
        <v>214.00000000000003</v>
      </c>
      <c r="J45" s="229">
        <f>J44+Table14[[#This Row],[ULT Consumption
(vials)]]-Table14[[#This Row],[Daily Vaccination
(vials)]]+Table14[[#This Row],[Problematic 
Vaccine 
Quantity]]</f>
        <v>338</v>
      </c>
      <c r="K45" s="229">
        <f>Table14[[#This Row],[ULT Ending Inventory 
(-75 deg C) (vials)]]+Table14[[#This Row],[Thawed Ending Inventory
(2-8 deg C) (vials)]]</f>
        <v>5213</v>
      </c>
      <c r="L45" s="229">
        <f t="shared" si="2"/>
        <v>1950</v>
      </c>
      <c r="M45" s="229">
        <f t="shared" si="3"/>
        <v>9750</v>
      </c>
      <c r="N45" s="229">
        <f t="shared" si="0"/>
        <v>4875</v>
      </c>
      <c r="O45" s="229" t="str">
        <f>IF(Table14[[#This Row],[Problematic 
Vaccine 
Quantity]]&gt;0, "YES","NO")</f>
        <v>NO</v>
      </c>
      <c r="P45" s="229">
        <v>0</v>
      </c>
      <c r="Q45" s="229">
        <f>Q44+(Table14[[#This Row],[Daily Vaccination
(vials)]]+Table14[[#This Row],[Outbound 20 clinics
(vials)]])*5</f>
        <v>23660</v>
      </c>
      <c r="R45" s="229"/>
      <c r="BG45" s="45" t="s">
        <v>669</v>
      </c>
      <c r="BH45" s="326">
        <v>5</v>
      </c>
      <c r="BI45" t="s">
        <v>679</v>
      </c>
    </row>
    <row r="46" spans="2:62" x14ac:dyDescent="0.3">
      <c r="C46" s="230" t="s">
        <v>466</v>
      </c>
      <c r="D46" s="230"/>
      <c r="E46" s="1">
        <f t="shared" si="1"/>
        <v>0</v>
      </c>
      <c r="F46" s="1">
        <f>IF(Table14[[#This Row],[Daily Vaccination
(vials)]]&gt;J45+Table14[[#This Row],[Problematic 
Vaccine 
Quantity]],IF(Table14[[#This Row],[Daily Vaccination
(vials)]]&gt;$I$26+J45,2*$I$26,$I$26),0)</f>
        <v>0</v>
      </c>
      <c r="G46" s="229">
        <f xml:space="preserve"> E46+G45-F46-Table14[[#This Row],[Outbound 20 clinics
(vials)]]</f>
        <v>4875</v>
      </c>
      <c r="H46" s="229">
        <f t="shared" si="6"/>
        <v>0</v>
      </c>
      <c r="I46" s="229">
        <f t="shared" si="5"/>
        <v>214.00000000000003</v>
      </c>
      <c r="J46" s="229">
        <f>J45+Table14[[#This Row],[ULT Consumption
(vials)]]-Table14[[#This Row],[Daily Vaccination
(vials)]]+Table14[[#This Row],[Problematic 
Vaccine 
Quantity]]</f>
        <v>123.99999999999997</v>
      </c>
      <c r="K46" s="229">
        <f>Table14[[#This Row],[ULT Ending Inventory 
(-75 deg C) (vials)]]+Table14[[#This Row],[Thawed Ending Inventory
(2-8 deg C) (vials)]]</f>
        <v>4999</v>
      </c>
      <c r="L46" s="229">
        <f t="shared" si="2"/>
        <v>1950</v>
      </c>
      <c r="M46" s="229">
        <f t="shared" si="3"/>
        <v>9750</v>
      </c>
      <c r="N46" s="229">
        <f t="shared" si="0"/>
        <v>4875</v>
      </c>
      <c r="O46" s="229" t="str">
        <f>IF(Table14[[#This Row],[Problematic 
Vaccine 
Quantity]]&gt;0, "YES","NO")</f>
        <v>NO</v>
      </c>
      <c r="P46" s="229">
        <v>0</v>
      </c>
      <c r="Q46" s="229">
        <f>Q45+(Table14[[#This Row],[Daily Vaccination
(vials)]]+Table14[[#This Row],[Outbound 20 clinics
(vials)]])*5</f>
        <v>24730</v>
      </c>
      <c r="R46" s="229"/>
      <c r="BG46" s="45" t="s">
        <v>664</v>
      </c>
      <c r="BH46" s="326">
        <v>24375</v>
      </c>
      <c r="BI46" t="s">
        <v>672</v>
      </c>
    </row>
    <row r="47" spans="2:62" x14ac:dyDescent="0.3">
      <c r="C47" s="230" t="s">
        <v>467</v>
      </c>
      <c r="D47" s="230"/>
      <c r="E47" s="1">
        <f t="shared" si="1"/>
        <v>0</v>
      </c>
      <c r="F47" s="1">
        <f>IF(Table14[[#This Row],[Daily Vaccination
(vials)]]&gt;J46+Table14[[#This Row],[Problematic 
Vaccine 
Quantity]],IF(Table14[[#This Row],[Daily Vaccination
(vials)]]&gt;$I$26+J46,2*$I$26,$I$26),0)</f>
        <v>975</v>
      </c>
      <c r="G47" s="229">
        <f xml:space="preserve"> E47+G46-F47-Table14[[#This Row],[Outbound 20 clinics
(vials)]]</f>
        <v>3900</v>
      </c>
      <c r="H47" s="229">
        <f t="shared" si="6"/>
        <v>0</v>
      </c>
      <c r="I47" s="229">
        <f t="shared" si="5"/>
        <v>214.00000000000003</v>
      </c>
      <c r="J47" s="229">
        <f>J46+Table14[[#This Row],[ULT Consumption
(vials)]]-Table14[[#This Row],[Daily Vaccination
(vials)]]+Table14[[#This Row],[Problematic 
Vaccine 
Quantity]]</f>
        <v>885</v>
      </c>
      <c r="K47" s="229">
        <f>Table14[[#This Row],[ULT Ending Inventory 
(-75 deg C) (vials)]]+Table14[[#This Row],[Thawed Ending Inventory
(2-8 deg C) (vials)]]</f>
        <v>4785</v>
      </c>
      <c r="L47" s="229">
        <f t="shared" si="2"/>
        <v>1950</v>
      </c>
      <c r="M47" s="229">
        <f t="shared" si="3"/>
        <v>9750</v>
      </c>
      <c r="N47" s="229">
        <f t="shared" si="0"/>
        <v>4875</v>
      </c>
      <c r="O47" s="229" t="str">
        <f>IF(Table14[[#This Row],[Problematic 
Vaccine 
Quantity]]&gt;0, "YES","NO")</f>
        <v>NO</v>
      </c>
      <c r="P47" s="229">
        <v>0</v>
      </c>
      <c r="Q47" s="229">
        <f>Q46+(Table14[[#This Row],[Daily Vaccination
(vials)]]+Table14[[#This Row],[Outbound 20 clinics
(vials)]])*5</f>
        <v>25800</v>
      </c>
      <c r="R47" s="229"/>
      <c r="BG47" s="20" t="s">
        <v>665</v>
      </c>
      <c r="BH47" s="326">
        <v>336</v>
      </c>
      <c r="BI47" t="s">
        <v>671</v>
      </c>
    </row>
    <row r="48" spans="2:62" x14ac:dyDescent="0.3">
      <c r="C48" s="230" t="s">
        <v>468</v>
      </c>
      <c r="D48" s="230"/>
      <c r="E48" s="1">
        <f t="shared" si="1"/>
        <v>0</v>
      </c>
      <c r="F48" s="1">
        <f>IF(Table14[[#This Row],[Daily Vaccination
(vials)]]&gt;J47+Table14[[#This Row],[Problematic 
Vaccine 
Quantity]],IF(Table14[[#This Row],[Daily Vaccination
(vials)]]&gt;$I$26+J47,2*$I$26,$I$26),0)</f>
        <v>0</v>
      </c>
      <c r="G48" s="229">
        <f xml:space="preserve"> E48+G47-F48-Table14[[#This Row],[Outbound 20 clinics
(vials)]]</f>
        <v>3900</v>
      </c>
      <c r="H48" s="229">
        <f t="shared" si="6"/>
        <v>0</v>
      </c>
      <c r="I48" s="229">
        <f t="shared" si="5"/>
        <v>214.00000000000003</v>
      </c>
      <c r="J48" s="229">
        <f>J47+Table14[[#This Row],[ULT Consumption
(vials)]]-Table14[[#This Row],[Daily Vaccination
(vials)]]+Table14[[#This Row],[Problematic 
Vaccine 
Quantity]]</f>
        <v>671</v>
      </c>
      <c r="K48" s="229">
        <f>Table14[[#This Row],[ULT Ending Inventory 
(-75 deg C) (vials)]]+Table14[[#This Row],[Thawed Ending Inventory
(2-8 deg C) (vials)]]</f>
        <v>4571</v>
      </c>
      <c r="L48" s="229">
        <f t="shared" si="2"/>
        <v>1950</v>
      </c>
      <c r="M48" s="229">
        <f t="shared" si="3"/>
        <v>9750</v>
      </c>
      <c r="N48" s="229">
        <f t="shared" si="0"/>
        <v>4875</v>
      </c>
      <c r="O48" s="229" t="str">
        <f>IF(Table14[[#This Row],[Problematic 
Vaccine 
Quantity]]&gt;0, "YES","NO")</f>
        <v>NO</v>
      </c>
      <c r="P48" s="229">
        <v>0</v>
      </c>
      <c r="Q48" s="229">
        <f>Q47+(Table14[[#This Row],[Daily Vaccination
(vials)]]+Table14[[#This Row],[Outbound 20 clinics
(vials)]])*5</f>
        <v>26870</v>
      </c>
      <c r="R48" s="229"/>
      <c r="AB48" t="s">
        <v>527</v>
      </c>
      <c r="AR48">
        <v>15</v>
      </c>
      <c r="AS48" t="s">
        <v>483</v>
      </c>
      <c r="BG48" s="20" t="s">
        <v>666</v>
      </c>
      <c r="BH48" s="627">
        <v>0.25</v>
      </c>
      <c r="BI48" t="s">
        <v>667</v>
      </c>
    </row>
    <row r="49" spans="3:66" x14ac:dyDescent="0.3">
      <c r="C49" s="230" t="s">
        <v>469</v>
      </c>
      <c r="D49" s="230"/>
      <c r="E49" s="1">
        <f t="shared" si="1"/>
        <v>0</v>
      </c>
      <c r="F49" s="1">
        <f>IF(Table14[[#This Row],[Daily Vaccination
(vials)]]&gt;J48+Table14[[#This Row],[Problematic 
Vaccine 
Quantity]],IF(Table14[[#This Row],[Daily Vaccination
(vials)]]&gt;$I$26+J48,2*$I$26,$I$26),0)</f>
        <v>0</v>
      </c>
      <c r="G49" s="229">
        <f xml:space="preserve"> E49+G48-F49-Table14[[#This Row],[Outbound 20 clinics
(vials)]]</f>
        <v>3900</v>
      </c>
      <c r="H49" s="229">
        <f t="shared" si="6"/>
        <v>0</v>
      </c>
      <c r="I49" s="229">
        <f t="shared" si="5"/>
        <v>214.00000000000003</v>
      </c>
      <c r="J49" s="229">
        <f>J48+Table14[[#This Row],[ULT Consumption
(vials)]]-Table14[[#This Row],[Daily Vaccination
(vials)]]+Table14[[#This Row],[Problematic 
Vaccine 
Quantity]]</f>
        <v>457</v>
      </c>
      <c r="K49" s="229">
        <f>Table14[[#This Row],[ULT Ending Inventory 
(-75 deg C) (vials)]]+Table14[[#This Row],[Thawed Ending Inventory
(2-8 deg C) (vials)]]</f>
        <v>4357</v>
      </c>
      <c r="L49" s="229">
        <f t="shared" si="2"/>
        <v>1950</v>
      </c>
      <c r="M49" s="229">
        <f t="shared" si="3"/>
        <v>9750</v>
      </c>
      <c r="N49" s="229">
        <f t="shared" si="0"/>
        <v>4875</v>
      </c>
      <c r="O49" s="229" t="str">
        <f>IF(Table14[[#This Row],[Problematic 
Vaccine 
Quantity]]&gt;0, "YES","NO")</f>
        <v>NO</v>
      </c>
      <c r="P49" s="229">
        <v>0</v>
      </c>
      <c r="Q49" s="229">
        <f>Q48+(Table14[[#This Row],[Daily Vaccination
(vials)]]+Table14[[#This Row],[Outbound 20 clinics
(vials)]])*5</f>
        <v>27940</v>
      </c>
      <c r="R49" s="229"/>
      <c r="AR49">
        <v>8</v>
      </c>
      <c r="AS49" t="s">
        <v>482</v>
      </c>
      <c r="BG49" s="20" t="s">
        <v>668</v>
      </c>
      <c r="BH49" s="326">
        <f>BH48*BH46</f>
        <v>6093.75</v>
      </c>
      <c r="BI49" t="s">
        <v>673</v>
      </c>
    </row>
    <row r="50" spans="3:66" x14ac:dyDescent="0.3">
      <c r="C50" s="230" t="s">
        <v>470</v>
      </c>
      <c r="D50" s="230"/>
      <c r="E50" s="1">
        <f t="shared" si="1"/>
        <v>0</v>
      </c>
      <c r="F50" s="1">
        <f>IF(Table14[[#This Row],[Daily Vaccination
(vials)]]&gt;J49+Table14[[#This Row],[Problematic 
Vaccine 
Quantity]],IF(Table14[[#This Row],[Daily Vaccination
(vials)]]&gt;$I$26+J49,2*$I$26,$I$26),0)</f>
        <v>0</v>
      </c>
      <c r="G50" s="229">
        <f xml:space="preserve"> E50+G49-F50-Table14[[#This Row],[Outbound 20 clinics
(vials)]]</f>
        <v>3900</v>
      </c>
      <c r="H50" s="229">
        <f t="shared" si="6"/>
        <v>0</v>
      </c>
      <c r="I50" s="229">
        <f t="shared" si="5"/>
        <v>214.00000000000003</v>
      </c>
      <c r="J50" s="229">
        <f>J49+Table14[[#This Row],[ULT Consumption
(vials)]]-Table14[[#This Row],[Daily Vaccination
(vials)]]+Table14[[#This Row],[Problematic 
Vaccine 
Quantity]]</f>
        <v>242.99999999999997</v>
      </c>
      <c r="K50" s="229">
        <f>Table14[[#This Row],[ULT Ending Inventory 
(-75 deg C) (vials)]]+Table14[[#This Row],[Thawed Ending Inventory
(2-8 deg C) (vials)]]</f>
        <v>4143</v>
      </c>
      <c r="L50" s="229">
        <f t="shared" si="2"/>
        <v>1950</v>
      </c>
      <c r="M50" s="229">
        <f t="shared" si="3"/>
        <v>9750</v>
      </c>
      <c r="N50" s="229">
        <f t="shared" si="0"/>
        <v>4875</v>
      </c>
      <c r="O50" s="229" t="str">
        <f>IF(Table14[[#This Row],[Problematic 
Vaccine 
Quantity]]&gt;0, "YES","NO")</f>
        <v>NO</v>
      </c>
      <c r="P50" s="229">
        <v>0</v>
      </c>
      <c r="Q50" s="229">
        <f>Q49+(Table14[[#This Row],[Daily Vaccination
(vials)]]+Table14[[#This Row],[Outbound 20 clinics
(vials)]])*5</f>
        <v>29010</v>
      </c>
      <c r="R50" s="229"/>
      <c r="AR50">
        <v>150</v>
      </c>
      <c r="AS50" t="s">
        <v>484</v>
      </c>
      <c r="BC50">
        <v>975</v>
      </c>
      <c r="BG50" s="249" t="s">
        <v>662</v>
      </c>
      <c r="BH50" s="326">
        <f>AVERAGE(BG58:BH87)*2</f>
        <v>0.23333333333333334</v>
      </c>
    </row>
    <row r="51" spans="3:66" x14ac:dyDescent="0.3">
      <c r="C51" s="230" t="s">
        <v>471</v>
      </c>
      <c r="D51" s="230"/>
      <c r="E51" s="1">
        <f t="shared" si="1"/>
        <v>0</v>
      </c>
      <c r="F51" s="1">
        <f>IF(Table14[[#This Row],[Daily Vaccination
(vials)]]&gt;J50+Table14[[#This Row],[Problematic 
Vaccine 
Quantity]],IF(Table14[[#This Row],[Daily Vaccination
(vials)]]&gt;$I$26+J50,2*$I$26,$I$26),0)</f>
        <v>0</v>
      </c>
      <c r="G51" s="229">
        <f xml:space="preserve"> E51+G50-F51-Table14[[#This Row],[Outbound 20 clinics
(vials)]]</f>
        <v>3900</v>
      </c>
      <c r="H51" s="229">
        <f t="shared" si="6"/>
        <v>0</v>
      </c>
      <c r="I51" s="229">
        <f t="shared" si="5"/>
        <v>214.00000000000003</v>
      </c>
      <c r="J51" s="229">
        <f>J50+Table14[[#This Row],[ULT Consumption
(vials)]]-Table14[[#This Row],[Daily Vaccination
(vials)]]+Table14[[#This Row],[Problematic 
Vaccine 
Quantity]]</f>
        <v>28.999999999999943</v>
      </c>
      <c r="K51" s="229">
        <f>Table14[[#This Row],[ULT Ending Inventory 
(-75 deg C) (vials)]]+Table14[[#This Row],[Thawed Ending Inventory
(2-8 deg C) (vials)]]</f>
        <v>3929</v>
      </c>
      <c r="L51" s="229">
        <f t="shared" si="2"/>
        <v>1950</v>
      </c>
      <c r="M51" s="229">
        <f t="shared" si="3"/>
        <v>9750</v>
      </c>
      <c r="N51" s="229">
        <f t="shared" si="0"/>
        <v>4875</v>
      </c>
      <c r="O51" s="229" t="str">
        <f>IF(Table14[[#This Row],[Problematic 
Vaccine 
Quantity]]&gt;0, "YES","NO")</f>
        <v>NO</v>
      </c>
      <c r="P51" s="229">
        <v>0</v>
      </c>
      <c r="Q51" s="229">
        <f>Q50+(Table14[[#This Row],[Daily Vaccination
(vials)]]+Table14[[#This Row],[Outbound 20 clinics
(vials)]])*5</f>
        <v>30080</v>
      </c>
      <c r="R51" s="229"/>
      <c r="AR51">
        <f>AR50*AR49*60/AR48</f>
        <v>4800</v>
      </c>
      <c r="AS51" t="s">
        <v>485</v>
      </c>
      <c r="BB51">
        <v>2</v>
      </c>
      <c r="BC51">
        <f>BB51*BC50</f>
        <v>1950</v>
      </c>
      <c r="BG51" s="249" t="s">
        <v>291</v>
      </c>
      <c r="BH51" s="331">
        <v>2</v>
      </c>
      <c r="BI51" t="s">
        <v>293</v>
      </c>
    </row>
    <row r="52" spans="3:66" x14ac:dyDescent="0.3">
      <c r="C52" s="230" t="s">
        <v>472</v>
      </c>
      <c r="D52" s="230"/>
      <c r="E52" s="1">
        <f t="shared" si="1"/>
        <v>0</v>
      </c>
      <c r="F52" s="1">
        <f>IF(Table14[[#This Row],[Daily Vaccination
(vials)]]&gt;J51+Table14[[#This Row],[Problematic 
Vaccine 
Quantity]],IF(Table14[[#This Row],[Daily Vaccination
(vials)]]&gt;$I$26+J51,2*$I$26,$I$26),0)</f>
        <v>975</v>
      </c>
      <c r="G52" s="229">
        <f xml:space="preserve"> E52+G51-F52-Table14[[#This Row],[Outbound 20 clinics
(vials)]]</f>
        <v>2925</v>
      </c>
      <c r="H52" s="229">
        <f t="shared" si="6"/>
        <v>0</v>
      </c>
      <c r="I52" s="229">
        <f t="shared" si="5"/>
        <v>214.00000000000003</v>
      </c>
      <c r="J52" s="229">
        <f>J51+Table14[[#This Row],[ULT Consumption
(vials)]]-Table14[[#This Row],[Daily Vaccination
(vials)]]+Table14[[#This Row],[Problematic 
Vaccine 
Quantity]]</f>
        <v>790</v>
      </c>
      <c r="K52" s="229">
        <f>Table14[[#This Row],[ULT Ending Inventory 
(-75 deg C) (vials)]]+Table14[[#This Row],[Thawed Ending Inventory
(2-8 deg C) (vials)]]</f>
        <v>3715</v>
      </c>
      <c r="L52" s="229">
        <f t="shared" si="2"/>
        <v>1950</v>
      </c>
      <c r="M52" s="229">
        <f t="shared" si="3"/>
        <v>9750</v>
      </c>
      <c r="N52" s="229">
        <f t="shared" si="0"/>
        <v>4875</v>
      </c>
      <c r="O52" s="229" t="str">
        <f>IF(Table14[[#This Row],[Problematic 
Vaccine 
Quantity]]&gt;0, "YES","NO")</f>
        <v>NO</v>
      </c>
      <c r="P52" s="229">
        <v>0</v>
      </c>
      <c r="Q52" s="229">
        <f>Q51+(Table14[[#This Row],[Daily Vaccination
(vials)]]+Table14[[#This Row],[Outbound 20 clinics
(vials)]])*5</f>
        <v>31150</v>
      </c>
      <c r="R52" s="229"/>
      <c r="BF52" t="s">
        <v>681</v>
      </c>
      <c r="BG52" s="635" t="s">
        <v>342</v>
      </c>
      <c r="BH52" s="331">
        <v>9750</v>
      </c>
      <c r="BI52" t="s">
        <v>341</v>
      </c>
      <c r="BJ52" s="331">
        <f>BH52/$BC$55</f>
        <v>10</v>
      </c>
      <c r="BK52" t="s">
        <v>435</v>
      </c>
    </row>
    <row r="53" spans="3:66" x14ac:dyDescent="0.3">
      <c r="C53" s="230" t="s">
        <v>473</v>
      </c>
      <c r="D53" s="230"/>
      <c r="E53" s="1">
        <f t="shared" si="1"/>
        <v>0</v>
      </c>
      <c r="F53" s="1">
        <f>IF(Table14[[#This Row],[Daily Vaccination
(vials)]]&gt;J52+Table14[[#This Row],[Problematic 
Vaccine 
Quantity]],IF(Table14[[#This Row],[Daily Vaccination
(vials)]]&gt;$I$26+J52,2*$I$26,$I$26),0)</f>
        <v>0</v>
      </c>
      <c r="G53" s="229">
        <f xml:space="preserve"> E53+G52-F53-Table14[[#This Row],[Outbound 20 clinics
(vials)]]</f>
        <v>2925</v>
      </c>
      <c r="H53" s="229">
        <f t="shared" si="6"/>
        <v>0</v>
      </c>
      <c r="I53" s="229">
        <f t="shared" si="5"/>
        <v>214.00000000000003</v>
      </c>
      <c r="J53" s="229">
        <f>J52+Table14[[#This Row],[ULT Consumption
(vials)]]-Table14[[#This Row],[Daily Vaccination
(vials)]]+Table14[[#This Row],[Problematic 
Vaccine 
Quantity]]</f>
        <v>576</v>
      </c>
      <c r="K53" s="229">
        <f>Table14[[#This Row],[ULT Ending Inventory 
(-75 deg C) (vials)]]+Table14[[#This Row],[Thawed Ending Inventory
(2-8 deg C) (vials)]]</f>
        <v>3501</v>
      </c>
      <c r="L53" s="229">
        <f t="shared" si="2"/>
        <v>1950</v>
      </c>
      <c r="M53" s="229">
        <f t="shared" si="3"/>
        <v>9750</v>
      </c>
      <c r="N53" s="229">
        <f t="shared" si="0"/>
        <v>4875</v>
      </c>
      <c r="O53" s="229" t="str">
        <f>IF(Table14[[#This Row],[Problematic 
Vaccine 
Quantity]]&gt;0, "YES","NO")</f>
        <v>NO</v>
      </c>
      <c r="P53" s="229">
        <v>0</v>
      </c>
      <c r="Q53" s="229">
        <f>Q52+(Table14[[#This Row],[Daily Vaccination
(vials)]]+Table14[[#This Row],[Outbound 20 clinics
(vials)]])*5</f>
        <v>32220</v>
      </c>
      <c r="R53" s="229"/>
      <c r="AD53" s="295" t="s">
        <v>491</v>
      </c>
      <c r="BG53" s="636" t="s">
        <v>300</v>
      </c>
      <c r="BH53" s="332">
        <v>1950</v>
      </c>
      <c r="BI53" t="s">
        <v>341</v>
      </c>
      <c r="BJ53" s="331">
        <f>BH53/BC50</f>
        <v>2</v>
      </c>
      <c r="BK53" t="s">
        <v>435</v>
      </c>
    </row>
    <row r="54" spans="3:66" ht="21" x14ac:dyDescent="0.4">
      <c r="C54" s="230" t="s">
        <v>474</v>
      </c>
      <c r="D54" s="230"/>
      <c r="E54" s="1">
        <f t="shared" si="1"/>
        <v>0</v>
      </c>
      <c r="F54" s="1">
        <f>IF(Table14[[#This Row],[Daily Vaccination
(vials)]]&gt;J53+Table14[[#This Row],[Problematic 
Vaccine 
Quantity]],IF(Table14[[#This Row],[Daily Vaccination
(vials)]]&gt;$I$26+J53,2*$I$26,$I$26),0)</f>
        <v>0</v>
      </c>
      <c r="G54" s="229">
        <f xml:space="preserve"> E54+G53-F54-Table14[[#This Row],[Outbound 20 clinics
(vials)]]</f>
        <v>2925</v>
      </c>
      <c r="H54" s="229">
        <f t="shared" si="6"/>
        <v>0</v>
      </c>
      <c r="I54" s="229">
        <f t="shared" si="5"/>
        <v>214.00000000000003</v>
      </c>
      <c r="J54" s="229">
        <f>J53+Table14[[#This Row],[ULT Consumption
(vials)]]-Table14[[#This Row],[Daily Vaccination
(vials)]]+Table14[[#This Row],[Problematic 
Vaccine 
Quantity]]</f>
        <v>362</v>
      </c>
      <c r="K54" s="229">
        <f>Table14[[#This Row],[ULT Ending Inventory 
(-75 deg C) (vials)]]+Table14[[#This Row],[Thawed Ending Inventory
(2-8 deg C) (vials)]]</f>
        <v>3287</v>
      </c>
      <c r="L54" s="229">
        <f t="shared" si="2"/>
        <v>1950</v>
      </c>
      <c r="M54" s="229">
        <f t="shared" si="3"/>
        <v>9750</v>
      </c>
      <c r="N54" s="229">
        <f t="shared" si="0"/>
        <v>4875</v>
      </c>
      <c r="O54" s="229" t="str">
        <f>IF(Table14[[#This Row],[Problematic 
Vaccine 
Quantity]]&gt;0, "YES","NO")</f>
        <v>NO</v>
      </c>
      <c r="P54" s="229">
        <v>0</v>
      </c>
      <c r="Q54" s="229">
        <f>Q53+(Table14[[#This Row],[Daily Vaccination
(vials)]]+Table14[[#This Row],[Outbound 20 clinics
(vials)]])*5</f>
        <v>33290</v>
      </c>
      <c r="R54" s="229"/>
      <c r="T54" s="322" t="s">
        <v>507</v>
      </c>
      <c r="U54" s="40"/>
      <c r="V54" t="s">
        <v>502</v>
      </c>
      <c r="AD54" s="309" t="s">
        <v>506</v>
      </c>
      <c r="AE54" s="309"/>
      <c r="AH54" t="s">
        <v>503</v>
      </c>
      <c r="AP54" s="299"/>
      <c r="AQ54" s="299"/>
      <c r="AR54" s="299"/>
      <c r="AS54" s="299"/>
      <c r="AT54" s="299"/>
      <c r="AU54" s="299"/>
      <c r="AV54" s="306"/>
      <c r="BG54" s="249" t="s">
        <v>670</v>
      </c>
      <c r="BH54" s="331">
        <v>4875</v>
      </c>
      <c r="BI54" t="s">
        <v>341</v>
      </c>
      <c r="BJ54" s="331">
        <f>BH54/BC50</f>
        <v>5</v>
      </c>
    </row>
    <row r="55" spans="3:66" ht="57.6" x14ac:dyDescent="0.3">
      <c r="C55" s="230" t="s">
        <v>475</v>
      </c>
      <c r="D55" s="230"/>
      <c r="E55" s="1">
        <f t="shared" si="1"/>
        <v>0</v>
      </c>
      <c r="F55" s="1">
        <f>IF(Table14[[#This Row],[Daily Vaccination
(vials)]]&gt;J54+Table14[[#This Row],[Problematic 
Vaccine 
Quantity]],IF(Table14[[#This Row],[Daily Vaccination
(vials)]]&gt;$I$26+J54,2*$I$26,$I$26),0)</f>
        <v>0</v>
      </c>
      <c r="G55" s="229">
        <f xml:space="preserve"> E55+G54-F55-Table14[[#This Row],[Outbound 20 clinics
(vials)]]</f>
        <v>2925</v>
      </c>
      <c r="H55" s="229">
        <f t="shared" si="6"/>
        <v>0</v>
      </c>
      <c r="I55" s="229">
        <f t="shared" si="5"/>
        <v>214.00000000000003</v>
      </c>
      <c r="J55" s="229">
        <f>J54+Table14[[#This Row],[ULT Consumption
(vials)]]-Table14[[#This Row],[Daily Vaccination
(vials)]]+Table14[[#This Row],[Problematic 
Vaccine 
Quantity]]</f>
        <v>147.99999999999997</v>
      </c>
      <c r="K55" s="229">
        <f>Table14[[#This Row],[ULT Ending Inventory 
(-75 deg C) (vials)]]+Table14[[#This Row],[Thawed Ending Inventory
(2-8 deg C) (vials)]]</f>
        <v>3073</v>
      </c>
      <c r="L55" s="229">
        <f t="shared" si="2"/>
        <v>1950</v>
      </c>
      <c r="M55" s="229">
        <f t="shared" si="3"/>
        <v>9750</v>
      </c>
      <c r="N55" s="229">
        <f t="shared" si="0"/>
        <v>4875</v>
      </c>
      <c r="O55" s="229" t="str">
        <f>IF(Table14[[#This Row],[Problematic 
Vaccine 
Quantity]]&gt;0, "YES","NO")</f>
        <v>NO</v>
      </c>
      <c r="P55" s="229">
        <v>0</v>
      </c>
      <c r="Q55" s="229">
        <f>Q54+(Table14[[#This Row],[Daily Vaccination
(vials)]]+Table14[[#This Row],[Outbound 20 clinics
(vials)]])*5</f>
        <v>34360</v>
      </c>
      <c r="R55" s="229"/>
      <c r="T55" s="323" t="s">
        <v>68</v>
      </c>
      <c r="U55" s="323" t="s">
        <v>420</v>
      </c>
      <c r="V55" s="324" t="s">
        <v>409</v>
      </c>
      <c r="W55" s="324" t="s">
        <v>302</v>
      </c>
      <c r="X55" s="323" t="s">
        <v>438</v>
      </c>
      <c r="Y55" s="323" t="s">
        <v>511</v>
      </c>
      <c r="Z55" s="323" t="s">
        <v>436</v>
      </c>
      <c r="AA55" s="323" t="s">
        <v>437</v>
      </c>
      <c r="AB55" s="323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31" t="s">
        <v>451</v>
      </c>
      <c r="AQ55" s="931"/>
      <c r="AS55" s="37" t="s">
        <v>498</v>
      </c>
      <c r="AV55" s="932" t="s">
        <v>521</v>
      </c>
      <c r="AW55" s="931"/>
      <c r="AZ55" s="932" t="s">
        <v>522</v>
      </c>
      <c r="BA55" s="931"/>
      <c r="BB55" t="s">
        <v>385</v>
      </c>
      <c r="BC55">
        <v>975</v>
      </c>
      <c r="BE55" s="932" t="s">
        <v>524</v>
      </c>
      <c r="BF55" s="931"/>
      <c r="BG55" s="249" t="s">
        <v>532</v>
      </c>
      <c r="BH55" s="331">
        <v>4875</v>
      </c>
      <c r="BI55" t="s">
        <v>341</v>
      </c>
      <c r="BJ55" s="331"/>
      <c r="BK55" t="s">
        <v>435</v>
      </c>
      <c r="BN55" t="s">
        <v>585</v>
      </c>
    </row>
    <row r="56" spans="3:66" ht="43.2" x14ac:dyDescent="0.3">
      <c r="C56" s="230" t="s">
        <v>476</v>
      </c>
      <c r="D56" s="230"/>
      <c r="E56" s="1">
        <f t="shared" si="1"/>
        <v>0</v>
      </c>
      <c r="F56" s="1">
        <f>IF(Table14[[#This Row],[Daily Vaccination
(vials)]]&gt;J55+Table14[[#This Row],[Problematic 
Vaccine 
Quantity]],IF(Table14[[#This Row],[Daily Vaccination
(vials)]]&gt;$I$26+J55,2*$I$26,$I$26),0)</f>
        <v>975</v>
      </c>
      <c r="G56" s="229">
        <f xml:space="preserve"> E56+G55-F56-Table14[[#This Row],[Outbound 20 clinics
(vials)]]</f>
        <v>1950</v>
      </c>
      <c r="H56" s="229">
        <f t="shared" si="6"/>
        <v>0</v>
      </c>
      <c r="I56" s="229">
        <f t="shared" si="5"/>
        <v>214.00000000000003</v>
      </c>
      <c r="J56" s="229">
        <f>J55+Table14[[#This Row],[ULT Consumption
(vials)]]-Table14[[#This Row],[Daily Vaccination
(vials)]]+Table14[[#This Row],[Problematic 
Vaccine 
Quantity]]</f>
        <v>909</v>
      </c>
      <c r="K56" s="229">
        <f>Table14[[#This Row],[ULT Ending Inventory 
(-75 deg C) (vials)]]+Table14[[#This Row],[Thawed Ending Inventory
(2-8 deg C) (vials)]]</f>
        <v>2859</v>
      </c>
      <c r="L56" s="229">
        <f t="shared" si="2"/>
        <v>1950</v>
      </c>
      <c r="M56" s="229">
        <f t="shared" si="3"/>
        <v>9750</v>
      </c>
      <c r="N56" s="229">
        <f t="shared" si="0"/>
        <v>4875</v>
      </c>
      <c r="O56" s="229" t="str">
        <f>IF(Table14[[#This Row],[Problematic 
Vaccine 
Quantity]]&gt;0, "YES","NO")</f>
        <v>NO</v>
      </c>
      <c r="P56" s="229">
        <v>0</v>
      </c>
      <c r="Q56" s="229">
        <f>Q55+(Table14[[#This Row],[Daily Vaccination
(vials)]]+Table14[[#This Row],[Outbound 20 clinics
(vials)]])*5</f>
        <v>35430</v>
      </c>
      <c r="R56" s="229"/>
      <c r="T56" s="311" t="s">
        <v>414</v>
      </c>
      <c r="U56" s="937">
        <v>44186</v>
      </c>
      <c r="V56" s="319" t="s">
        <v>410</v>
      </c>
      <c r="W56" s="319" t="s">
        <v>10</v>
      </c>
      <c r="X56" s="310"/>
      <c r="Y56" s="310"/>
      <c r="Z56" s="326">
        <v>3</v>
      </c>
      <c r="AA56" s="310"/>
      <c r="AB56" s="310" t="s">
        <v>435</v>
      </c>
      <c r="AD56" s="311" t="s">
        <v>414</v>
      </c>
      <c r="AE56" s="937">
        <v>44186</v>
      </c>
      <c r="AF56" s="312" t="s">
        <v>417</v>
      </c>
      <c r="AG56" s="312" t="s">
        <v>418</v>
      </c>
      <c r="AH56" s="310"/>
      <c r="AI56" s="310"/>
      <c r="AJ56" s="310"/>
      <c r="AK56" s="326">
        <v>100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324" t="s">
        <v>486</v>
      </c>
      <c r="AV56" s="69" t="s">
        <v>68</v>
      </c>
      <c r="AW56" s="69" t="s">
        <v>420</v>
      </c>
      <c r="AX56" s="318" t="s">
        <v>528</v>
      </c>
      <c r="AZ56" s="324" t="s">
        <v>420</v>
      </c>
      <c r="BA56" s="324" t="s">
        <v>292</v>
      </c>
      <c r="BB56" s="323" t="s">
        <v>523</v>
      </c>
      <c r="BC56" s="324" t="s">
        <v>406</v>
      </c>
      <c r="BE56" s="324" t="s">
        <v>420</v>
      </c>
      <c r="BF56" s="323" t="s">
        <v>682</v>
      </c>
      <c r="BG56" s="324" t="s">
        <v>290</v>
      </c>
      <c r="BH56" s="324" t="s">
        <v>490</v>
      </c>
      <c r="BI56" s="324" t="s">
        <v>406</v>
      </c>
      <c r="BK56" s="37"/>
    </row>
    <row r="57" spans="3:66" x14ac:dyDescent="0.3">
      <c r="C57" s="230" t="s">
        <v>477</v>
      </c>
      <c r="D57" s="230"/>
      <c r="E57" s="1">
        <f t="shared" si="1"/>
        <v>0</v>
      </c>
      <c r="F57" s="1">
        <f>IF(Table14[[#This Row],[Daily Vaccination
(vials)]]&gt;J56+Table14[[#This Row],[Problematic 
Vaccine 
Quantity]],IF(Table14[[#This Row],[Daily Vaccination
(vials)]]&gt;$I$26+J56,2*$I$26,$I$26),0)</f>
        <v>0</v>
      </c>
      <c r="G57" s="229">
        <f xml:space="preserve"> E57+G56-F57-Table14[[#This Row],[Outbound 20 clinics
(vials)]]</f>
        <v>1950</v>
      </c>
      <c r="H57" s="229">
        <f t="shared" si="6"/>
        <v>0</v>
      </c>
      <c r="I57" s="229">
        <f t="shared" si="5"/>
        <v>214.00000000000003</v>
      </c>
      <c r="J57" s="229">
        <f>J56+Table14[[#This Row],[ULT Consumption
(vials)]]-Table14[[#This Row],[Daily Vaccination
(vials)]]+Table14[[#This Row],[Problematic 
Vaccine 
Quantity]]</f>
        <v>695</v>
      </c>
      <c r="K57" s="229">
        <f>Table14[[#This Row],[ULT Ending Inventory 
(-75 deg C) (vials)]]+Table14[[#This Row],[Thawed Ending Inventory
(2-8 deg C) (vials)]]</f>
        <v>2645</v>
      </c>
      <c r="L57" s="229">
        <f t="shared" si="2"/>
        <v>1950</v>
      </c>
      <c r="M57" s="229">
        <f t="shared" si="3"/>
        <v>9750</v>
      </c>
      <c r="N57" s="229">
        <f t="shared" si="0"/>
        <v>4875</v>
      </c>
      <c r="O57" s="229" t="str">
        <f>IF(Table14[[#This Row],[Problematic 
Vaccine 
Quantity]]&gt;0, "YES","NO")</f>
        <v>NO</v>
      </c>
      <c r="P57" s="229">
        <v>0</v>
      </c>
      <c r="Q57" s="229">
        <f>Q56+(Table14[[#This Row],[Daily Vaccination
(vials)]]+Table14[[#This Row],[Outbound 20 clinics
(vials)]])*5</f>
        <v>36500</v>
      </c>
      <c r="R57" s="229"/>
      <c r="T57" s="310"/>
      <c r="U57" s="938"/>
      <c r="V57" s="314" t="s">
        <v>424</v>
      </c>
      <c r="W57" s="314" t="s">
        <v>11</v>
      </c>
      <c r="X57" s="310"/>
      <c r="Y57" s="310"/>
      <c r="Z57" s="326">
        <v>1</v>
      </c>
      <c r="AA57" s="310"/>
      <c r="AB57" s="310" t="s">
        <v>435</v>
      </c>
      <c r="AD57" s="310"/>
      <c r="AE57" s="938"/>
      <c r="AF57" s="313" t="s">
        <v>415</v>
      </c>
      <c r="AG57" s="313" t="s">
        <v>419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1">
        <f>'Indv Hosp fcast_2_10'!M15</f>
        <v>1070.0000000000002</v>
      </c>
      <c r="AS57" s="327">
        <f>AR57/4875*975</f>
        <v>214.00000000000003</v>
      </c>
      <c r="AT57" s="329">
        <f>AS57/975</f>
        <v>0.21948717948717952</v>
      </c>
      <c r="AV57" s="310" t="s">
        <v>452</v>
      </c>
      <c r="AW57" s="328" t="s">
        <v>489</v>
      </c>
      <c r="AX57" s="71">
        <v>0</v>
      </c>
      <c r="AZ57" s="328" t="s">
        <v>489</v>
      </c>
      <c r="BA57" s="310"/>
      <c r="BB57" s="310"/>
      <c r="BC57" s="326">
        <f>AL66</f>
        <v>195</v>
      </c>
      <c r="BE57" s="328" t="s">
        <v>489</v>
      </c>
      <c r="BF57" s="310"/>
      <c r="BG57" s="310"/>
      <c r="BH57" s="310"/>
      <c r="BI57" s="326">
        <v>3</v>
      </c>
    </row>
    <row r="58" spans="3:66" ht="15" thickBot="1" x14ac:dyDescent="0.35">
      <c r="C58" s="230" t="s">
        <v>478</v>
      </c>
      <c r="D58" s="230"/>
      <c r="E58" s="1">
        <f t="shared" si="1"/>
        <v>0</v>
      </c>
      <c r="F58" s="1">
        <f>IF(Table14[[#This Row],[Daily Vaccination
(vials)]]&gt;J57+Table14[[#This Row],[Problematic 
Vaccine 
Quantity]],IF(Table14[[#This Row],[Daily Vaccination
(vials)]]&gt;$I$26+J57,2*$I$26,$I$26),0)</f>
        <v>0</v>
      </c>
      <c r="G58" s="229">
        <f xml:space="preserve"> E58+G57-F58-Table14[[#This Row],[Outbound 20 clinics
(vials)]]</f>
        <v>1950</v>
      </c>
      <c r="H58" s="229">
        <f t="shared" si="6"/>
        <v>0</v>
      </c>
      <c r="I58" s="229">
        <f t="shared" si="5"/>
        <v>214.00000000000003</v>
      </c>
      <c r="J58" s="229">
        <f>J57+Table14[[#This Row],[ULT Consumption
(vials)]]-Table14[[#This Row],[Daily Vaccination
(vials)]]+Table14[[#This Row],[Problematic 
Vaccine 
Quantity]]</f>
        <v>481</v>
      </c>
      <c r="K58" s="229">
        <f>Table14[[#This Row],[ULT Ending Inventory 
(-75 deg C) (vials)]]+Table14[[#This Row],[Thawed Ending Inventory
(2-8 deg C) (vials)]]</f>
        <v>2431</v>
      </c>
      <c r="L58" s="229">
        <f t="shared" si="2"/>
        <v>1950</v>
      </c>
      <c r="M58" s="229">
        <f t="shared" si="3"/>
        <v>9750</v>
      </c>
      <c r="N58" s="229">
        <f t="shared" si="0"/>
        <v>4875</v>
      </c>
      <c r="O58" s="229" t="str">
        <f>IF(Table14[[#This Row],[Problematic 
Vaccine 
Quantity]]&gt;0, "YES","NO")</f>
        <v>NO</v>
      </c>
      <c r="P58" s="229">
        <v>0</v>
      </c>
      <c r="Q58" s="229">
        <f>Q57+(Table14[[#This Row],[Daily Vaccination
(vials)]]+Table14[[#This Row],[Outbound 20 clinics
(vials)]])*5</f>
        <v>37570</v>
      </c>
      <c r="R58" s="229"/>
      <c r="T58" s="317"/>
      <c r="U58" s="939"/>
      <c r="V58" s="317"/>
      <c r="W58" s="317"/>
      <c r="X58" s="317"/>
      <c r="Y58" s="317"/>
      <c r="Z58" s="317"/>
      <c r="AA58" s="317">
        <f>Z56+Z57</f>
        <v>4</v>
      </c>
      <c r="AB58" s="317" t="s">
        <v>435</v>
      </c>
      <c r="AD58" s="317"/>
      <c r="AE58" s="939"/>
      <c r="AF58" s="317"/>
      <c r="AG58" s="317"/>
      <c r="AH58" s="317"/>
      <c r="AI58" s="317"/>
      <c r="AJ58" s="317"/>
      <c r="AK58" s="317"/>
      <c r="AL58" s="317">
        <f>AK56+AK57</f>
        <v>180</v>
      </c>
      <c r="AM58" s="317" t="s">
        <v>341</v>
      </c>
      <c r="AP58" s="310"/>
      <c r="AQ58" s="328" t="s">
        <v>454</v>
      </c>
      <c r="AR58" s="71">
        <f t="shared" ref="AR58:AR87" si="7">AR57</f>
        <v>1070.0000000000002</v>
      </c>
      <c r="AS58" s="71">
        <f>AR58/4875*975</f>
        <v>214.00000000000003</v>
      </c>
      <c r="AT58" s="329">
        <f>AS58/975</f>
        <v>0.21948717948717952</v>
      </c>
      <c r="AV58" s="310"/>
      <c r="AW58" s="328" t="s">
        <v>454</v>
      </c>
      <c r="AX58" s="71">
        <v>0</v>
      </c>
      <c r="AZ58" s="328" t="s">
        <v>454</v>
      </c>
      <c r="BA58" s="310">
        <f t="shared" ref="BA58:BA87" si="8">IF(BB58&gt;BC57, IF(BB58&gt; BC57+$BC$55, 2*$BC$55,$BC$55),0)</f>
        <v>975</v>
      </c>
      <c r="BB58" s="310">
        <f>AS58</f>
        <v>214.00000000000003</v>
      </c>
      <c r="BC58" s="310">
        <f>BA58+BC57-BB58</f>
        <v>956</v>
      </c>
      <c r="BE58" s="328" t="s">
        <v>454</v>
      </c>
      <c r="BF58">
        <v>0</v>
      </c>
      <c r="BG58" s="310">
        <f>BA58/$BC$55</f>
        <v>1</v>
      </c>
      <c r="BH58" s="310">
        <f>AX58</f>
        <v>0</v>
      </c>
      <c r="BI58" s="310">
        <f>BF58+BI57-BG58-BH58</f>
        <v>2</v>
      </c>
    </row>
    <row r="59" spans="3:66" ht="15" thickTop="1" x14ac:dyDescent="0.3">
      <c r="C59" s="230" t="s">
        <v>479</v>
      </c>
      <c r="D59" s="230"/>
      <c r="E59" s="1">
        <f t="shared" si="1"/>
        <v>0</v>
      </c>
      <c r="F59" s="1">
        <f>IF(Table14[[#This Row],[Daily Vaccination
(vials)]]&gt;J58+Table14[[#This Row],[Problematic 
Vaccine 
Quantity]],IF(Table14[[#This Row],[Daily Vaccination
(vials)]]&gt;$I$26+J58,2*$I$26,$I$26),0)</f>
        <v>0</v>
      </c>
      <c r="G59" s="229">
        <f xml:space="preserve"> E59+G58-F59-Table14[[#This Row],[Outbound 20 clinics
(vials)]]</f>
        <v>1950</v>
      </c>
      <c r="H59" s="229">
        <f t="shared" si="6"/>
        <v>0</v>
      </c>
      <c r="I59" s="229">
        <f t="shared" si="5"/>
        <v>214.00000000000003</v>
      </c>
      <c r="J59" s="229">
        <f>J58+Table14[[#This Row],[ULT Consumption
(vials)]]-Table14[[#This Row],[Daily Vaccination
(vials)]]+Table14[[#This Row],[Problematic 
Vaccine 
Quantity]]</f>
        <v>267</v>
      </c>
      <c r="K59" s="229">
        <f>Table14[[#This Row],[ULT Ending Inventory 
(-75 deg C) (vials)]]+Table14[[#This Row],[Thawed Ending Inventory
(2-8 deg C) (vials)]]</f>
        <v>2217</v>
      </c>
      <c r="L59" s="229">
        <f t="shared" si="2"/>
        <v>1950</v>
      </c>
      <c r="M59" s="229">
        <f t="shared" si="3"/>
        <v>9750</v>
      </c>
      <c r="N59" s="229">
        <f t="shared" si="0"/>
        <v>4875</v>
      </c>
      <c r="O59" s="229" t="str">
        <f>IF(Table14[[#This Row],[Problematic 
Vaccine 
Quantity]]&gt;0, "YES","NO")</f>
        <v>NO</v>
      </c>
      <c r="P59" s="229">
        <v>0</v>
      </c>
      <c r="Q59" s="229">
        <f>Q58+(Table14[[#This Row],[Daily Vaccination
(vials)]]+Table14[[#This Row],[Outbound 20 clinics
(vials)]])*5</f>
        <v>38640</v>
      </c>
      <c r="R59" s="229"/>
      <c r="T59" s="315"/>
      <c r="U59" s="940">
        <v>44187</v>
      </c>
      <c r="V59" s="321" t="str">
        <f>Y77</f>
        <v>20 days</v>
      </c>
      <c r="W59" s="321" t="str">
        <f>Z77</f>
        <v>C</v>
      </c>
      <c r="X59" s="315">
        <v>0</v>
      </c>
      <c r="Y59" s="315"/>
      <c r="Z59" s="315"/>
      <c r="AA59" s="315"/>
      <c r="AB59" s="315" t="s">
        <v>435</v>
      </c>
      <c r="AD59" s="315"/>
      <c r="AE59" s="942">
        <v>44187</v>
      </c>
      <c r="AF59" s="316" t="str">
        <f>Y79</f>
        <v>3 days</v>
      </c>
      <c r="AG59" s="316" t="str">
        <f>Z79</f>
        <v>B</v>
      </c>
      <c r="AH59" s="315">
        <f>Y62*AF72</f>
        <v>975</v>
      </c>
      <c r="AI59" s="315"/>
      <c r="AJ59" s="315"/>
      <c r="AK59" s="315"/>
      <c r="AL59" s="315"/>
      <c r="AM59" s="315" t="s">
        <v>341</v>
      </c>
      <c r="AP59" s="310"/>
      <c r="AQ59" s="328" t="s">
        <v>455</v>
      </c>
      <c r="AR59" s="71">
        <f t="shared" si="7"/>
        <v>1070.0000000000002</v>
      </c>
      <c r="AS59" s="71">
        <f t="shared" ref="AS59:AS87" si="9">AR59/4875*975</f>
        <v>214.00000000000003</v>
      </c>
      <c r="AT59" s="329">
        <f t="shared" ref="AT59:AT87" si="10">AS59/975</f>
        <v>0.21948717948717952</v>
      </c>
      <c r="AV59" s="310"/>
      <c r="AW59" s="328" t="s">
        <v>455</v>
      </c>
      <c r="AX59" s="71">
        <v>0</v>
      </c>
      <c r="AZ59" s="328" t="s">
        <v>455</v>
      </c>
      <c r="BA59" s="310">
        <f t="shared" si="8"/>
        <v>0</v>
      </c>
      <c r="BB59" s="310">
        <f t="shared" ref="BB59:BB87" si="11">AS59</f>
        <v>214.00000000000003</v>
      </c>
      <c r="BC59" s="310">
        <f t="shared" ref="BC59:BC87" si="12">BA59+BC58-BB59</f>
        <v>742</v>
      </c>
      <c r="BE59" s="328" t="s">
        <v>455</v>
      </c>
      <c r="BF59">
        <v>0</v>
      </c>
      <c r="BG59" s="310">
        <f t="shared" ref="BG59:BG87" si="13">BA59/$BC$55</f>
        <v>0</v>
      </c>
      <c r="BH59" s="310">
        <f t="shared" ref="BH59:BH87" si="14">AX59</f>
        <v>0</v>
      </c>
      <c r="BI59" s="310">
        <f t="shared" ref="BI59:BI87" si="15">BF59+BI58-BG59-BH59</f>
        <v>2</v>
      </c>
    </row>
    <row r="60" spans="3:66" x14ac:dyDescent="0.3">
      <c r="C60" s="230" t="s">
        <v>480</v>
      </c>
      <c r="D60" s="230"/>
      <c r="E60" s="1">
        <f t="shared" si="1"/>
        <v>0</v>
      </c>
      <c r="F60" s="1">
        <f>IF(Table14[[#This Row],[Daily Vaccination
(vials)]]&gt;J59+Table14[[#This Row],[Problematic 
Vaccine 
Quantity]],IF(Table14[[#This Row],[Daily Vaccination
(vials)]]&gt;$I$26+J59,2*$I$26,$I$26),0)</f>
        <v>0</v>
      </c>
      <c r="G60" s="229">
        <f xml:space="preserve"> E60+G59-F60-Table14[[#This Row],[Outbound 20 clinics
(vials)]]</f>
        <v>1950</v>
      </c>
      <c r="H60" s="229">
        <f t="shared" si="6"/>
        <v>0</v>
      </c>
      <c r="I60" s="229">
        <f t="shared" si="5"/>
        <v>214.00000000000003</v>
      </c>
      <c r="J60" s="229">
        <f>J59+Table14[[#This Row],[ULT Consumption
(vials)]]-Table14[[#This Row],[Daily Vaccination
(vials)]]+Table14[[#This Row],[Problematic 
Vaccine 
Quantity]]</f>
        <v>52.999999999999972</v>
      </c>
      <c r="K60" s="229">
        <f>Table14[[#This Row],[ULT Ending Inventory 
(-75 deg C) (vials)]]+Table14[[#This Row],[Thawed Ending Inventory
(2-8 deg C) (vials)]]</f>
        <v>2003</v>
      </c>
      <c r="L60" s="229">
        <f t="shared" si="2"/>
        <v>1950</v>
      </c>
      <c r="M60" s="229">
        <f t="shared" si="3"/>
        <v>9750</v>
      </c>
      <c r="N60" s="229">
        <f t="shared" si="0"/>
        <v>4875</v>
      </c>
      <c r="O60" s="229" t="str">
        <f>IF(Table14[[#This Row],[Problematic 
Vaccine 
Quantity]]&gt;0, "YES","NO")</f>
        <v>NO</v>
      </c>
      <c r="P60" s="229">
        <v>0</v>
      </c>
      <c r="Q60" s="229">
        <f>Q59+(Table14[[#This Row],[Daily Vaccination
(vials)]]+Table14[[#This Row],[Outbound 20 clinics
(vials)]])*5</f>
        <v>39710</v>
      </c>
      <c r="R60" s="229"/>
      <c r="T60" s="310"/>
      <c r="U60" s="938"/>
      <c r="V60" s="320" t="str">
        <f>Y78</f>
        <v xml:space="preserve">18 Days </v>
      </c>
      <c r="W60" s="320" t="str">
        <f>Z78</f>
        <v>D</v>
      </c>
      <c r="X60" s="310">
        <v>0</v>
      </c>
      <c r="Y60" s="310"/>
      <c r="Z60" s="310"/>
      <c r="AA60" s="310"/>
      <c r="AB60" s="310" t="s">
        <v>435</v>
      </c>
      <c r="AD60" s="310"/>
      <c r="AE60" s="943"/>
      <c r="AF60" s="310"/>
      <c r="AG60" s="310"/>
      <c r="AH60" s="310"/>
      <c r="AI60" s="310"/>
      <c r="AJ60" s="310"/>
      <c r="AK60" s="310"/>
      <c r="AL60" s="310">
        <f>AL58+AH59</f>
        <v>1155</v>
      </c>
      <c r="AM60" s="310" t="s">
        <v>341</v>
      </c>
      <c r="AP60" s="310"/>
      <c r="AQ60" s="328" t="s">
        <v>456</v>
      </c>
      <c r="AR60" s="71">
        <f t="shared" si="7"/>
        <v>1070.0000000000002</v>
      </c>
      <c r="AS60" s="71">
        <f t="shared" si="9"/>
        <v>214.00000000000003</v>
      </c>
      <c r="AT60" s="329">
        <f t="shared" si="10"/>
        <v>0.21948717948717952</v>
      </c>
      <c r="AV60" s="310"/>
      <c r="AW60" s="328" t="s">
        <v>456</v>
      </c>
      <c r="AX60" s="71">
        <v>0</v>
      </c>
      <c r="AZ60" s="328" t="s">
        <v>456</v>
      </c>
      <c r="BA60" s="310">
        <f t="shared" si="8"/>
        <v>0</v>
      </c>
      <c r="BB60" s="310">
        <f t="shared" si="11"/>
        <v>214.00000000000003</v>
      </c>
      <c r="BC60" s="310">
        <f t="shared" si="12"/>
        <v>528</v>
      </c>
      <c r="BE60" s="328" t="s">
        <v>456</v>
      </c>
      <c r="BF60">
        <v>0</v>
      </c>
      <c r="BG60" s="310">
        <f t="shared" si="13"/>
        <v>0</v>
      </c>
      <c r="BH60" s="310">
        <f t="shared" si="14"/>
        <v>0</v>
      </c>
      <c r="BI60" s="310">
        <f t="shared" si="15"/>
        <v>2</v>
      </c>
    </row>
    <row r="61" spans="3:66" x14ac:dyDescent="0.3">
      <c r="C61" s="230" t="s">
        <v>481</v>
      </c>
      <c r="D61" s="230"/>
      <c r="E61" s="1">
        <f t="shared" si="1"/>
        <v>4875</v>
      </c>
      <c r="F61" s="1">
        <f>IF(Table14[[#This Row],[Daily Vaccination
(vials)]]&gt;J60+Table14[[#This Row],[Problematic 
Vaccine 
Quantity]],IF(Table14[[#This Row],[Daily Vaccination
(vials)]]&gt;$I$26+J60,2*$I$26,$I$26),0)</f>
        <v>975</v>
      </c>
      <c r="G61" s="229">
        <f xml:space="preserve"> E61+G60-F61-Table14[[#This Row],[Outbound 20 clinics
(vials)]]</f>
        <v>5850</v>
      </c>
      <c r="H61" s="229">
        <f t="shared" si="6"/>
        <v>0</v>
      </c>
      <c r="I61" s="229">
        <f t="shared" si="5"/>
        <v>214.00000000000003</v>
      </c>
      <c r="J61" s="229">
        <f>J60+Table14[[#This Row],[ULT Consumption
(vials)]]-Table14[[#This Row],[Daily Vaccination
(vials)]]+Table14[[#This Row],[Problematic 
Vaccine 
Quantity]]</f>
        <v>814</v>
      </c>
      <c r="K61" s="229">
        <f>Table14[[#This Row],[ULT Ending Inventory 
(-75 deg C) (vials)]]+Table14[[#This Row],[Thawed Ending Inventory
(2-8 deg C) (vials)]]</f>
        <v>6664</v>
      </c>
      <c r="L61" s="229">
        <f t="shared" si="2"/>
        <v>1950</v>
      </c>
      <c r="M61" s="229">
        <f t="shared" si="3"/>
        <v>9750</v>
      </c>
      <c r="N61" s="229">
        <f t="shared" si="0"/>
        <v>4875</v>
      </c>
      <c r="O61" s="229" t="str">
        <f>IF(Table14[[#This Row],[Problematic 
Vaccine 
Quantity]]&gt;0, "YES","NO")</f>
        <v>NO</v>
      </c>
      <c r="P61" s="229">
        <v>0</v>
      </c>
      <c r="Q61" s="229">
        <f>Q60+(Table14[[#This Row],[Daily Vaccination
(vials)]]+Table14[[#This Row],[Outbound 20 clinics
(vials)]])*5</f>
        <v>40780</v>
      </c>
      <c r="R61" s="229"/>
      <c r="T61" s="310"/>
      <c r="U61" s="938"/>
      <c r="V61" s="310"/>
      <c r="W61" s="310"/>
      <c r="X61" s="310"/>
      <c r="Y61" s="310"/>
      <c r="Z61" s="310"/>
      <c r="AA61" s="310">
        <f>AA58+X60+X59</f>
        <v>4</v>
      </c>
      <c r="AB61" s="310" t="s">
        <v>435</v>
      </c>
      <c r="AD61" s="310"/>
      <c r="AE61" s="943"/>
      <c r="AF61" s="313" t="str">
        <f>Y92</f>
        <v>0 day</v>
      </c>
      <c r="AG61" s="313" t="str">
        <f>Z85</f>
        <v>H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1">
        <f t="shared" si="7"/>
        <v>1070.0000000000002</v>
      </c>
      <c r="AS61" s="71">
        <f t="shared" si="9"/>
        <v>214.00000000000003</v>
      </c>
      <c r="AT61" s="329">
        <f t="shared" si="10"/>
        <v>0.21948717948717952</v>
      </c>
      <c r="AV61" s="310"/>
      <c r="AW61" s="328" t="s">
        <v>457</v>
      </c>
      <c r="AX61" s="71">
        <v>0</v>
      </c>
      <c r="AZ61" s="328" t="s">
        <v>457</v>
      </c>
      <c r="BA61" s="310">
        <f t="shared" si="8"/>
        <v>0</v>
      </c>
      <c r="BB61" s="310">
        <f t="shared" si="11"/>
        <v>214.00000000000003</v>
      </c>
      <c r="BC61" s="310">
        <f t="shared" si="12"/>
        <v>314</v>
      </c>
      <c r="BE61" s="328" t="s">
        <v>457</v>
      </c>
      <c r="BF61">
        <v>0</v>
      </c>
      <c r="BG61" s="310">
        <f t="shared" si="13"/>
        <v>0</v>
      </c>
      <c r="BH61" s="310">
        <f t="shared" si="14"/>
        <v>0</v>
      </c>
      <c r="BI61" s="310">
        <f t="shared" si="15"/>
        <v>2</v>
      </c>
    </row>
    <row r="62" spans="3:66" x14ac:dyDescent="0.3">
      <c r="C62" s="230" t="s">
        <v>510</v>
      </c>
      <c r="D62" s="230"/>
      <c r="E62" s="1">
        <f t="shared" si="1"/>
        <v>0</v>
      </c>
      <c r="F62" s="1">
        <f>IF(Table14[[#This Row],[Daily Vaccination
(vials)]]&gt;J61+Table14[[#This Row],[Problematic 
Vaccine 
Quantity]],IF(Table14[[#This Row],[Daily Vaccination
(vials)]]&gt;$I$26+J61,2*$I$26,$I$26),0)</f>
        <v>0</v>
      </c>
      <c r="G62" s="229">
        <f xml:space="preserve"> E62+G61-F62-Table14[[#This Row],[Outbound 20 clinics
(vials)]]</f>
        <v>5850</v>
      </c>
      <c r="H62" s="229">
        <f t="shared" si="6"/>
        <v>0</v>
      </c>
      <c r="I62" s="229">
        <f t="shared" si="5"/>
        <v>214.00000000000003</v>
      </c>
      <c r="J62" s="229">
        <f>J61+Table14[[#This Row],[ULT Consumption
(vials)]]-Table14[[#This Row],[Daily Vaccination
(vials)]]+Table14[[#This Row],[Problematic 
Vaccine 
Quantity]]</f>
        <v>600</v>
      </c>
      <c r="K62" s="229">
        <f>Table14[[#This Row],[ULT Ending Inventory 
(-75 deg C) (vials)]]+Table14[[#This Row],[Thawed Ending Inventory
(2-8 deg C) (vials)]]</f>
        <v>6450</v>
      </c>
      <c r="L62" s="229">
        <f t="shared" si="2"/>
        <v>1950</v>
      </c>
      <c r="M62" s="229">
        <f t="shared" si="3"/>
        <v>9750</v>
      </c>
      <c r="N62" s="229">
        <f t="shared" si="0"/>
        <v>4875</v>
      </c>
      <c r="O62" s="229" t="str">
        <f>IF(Table14[[#This Row],[Problematic 
Vaccine 
Quantity]]&gt;0, "YES","NO")</f>
        <v>NO</v>
      </c>
      <c r="P62" s="229">
        <v>0</v>
      </c>
      <c r="Q62" s="229">
        <f>Q61+(Table14[[#This Row],[Daily Vaccination
(vials)]]+Table14[[#This Row],[Outbound 20 clinics
(vials)]])*5</f>
        <v>41850</v>
      </c>
      <c r="R62" s="229"/>
      <c r="T62" s="310"/>
      <c r="U62" s="938"/>
      <c r="V62" s="314" t="str">
        <f>Y84</f>
        <v>4 days</v>
      </c>
      <c r="W62" s="314" t="str">
        <f>Z84</f>
        <v>B</v>
      </c>
      <c r="X62" s="310"/>
      <c r="Y62" s="310">
        <v>1</v>
      </c>
      <c r="Z62" s="310"/>
      <c r="AA62" s="310"/>
      <c r="AB62" s="310" t="s">
        <v>435</v>
      </c>
      <c r="AD62" s="310"/>
      <c r="AE62" s="943"/>
      <c r="AF62" s="313" t="str">
        <f>Y85</f>
        <v>1 day</v>
      </c>
      <c r="AG62" s="313" t="s">
        <v>419</v>
      </c>
      <c r="AH62" s="310"/>
      <c r="AI62" s="310"/>
      <c r="AJ62" s="310"/>
      <c r="AK62" s="310">
        <f>AK57-AJ61</f>
        <v>30</v>
      </c>
      <c r="AL62" s="310"/>
      <c r="AM62" s="310"/>
      <c r="AP62" s="310"/>
      <c r="AQ62" s="328" t="s">
        <v>458</v>
      </c>
      <c r="AR62" s="71">
        <f t="shared" si="7"/>
        <v>1070.0000000000002</v>
      </c>
      <c r="AS62" s="71">
        <f t="shared" si="9"/>
        <v>214.00000000000003</v>
      </c>
      <c r="AT62" s="329">
        <f t="shared" si="10"/>
        <v>0.21948717948717952</v>
      </c>
      <c r="AV62" s="310"/>
      <c r="AW62" s="328" t="s">
        <v>458</v>
      </c>
      <c r="AX62" s="71">
        <v>0</v>
      </c>
      <c r="AZ62" s="328" t="s">
        <v>458</v>
      </c>
      <c r="BA62" s="310">
        <f t="shared" si="8"/>
        <v>0</v>
      </c>
      <c r="BB62" s="310">
        <f t="shared" si="11"/>
        <v>214.00000000000003</v>
      </c>
      <c r="BC62" s="310">
        <f t="shared" si="12"/>
        <v>99.999999999999972</v>
      </c>
      <c r="BE62" s="328" t="s">
        <v>458</v>
      </c>
      <c r="BF62">
        <v>0</v>
      </c>
      <c r="BG62" s="310">
        <f t="shared" si="13"/>
        <v>0</v>
      </c>
      <c r="BH62" s="310">
        <f t="shared" si="14"/>
        <v>0</v>
      </c>
      <c r="BI62" s="310">
        <f t="shared" si="15"/>
        <v>2</v>
      </c>
    </row>
    <row r="63" spans="3:66" x14ac:dyDescent="0.3">
      <c r="C63" s="294"/>
      <c r="D63" s="294"/>
      <c r="E63" s="229">
        <f>SUM(Table14[Replenishment
(vials)])+SUM(Table14[Problematic 
Vaccine 
Quantity])</f>
        <v>9750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310"/>
      <c r="U63" s="938"/>
      <c r="V63" s="310"/>
      <c r="W63" s="310"/>
      <c r="X63" s="310"/>
      <c r="Y63" s="310"/>
      <c r="Z63" s="310"/>
      <c r="AA63" s="310">
        <f>AA61-Y62</f>
        <v>3</v>
      </c>
      <c r="AB63" s="310" t="s">
        <v>435</v>
      </c>
      <c r="AD63" s="310"/>
      <c r="AE63" s="943"/>
      <c r="AF63" s="313" t="str">
        <f>Y85</f>
        <v>1 day</v>
      </c>
      <c r="AG63" s="313" t="s">
        <v>419</v>
      </c>
      <c r="AH63" s="310"/>
      <c r="AI63" s="310">
        <f>W85</f>
        <v>30</v>
      </c>
      <c r="AJ63" s="310"/>
      <c r="AK63" s="310"/>
      <c r="AL63" s="310"/>
      <c r="AM63" s="310"/>
      <c r="AP63" s="310"/>
      <c r="AQ63" s="328" t="s">
        <v>459</v>
      </c>
      <c r="AR63" s="71">
        <f t="shared" si="7"/>
        <v>1070.0000000000002</v>
      </c>
      <c r="AS63" s="71">
        <f t="shared" si="9"/>
        <v>214.00000000000003</v>
      </c>
      <c r="AT63" s="329">
        <f t="shared" si="10"/>
        <v>0.21948717948717952</v>
      </c>
      <c r="AV63" s="310"/>
      <c r="AW63" s="328" t="s">
        <v>459</v>
      </c>
      <c r="AX63" s="71">
        <v>0</v>
      </c>
      <c r="AZ63" s="328" t="s">
        <v>459</v>
      </c>
      <c r="BA63" s="310">
        <f t="shared" si="8"/>
        <v>975</v>
      </c>
      <c r="BB63" s="310">
        <f t="shared" si="11"/>
        <v>214.00000000000003</v>
      </c>
      <c r="BC63" s="310">
        <f t="shared" si="12"/>
        <v>861</v>
      </c>
      <c r="BE63" s="328" t="s">
        <v>459</v>
      </c>
      <c r="BF63">
        <v>5</v>
      </c>
      <c r="BG63" s="310">
        <f t="shared" si="13"/>
        <v>1</v>
      </c>
      <c r="BH63" s="310">
        <f t="shared" si="14"/>
        <v>0</v>
      </c>
      <c r="BI63" s="310">
        <f t="shared" si="15"/>
        <v>6</v>
      </c>
    </row>
    <row r="64" spans="3:66" x14ac:dyDescent="0.3">
      <c r="D64" t="s">
        <v>495</v>
      </c>
      <c r="E64" s="295"/>
      <c r="T64" s="310"/>
      <c r="U64" s="938"/>
      <c r="V64" s="319" t="s">
        <v>422</v>
      </c>
      <c r="W64" s="319" t="s">
        <v>10</v>
      </c>
      <c r="X64" s="310"/>
      <c r="Y64" s="310"/>
      <c r="Z64" s="310">
        <v>3</v>
      </c>
      <c r="AA64" s="310"/>
      <c r="AB64" s="310" t="s">
        <v>435</v>
      </c>
      <c r="AD64" s="310"/>
      <c r="AE64" s="943"/>
      <c r="AF64" s="312" t="str">
        <f>Y86</f>
        <v>2 days</v>
      </c>
      <c r="AG64" s="312" t="str">
        <f>Z86</f>
        <v>G</v>
      </c>
      <c r="AH64" s="310"/>
      <c r="AI64" s="310">
        <f>W86</f>
        <v>100</v>
      </c>
      <c r="AJ64" s="310"/>
      <c r="AK64" s="310"/>
      <c r="AL64" s="310"/>
      <c r="AM64" s="310" t="s">
        <v>341</v>
      </c>
      <c r="AP64" s="310"/>
      <c r="AQ64" s="328" t="s">
        <v>460</v>
      </c>
      <c r="AR64" s="71">
        <f t="shared" si="7"/>
        <v>1070.0000000000002</v>
      </c>
      <c r="AS64" s="71">
        <f t="shared" si="9"/>
        <v>214.00000000000003</v>
      </c>
      <c r="AT64" s="329">
        <f t="shared" si="10"/>
        <v>0.21948717948717952</v>
      </c>
      <c r="AV64" s="310"/>
      <c r="AW64" s="328" t="s">
        <v>460</v>
      </c>
      <c r="AX64" s="71">
        <v>0</v>
      </c>
      <c r="AZ64" s="328" t="s">
        <v>460</v>
      </c>
      <c r="BA64" s="310">
        <f t="shared" si="8"/>
        <v>0</v>
      </c>
      <c r="BB64" s="310">
        <f t="shared" si="11"/>
        <v>214.00000000000003</v>
      </c>
      <c r="BC64" s="310">
        <f t="shared" si="12"/>
        <v>647</v>
      </c>
      <c r="BE64" s="328" t="s">
        <v>460</v>
      </c>
      <c r="BF64">
        <v>0</v>
      </c>
      <c r="BG64" s="310">
        <f t="shared" si="13"/>
        <v>0</v>
      </c>
      <c r="BH64" s="310">
        <f t="shared" si="14"/>
        <v>0</v>
      </c>
      <c r="BI64" s="310">
        <f t="shared" si="15"/>
        <v>6</v>
      </c>
    </row>
    <row r="65" spans="5:61" x14ac:dyDescent="0.3">
      <c r="E65" s="295" t="s">
        <v>497</v>
      </c>
      <c r="T65" s="310"/>
      <c r="U65" s="938"/>
      <c r="V65" s="314" t="s">
        <v>425</v>
      </c>
      <c r="W65" s="314" t="s">
        <v>11</v>
      </c>
      <c r="X65" s="310"/>
      <c r="Y65" s="310"/>
      <c r="Z65" s="310">
        <v>0</v>
      </c>
      <c r="AA65" s="310"/>
      <c r="AB65" s="310" t="s">
        <v>435</v>
      </c>
      <c r="AD65" s="310"/>
      <c r="AE65" s="943"/>
      <c r="AF65" s="314" t="str">
        <f>Y87</f>
        <v>3 days</v>
      </c>
      <c r="AG65" s="314" t="str">
        <f>Z87</f>
        <v>B</v>
      </c>
      <c r="AH65" s="310"/>
      <c r="AI65" s="310">
        <f>W87</f>
        <v>830</v>
      </c>
      <c r="AJ65" s="310"/>
      <c r="AK65" s="310"/>
      <c r="AL65" s="310"/>
      <c r="AM65" s="310" t="s">
        <v>341</v>
      </c>
      <c r="AP65" s="310"/>
      <c r="AQ65" s="328" t="s">
        <v>461</v>
      </c>
      <c r="AR65" s="71">
        <f t="shared" si="7"/>
        <v>1070.0000000000002</v>
      </c>
      <c r="AS65" s="71">
        <f t="shared" si="9"/>
        <v>214.00000000000003</v>
      </c>
      <c r="AT65" s="329">
        <f t="shared" si="10"/>
        <v>0.21948717948717952</v>
      </c>
      <c r="AV65" s="310"/>
      <c r="AW65" s="328" t="s">
        <v>461</v>
      </c>
      <c r="AX65" s="71">
        <v>0</v>
      </c>
      <c r="AZ65" s="328" t="s">
        <v>461</v>
      </c>
      <c r="BA65" s="310">
        <f t="shared" si="8"/>
        <v>0</v>
      </c>
      <c r="BB65" s="310">
        <f t="shared" si="11"/>
        <v>214.00000000000003</v>
      </c>
      <c r="BC65" s="310">
        <f t="shared" si="12"/>
        <v>433</v>
      </c>
      <c r="BE65" s="328" t="s">
        <v>461</v>
      </c>
      <c r="BF65">
        <v>0</v>
      </c>
      <c r="BG65" s="310">
        <f t="shared" si="13"/>
        <v>0</v>
      </c>
      <c r="BH65" s="310">
        <f t="shared" si="14"/>
        <v>0</v>
      </c>
      <c r="BI65" s="310">
        <f t="shared" si="15"/>
        <v>6</v>
      </c>
    </row>
    <row r="66" spans="5:61" x14ac:dyDescent="0.3">
      <c r="T66" s="310"/>
      <c r="U66" s="941"/>
      <c r="V66" s="310"/>
      <c r="W66" s="310"/>
      <c r="X66" s="310"/>
      <c r="Y66" s="310"/>
      <c r="Z66" s="310"/>
      <c r="AA66" s="310"/>
      <c r="AB66" s="310" t="s">
        <v>435</v>
      </c>
      <c r="AC66">
        <f>3*975</f>
        <v>2925</v>
      </c>
      <c r="AD66" s="310"/>
      <c r="AE66" s="943"/>
      <c r="AF66" s="310" t="s">
        <v>417</v>
      </c>
      <c r="AG66" s="310" t="s">
        <v>11</v>
      </c>
      <c r="AH66" s="310"/>
      <c r="AI66" s="310"/>
      <c r="AJ66" s="310"/>
      <c r="AK66" s="310"/>
      <c r="AL66" s="310">
        <f>AL60-AI64-AI63-AI65</f>
        <v>195</v>
      </c>
      <c r="AM66" s="310" t="s">
        <v>341</v>
      </c>
      <c r="AP66" s="310"/>
      <c r="AQ66" s="328" t="s">
        <v>462</v>
      </c>
      <c r="AR66" s="71">
        <f t="shared" si="7"/>
        <v>1070.0000000000002</v>
      </c>
      <c r="AS66" s="71">
        <f t="shared" si="9"/>
        <v>214.00000000000003</v>
      </c>
      <c r="AT66" s="329">
        <f t="shared" si="10"/>
        <v>0.21948717948717952</v>
      </c>
      <c r="AV66" s="310"/>
      <c r="AW66" s="328" t="s">
        <v>462</v>
      </c>
      <c r="AX66" s="71">
        <v>0</v>
      </c>
      <c r="AZ66" s="328" t="s">
        <v>462</v>
      </c>
      <c r="BA66" s="310">
        <f t="shared" si="8"/>
        <v>0</v>
      </c>
      <c r="BB66" s="310">
        <f t="shared" si="11"/>
        <v>214.00000000000003</v>
      </c>
      <c r="BC66" s="310">
        <f t="shared" si="12"/>
        <v>218.99999999999997</v>
      </c>
      <c r="BE66" s="328" t="s">
        <v>462</v>
      </c>
      <c r="BF66">
        <v>0</v>
      </c>
      <c r="BG66" s="310">
        <f t="shared" si="13"/>
        <v>0</v>
      </c>
      <c r="BH66" s="310">
        <f t="shared" si="14"/>
        <v>0</v>
      </c>
      <c r="BI66" s="310">
        <f t="shared" si="15"/>
        <v>6</v>
      </c>
    </row>
    <row r="67" spans="5:61" x14ac:dyDescent="0.3">
      <c r="P67" s="20"/>
      <c r="AD67" s="310"/>
      <c r="AE67" s="944"/>
      <c r="AF67" s="310" t="s">
        <v>417</v>
      </c>
      <c r="AG67" s="310" t="s">
        <v>11</v>
      </c>
      <c r="AH67" s="310"/>
      <c r="AI67" s="310"/>
      <c r="AJ67" s="310"/>
      <c r="AK67" s="310">
        <f>AL66</f>
        <v>195</v>
      </c>
      <c r="AL67" s="310"/>
      <c r="AM67" s="310" t="s">
        <v>341</v>
      </c>
      <c r="AP67" s="310"/>
      <c r="AQ67" s="328" t="s">
        <v>463</v>
      </c>
      <c r="AR67" s="71">
        <f t="shared" si="7"/>
        <v>1070.0000000000002</v>
      </c>
      <c r="AS67" s="71">
        <f t="shared" si="9"/>
        <v>214.00000000000003</v>
      </c>
      <c r="AT67" s="329">
        <f t="shared" si="10"/>
        <v>0.21948717948717952</v>
      </c>
      <c r="AV67" s="310"/>
      <c r="AW67" s="328" t="s">
        <v>463</v>
      </c>
      <c r="AX67" s="71">
        <v>0</v>
      </c>
      <c r="AZ67" s="328" t="s">
        <v>463</v>
      </c>
      <c r="BA67" s="310">
        <f t="shared" si="8"/>
        <v>0</v>
      </c>
      <c r="BB67" s="310">
        <f t="shared" si="11"/>
        <v>214.00000000000003</v>
      </c>
      <c r="BC67" s="310">
        <f t="shared" si="12"/>
        <v>4.9999999999999432</v>
      </c>
      <c r="BE67" s="328" t="s">
        <v>463</v>
      </c>
      <c r="BF67">
        <v>0</v>
      </c>
      <c r="BG67" s="310">
        <f t="shared" si="13"/>
        <v>0</v>
      </c>
      <c r="BH67" s="310">
        <f t="shared" si="14"/>
        <v>0</v>
      </c>
      <c r="BI67" s="310">
        <f t="shared" si="15"/>
        <v>6</v>
      </c>
    </row>
    <row r="68" spans="5:61" x14ac:dyDescent="0.3">
      <c r="AP68" s="310"/>
      <c r="AQ68" s="328" t="s">
        <v>453</v>
      </c>
      <c r="AR68" s="71">
        <f t="shared" si="7"/>
        <v>1070.0000000000002</v>
      </c>
      <c r="AS68" s="71">
        <f t="shared" si="9"/>
        <v>214.00000000000003</v>
      </c>
      <c r="AT68" s="329">
        <f t="shared" si="10"/>
        <v>0.21948717948717952</v>
      </c>
      <c r="AV68" s="310"/>
      <c r="AW68" s="328" t="s">
        <v>453</v>
      </c>
      <c r="AX68" s="71">
        <v>0</v>
      </c>
      <c r="AZ68" s="328" t="s">
        <v>453</v>
      </c>
      <c r="BA68" s="310">
        <f t="shared" si="8"/>
        <v>975</v>
      </c>
      <c r="BB68" s="310">
        <f t="shared" si="11"/>
        <v>214.00000000000003</v>
      </c>
      <c r="BC68" s="310">
        <f t="shared" si="12"/>
        <v>766</v>
      </c>
      <c r="BE68" s="328" t="s">
        <v>453</v>
      </c>
      <c r="BF68">
        <v>0</v>
      </c>
      <c r="BG68" s="310">
        <f t="shared" si="13"/>
        <v>1</v>
      </c>
      <c r="BH68" s="310">
        <f t="shared" si="14"/>
        <v>0</v>
      </c>
      <c r="BI68" s="310">
        <f t="shared" si="15"/>
        <v>5</v>
      </c>
    </row>
    <row r="69" spans="5:61" x14ac:dyDescent="0.3">
      <c r="N69" s="20"/>
      <c r="AP69" s="310"/>
      <c r="AQ69" s="328" t="s">
        <v>464</v>
      </c>
      <c r="AR69" s="71">
        <f t="shared" si="7"/>
        <v>1070.0000000000002</v>
      </c>
      <c r="AS69" s="71">
        <f t="shared" si="9"/>
        <v>214.00000000000003</v>
      </c>
      <c r="AT69" s="329">
        <f t="shared" si="10"/>
        <v>0.21948717948717952</v>
      </c>
      <c r="AV69" s="310"/>
      <c r="AW69" s="328" t="s">
        <v>464</v>
      </c>
      <c r="AX69" s="71">
        <v>0</v>
      </c>
      <c r="AZ69" s="328" t="s">
        <v>464</v>
      </c>
      <c r="BA69" s="310">
        <f t="shared" si="8"/>
        <v>0</v>
      </c>
      <c r="BB69" s="310">
        <f t="shared" si="11"/>
        <v>214.00000000000003</v>
      </c>
      <c r="BC69" s="310">
        <f t="shared" si="12"/>
        <v>552</v>
      </c>
      <c r="BE69" s="328" t="s">
        <v>464</v>
      </c>
      <c r="BF69">
        <v>0</v>
      </c>
      <c r="BG69" s="310">
        <f t="shared" si="13"/>
        <v>0</v>
      </c>
      <c r="BH69" s="310">
        <f t="shared" si="14"/>
        <v>0</v>
      </c>
      <c r="BI69" s="310">
        <f t="shared" si="15"/>
        <v>5</v>
      </c>
    </row>
    <row r="70" spans="5:61" x14ac:dyDescent="0.3">
      <c r="T70" t="s">
        <v>421</v>
      </c>
      <c r="AI70" t="s">
        <v>508</v>
      </c>
      <c r="AP70" s="310"/>
      <c r="AQ70" s="328" t="s">
        <v>465</v>
      </c>
      <c r="AR70" s="71">
        <f t="shared" si="7"/>
        <v>1070.0000000000002</v>
      </c>
      <c r="AS70" s="71">
        <f t="shared" si="9"/>
        <v>214.00000000000003</v>
      </c>
      <c r="AT70" s="329">
        <f t="shared" si="10"/>
        <v>0.21948717948717952</v>
      </c>
      <c r="AV70" s="310"/>
      <c r="AW70" s="328" t="s">
        <v>465</v>
      </c>
      <c r="AX70" s="71">
        <v>0</v>
      </c>
      <c r="AZ70" s="328" t="s">
        <v>465</v>
      </c>
      <c r="BA70" s="310">
        <f t="shared" si="8"/>
        <v>0</v>
      </c>
      <c r="BB70" s="310">
        <f t="shared" si="11"/>
        <v>214.00000000000003</v>
      </c>
      <c r="BC70" s="310">
        <f t="shared" si="12"/>
        <v>338</v>
      </c>
      <c r="BE70" s="328" t="s">
        <v>465</v>
      </c>
      <c r="BF70">
        <v>0</v>
      </c>
      <c r="BG70" s="310">
        <f t="shared" si="13"/>
        <v>0</v>
      </c>
      <c r="BH70" s="310">
        <f t="shared" si="14"/>
        <v>0</v>
      </c>
      <c r="BI70" s="310">
        <f t="shared" si="15"/>
        <v>5</v>
      </c>
    </row>
    <row r="71" spans="5:61" x14ac:dyDescent="0.3">
      <c r="T71" t="s">
        <v>500</v>
      </c>
      <c r="AD71">
        <v>1</v>
      </c>
      <c r="AP71" s="310"/>
      <c r="AQ71" s="328" t="s">
        <v>466</v>
      </c>
      <c r="AR71" s="71">
        <f t="shared" si="7"/>
        <v>1070.0000000000002</v>
      </c>
      <c r="AS71" s="71">
        <f t="shared" si="9"/>
        <v>214.00000000000003</v>
      </c>
      <c r="AT71" s="329">
        <f t="shared" si="10"/>
        <v>0.21948717948717952</v>
      </c>
      <c r="AV71" s="310"/>
      <c r="AW71" s="328" t="s">
        <v>466</v>
      </c>
      <c r="AX71" s="71">
        <v>0</v>
      </c>
      <c r="AZ71" s="328" t="s">
        <v>466</v>
      </c>
      <c r="BA71" s="310">
        <f t="shared" si="8"/>
        <v>0</v>
      </c>
      <c r="BB71" s="310">
        <f t="shared" si="11"/>
        <v>214.00000000000003</v>
      </c>
      <c r="BC71" s="310">
        <f t="shared" si="12"/>
        <v>123.99999999999997</v>
      </c>
      <c r="BE71" s="328" t="s">
        <v>466</v>
      </c>
      <c r="BF71">
        <v>0</v>
      </c>
      <c r="BG71" s="310">
        <f t="shared" si="13"/>
        <v>0</v>
      </c>
      <c r="BH71" s="310">
        <f t="shared" si="14"/>
        <v>0</v>
      </c>
      <c r="BI71" s="310">
        <f t="shared" si="15"/>
        <v>5</v>
      </c>
    </row>
    <row r="72" spans="5:61" x14ac:dyDescent="0.3">
      <c r="P72" s="20"/>
      <c r="T72" t="s">
        <v>426</v>
      </c>
      <c r="AD72" t="s">
        <v>429</v>
      </c>
      <c r="AE72" t="s">
        <v>427</v>
      </c>
      <c r="AF72">
        <v>975</v>
      </c>
      <c r="AG72" t="s">
        <v>367</v>
      </c>
      <c r="AP72" s="310"/>
      <c r="AQ72" s="328" t="s">
        <v>467</v>
      </c>
      <c r="AR72" s="71">
        <f t="shared" si="7"/>
        <v>1070.0000000000002</v>
      </c>
      <c r="AS72" s="71">
        <f t="shared" si="9"/>
        <v>214.00000000000003</v>
      </c>
      <c r="AT72" s="329">
        <f t="shared" si="10"/>
        <v>0.21948717948717952</v>
      </c>
      <c r="AV72" s="310"/>
      <c r="AW72" s="328" t="s">
        <v>467</v>
      </c>
      <c r="AX72" s="71">
        <v>0</v>
      </c>
      <c r="AZ72" s="328" t="s">
        <v>467</v>
      </c>
      <c r="BA72" s="310">
        <f t="shared" si="8"/>
        <v>975</v>
      </c>
      <c r="BB72" s="310">
        <f t="shared" si="11"/>
        <v>214.00000000000003</v>
      </c>
      <c r="BC72" s="310">
        <f t="shared" si="12"/>
        <v>885</v>
      </c>
      <c r="BE72" s="328" t="s">
        <v>467</v>
      </c>
      <c r="BF72">
        <v>0</v>
      </c>
      <c r="BG72" s="310">
        <f t="shared" si="13"/>
        <v>1</v>
      </c>
      <c r="BH72" s="310">
        <f t="shared" si="14"/>
        <v>0</v>
      </c>
      <c r="BI72" s="310">
        <f t="shared" si="15"/>
        <v>4</v>
      </c>
    </row>
    <row r="73" spans="5:61" x14ac:dyDescent="0.3">
      <c r="AC73" s="20" t="s">
        <v>428</v>
      </c>
      <c r="AD73" t="s">
        <v>430</v>
      </c>
      <c r="AP73" s="310"/>
      <c r="AQ73" s="328" t="s">
        <v>468</v>
      </c>
      <c r="AR73" s="71">
        <f t="shared" si="7"/>
        <v>1070.0000000000002</v>
      </c>
      <c r="AS73" s="71">
        <f t="shared" si="9"/>
        <v>214.00000000000003</v>
      </c>
      <c r="AT73" s="329">
        <f t="shared" si="10"/>
        <v>0.21948717948717952</v>
      </c>
      <c r="AV73" s="310"/>
      <c r="AW73" s="328" t="s">
        <v>468</v>
      </c>
      <c r="AX73" s="71">
        <v>0</v>
      </c>
      <c r="AZ73" s="328" t="s">
        <v>468</v>
      </c>
      <c r="BA73" s="310">
        <f t="shared" si="8"/>
        <v>0</v>
      </c>
      <c r="BB73" s="310">
        <f t="shared" si="11"/>
        <v>214.00000000000003</v>
      </c>
      <c r="BC73" s="310">
        <f t="shared" si="12"/>
        <v>671</v>
      </c>
      <c r="BE73" s="328" t="s">
        <v>468</v>
      </c>
      <c r="BF73">
        <v>0</v>
      </c>
      <c r="BG73" s="310">
        <f t="shared" si="13"/>
        <v>0</v>
      </c>
      <c r="BH73" s="310">
        <f t="shared" si="14"/>
        <v>0</v>
      </c>
      <c r="BI73" s="310">
        <f t="shared" si="15"/>
        <v>4</v>
      </c>
    </row>
    <row r="74" spans="5:61" x14ac:dyDescent="0.3">
      <c r="AD74" t="s">
        <v>431</v>
      </c>
      <c r="AP74" s="310"/>
      <c r="AQ74" s="328" t="s">
        <v>469</v>
      </c>
      <c r="AR74" s="71">
        <f t="shared" si="7"/>
        <v>1070.0000000000002</v>
      </c>
      <c r="AS74" s="71">
        <f t="shared" si="9"/>
        <v>214.00000000000003</v>
      </c>
      <c r="AT74" s="329">
        <f t="shared" si="10"/>
        <v>0.21948717948717952</v>
      </c>
      <c r="AV74" s="310"/>
      <c r="AW74" s="328" t="s">
        <v>469</v>
      </c>
      <c r="AX74" s="71">
        <v>0</v>
      </c>
      <c r="AZ74" s="328" t="s">
        <v>469</v>
      </c>
      <c r="BA74" s="310">
        <f t="shared" si="8"/>
        <v>0</v>
      </c>
      <c r="BB74" s="310">
        <f t="shared" si="11"/>
        <v>214.00000000000003</v>
      </c>
      <c r="BC74" s="310">
        <f t="shared" si="12"/>
        <v>457</v>
      </c>
      <c r="BE74" s="328" t="s">
        <v>469</v>
      </c>
      <c r="BF74">
        <v>0</v>
      </c>
      <c r="BG74" s="310">
        <f t="shared" si="13"/>
        <v>0</v>
      </c>
      <c r="BH74" s="310">
        <f t="shared" si="14"/>
        <v>0</v>
      </c>
      <c r="BI74" s="310">
        <f t="shared" si="15"/>
        <v>4</v>
      </c>
    </row>
    <row r="75" spans="5:61" ht="28.8" x14ac:dyDescent="0.3">
      <c r="T75" s="301" t="s">
        <v>441</v>
      </c>
      <c r="AD75" t="s">
        <v>434</v>
      </c>
      <c r="AP75" s="310"/>
      <c r="AQ75" s="328" t="s">
        <v>470</v>
      </c>
      <c r="AR75" s="71">
        <f t="shared" si="7"/>
        <v>1070.0000000000002</v>
      </c>
      <c r="AS75" s="71">
        <f t="shared" si="9"/>
        <v>214.00000000000003</v>
      </c>
      <c r="AT75" s="329">
        <f t="shared" si="10"/>
        <v>0.21948717948717952</v>
      </c>
      <c r="AV75" s="310"/>
      <c r="AW75" s="328" t="s">
        <v>470</v>
      </c>
      <c r="AX75" s="71">
        <v>0</v>
      </c>
      <c r="AZ75" s="328" t="s">
        <v>470</v>
      </c>
      <c r="BA75" s="310">
        <f t="shared" si="8"/>
        <v>0</v>
      </c>
      <c r="BB75" s="310">
        <f t="shared" si="11"/>
        <v>214.00000000000003</v>
      </c>
      <c r="BC75" s="310">
        <f t="shared" si="12"/>
        <v>242.99999999999997</v>
      </c>
      <c r="BE75" s="328" t="s">
        <v>470</v>
      </c>
      <c r="BF75">
        <v>0</v>
      </c>
      <c r="BG75" s="310">
        <f t="shared" si="13"/>
        <v>0</v>
      </c>
      <c r="BH75" s="310">
        <f t="shared" si="14"/>
        <v>0</v>
      </c>
      <c r="BI75" s="310">
        <f t="shared" si="15"/>
        <v>4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P76" s="310"/>
      <c r="AQ76" s="328" t="s">
        <v>471</v>
      </c>
      <c r="AR76" s="71">
        <f t="shared" si="7"/>
        <v>1070.0000000000002</v>
      </c>
      <c r="AS76" s="71">
        <f t="shared" si="9"/>
        <v>214.00000000000003</v>
      </c>
      <c r="AT76" s="329">
        <f t="shared" si="10"/>
        <v>0.21948717948717952</v>
      </c>
      <c r="AV76" s="310"/>
      <c r="AW76" s="328" t="s">
        <v>471</v>
      </c>
      <c r="AX76" s="71">
        <v>0</v>
      </c>
      <c r="AZ76" s="328" t="s">
        <v>471</v>
      </c>
      <c r="BA76" s="310">
        <f t="shared" si="8"/>
        <v>0</v>
      </c>
      <c r="BB76" s="310">
        <f t="shared" si="11"/>
        <v>214.00000000000003</v>
      </c>
      <c r="BC76" s="310">
        <f t="shared" si="12"/>
        <v>28.999999999999943</v>
      </c>
      <c r="BE76" s="328" t="s">
        <v>471</v>
      </c>
      <c r="BF76">
        <v>0</v>
      </c>
      <c r="BG76" s="310">
        <f t="shared" si="13"/>
        <v>0</v>
      </c>
      <c r="BH76" s="310">
        <f t="shared" si="14"/>
        <v>0</v>
      </c>
      <c r="BI76" s="310">
        <f t="shared" si="15"/>
        <v>4</v>
      </c>
    </row>
    <row r="77" spans="5:61" ht="47.4" customHeight="1" x14ac:dyDescent="0.3">
      <c r="T77" s="37" t="s">
        <v>414</v>
      </c>
      <c r="U77" s="296">
        <v>44187</v>
      </c>
      <c r="V77" t="s">
        <v>408</v>
      </c>
      <c r="W77">
        <v>25</v>
      </c>
      <c r="X77" t="s">
        <v>435</v>
      </c>
      <c r="Y77" s="303" t="s">
        <v>411</v>
      </c>
      <c r="Z77" s="303" t="s">
        <v>12</v>
      </c>
      <c r="AD77" s="37" t="s">
        <v>443</v>
      </c>
      <c r="AE77" s="323" t="s">
        <v>432</v>
      </c>
      <c r="AF77" s="323" t="s">
        <v>433</v>
      </c>
      <c r="AG77" s="323" t="s">
        <v>413</v>
      </c>
      <c r="AP77" s="310"/>
      <c r="AQ77" s="328" t="s">
        <v>472</v>
      </c>
      <c r="AR77" s="71">
        <f t="shared" si="7"/>
        <v>1070.0000000000002</v>
      </c>
      <c r="AS77" s="71">
        <f t="shared" si="9"/>
        <v>214.00000000000003</v>
      </c>
      <c r="AT77" s="329">
        <f t="shared" si="10"/>
        <v>0.21948717948717952</v>
      </c>
      <c r="AV77" s="310"/>
      <c r="AW77" s="328" t="s">
        <v>472</v>
      </c>
      <c r="AX77" s="71">
        <v>0</v>
      </c>
      <c r="AZ77" s="328" t="s">
        <v>472</v>
      </c>
      <c r="BA77" s="310">
        <f t="shared" si="8"/>
        <v>975</v>
      </c>
      <c r="BB77" s="310">
        <f t="shared" si="11"/>
        <v>214.00000000000003</v>
      </c>
      <c r="BC77" s="310">
        <f t="shared" si="12"/>
        <v>790</v>
      </c>
      <c r="BE77" s="328" t="s">
        <v>472</v>
      </c>
      <c r="BF77">
        <v>0</v>
      </c>
      <c r="BG77" s="310">
        <f t="shared" si="13"/>
        <v>1</v>
      </c>
      <c r="BH77" s="310">
        <f t="shared" si="14"/>
        <v>0</v>
      </c>
      <c r="BI77" s="310">
        <f t="shared" si="15"/>
        <v>3</v>
      </c>
    </row>
    <row r="78" spans="5:61" x14ac:dyDescent="0.3">
      <c r="T78" s="37" t="s">
        <v>414</v>
      </c>
      <c r="U78" s="296">
        <v>44187</v>
      </c>
      <c r="V78" t="s">
        <v>408</v>
      </c>
      <c r="W78">
        <v>20</v>
      </c>
      <c r="X78" t="s">
        <v>435</v>
      </c>
      <c r="Y78" s="235" t="s">
        <v>423</v>
      </c>
      <c r="Z78" s="235" t="s">
        <v>412</v>
      </c>
      <c r="AP78" s="310"/>
      <c r="AQ78" s="328" t="s">
        <v>473</v>
      </c>
      <c r="AR78" s="71">
        <f t="shared" si="7"/>
        <v>1070.0000000000002</v>
      </c>
      <c r="AS78" s="71">
        <f t="shared" si="9"/>
        <v>214.00000000000003</v>
      </c>
      <c r="AT78" s="329">
        <f t="shared" si="10"/>
        <v>0.21948717948717952</v>
      </c>
      <c r="AV78" s="310"/>
      <c r="AW78" s="328" t="s">
        <v>473</v>
      </c>
      <c r="AX78" s="71">
        <v>0</v>
      </c>
      <c r="AZ78" s="328" t="s">
        <v>473</v>
      </c>
      <c r="BA78" s="310">
        <f t="shared" si="8"/>
        <v>0</v>
      </c>
      <c r="BB78" s="310">
        <f t="shared" si="11"/>
        <v>214.00000000000003</v>
      </c>
      <c r="BC78" s="310">
        <f t="shared" si="12"/>
        <v>576</v>
      </c>
      <c r="BE78" s="328" t="s">
        <v>473</v>
      </c>
      <c r="BF78">
        <v>0</v>
      </c>
      <c r="BG78" s="310">
        <f t="shared" si="13"/>
        <v>0</v>
      </c>
      <c r="BH78" s="310">
        <f t="shared" si="14"/>
        <v>0</v>
      </c>
      <c r="BI78" s="310">
        <f t="shared" si="15"/>
        <v>3</v>
      </c>
    </row>
    <row r="79" spans="5:61" x14ac:dyDescent="0.3">
      <c r="T79" s="37" t="s">
        <v>414</v>
      </c>
      <c r="U79" s="296">
        <v>44187</v>
      </c>
      <c r="V79" t="s">
        <v>407</v>
      </c>
      <c r="W79">
        <v>975</v>
      </c>
      <c r="X79" t="s">
        <v>341</v>
      </c>
      <c r="Y79" s="298" t="s">
        <v>417</v>
      </c>
      <c r="Z79" s="298" t="s">
        <v>11</v>
      </c>
      <c r="AP79" s="310"/>
      <c r="AQ79" s="328" t="s">
        <v>474</v>
      </c>
      <c r="AR79" s="71">
        <f t="shared" si="7"/>
        <v>1070.0000000000002</v>
      </c>
      <c r="AS79" s="71">
        <f t="shared" si="9"/>
        <v>214.00000000000003</v>
      </c>
      <c r="AT79" s="329">
        <f t="shared" si="10"/>
        <v>0.21948717948717952</v>
      </c>
      <c r="AV79" s="310"/>
      <c r="AW79" s="328" t="s">
        <v>474</v>
      </c>
      <c r="AX79" s="71">
        <v>0</v>
      </c>
      <c r="AZ79" s="328" t="s">
        <v>474</v>
      </c>
      <c r="BA79" s="310">
        <f t="shared" si="8"/>
        <v>0</v>
      </c>
      <c r="BB79" s="310">
        <f t="shared" si="11"/>
        <v>214.00000000000003</v>
      </c>
      <c r="BC79" s="310">
        <f t="shared" si="12"/>
        <v>362</v>
      </c>
      <c r="BE79" s="328" t="s">
        <v>474</v>
      </c>
      <c r="BF79">
        <v>0</v>
      </c>
      <c r="BG79" s="310">
        <f t="shared" si="13"/>
        <v>0</v>
      </c>
      <c r="BH79" s="310">
        <f t="shared" si="14"/>
        <v>0</v>
      </c>
      <c r="BI79" s="310">
        <f t="shared" si="15"/>
        <v>3</v>
      </c>
    </row>
    <row r="80" spans="5:61" x14ac:dyDescent="0.3">
      <c r="T80" s="37"/>
      <c r="U80" s="297"/>
      <c r="AP80" s="310"/>
      <c r="AQ80" s="328" t="s">
        <v>475</v>
      </c>
      <c r="AR80" s="71">
        <f t="shared" si="7"/>
        <v>1070.0000000000002</v>
      </c>
      <c r="AS80" s="71">
        <f t="shared" si="9"/>
        <v>214.00000000000003</v>
      </c>
      <c r="AT80" s="329">
        <f t="shared" si="10"/>
        <v>0.21948717948717952</v>
      </c>
      <c r="AV80" s="310"/>
      <c r="AW80" s="328" t="s">
        <v>475</v>
      </c>
      <c r="AX80" s="71">
        <v>0</v>
      </c>
      <c r="AZ80" s="328" t="s">
        <v>475</v>
      </c>
      <c r="BA80" s="310">
        <f t="shared" si="8"/>
        <v>0</v>
      </c>
      <c r="BB80" s="310">
        <f t="shared" si="11"/>
        <v>214.00000000000003</v>
      </c>
      <c r="BC80" s="310">
        <f t="shared" si="12"/>
        <v>147.99999999999997</v>
      </c>
      <c r="BE80" s="328" t="s">
        <v>475</v>
      </c>
      <c r="BF80">
        <v>0</v>
      </c>
      <c r="BG80" s="310">
        <f t="shared" si="13"/>
        <v>0</v>
      </c>
      <c r="BH80" s="310">
        <f t="shared" si="14"/>
        <v>0</v>
      </c>
      <c r="BI80" s="310">
        <f t="shared" si="15"/>
        <v>3</v>
      </c>
    </row>
    <row r="81" spans="20:63" x14ac:dyDescent="0.3">
      <c r="AP81" s="310"/>
      <c r="AQ81" s="328" t="s">
        <v>476</v>
      </c>
      <c r="AR81" s="71">
        <f t="shared" si="7"/>
        <v>1070.0000000000002</v>
      </c>
      <c r="AS81" s="71">
        <f t="shared" si="9"/>
        <v>214.00000000000003</v>
      </c>
      <c r="AT81" s="329">
        <f t="shared" si="10"/>
        <v>0.21948717948717952</v>
      </c>
      <c r="AV81" s="310"/>
      <c r="AW81" s="328" t="s">
        <v>476</v>
      </c>
      <c r="AX81" s="71">
        <v>0</v>
      </c>
      <c r="AZ81" s="328" t="s">
        <v>476</v>
      </c>
      <c r="BA81" s="310">
        <f t="shared" si="8"/>
        <v>975</v>
      </c>
      <c r="BB81" s="310">
        <f t="shared" si="11"/>
        <v>214.00000000000003</v>
      </c>
      <c r="BC81" s="310">
        <f t="shared" si="12"/>
        <v>909</v>
      </c>
      <c r="BE81" s="328" t="s">
        <v>476</v>
      </c>
      <c r="BF81">
        <v>0</v>
      </c>
      <c r="BG81" s="310">
        <f t="shared" si="13"/>
        <v>1</v>
      </c>
      <c r="BH81" s="310">
        <f t="shared" si="14"/>
        <v>0</v>
      </c>
      <c r="BI81" s="310">
        <f t="shared" si="15"/>
        <v>2</v>
      </c>
    </row>
    <row r="82" spans="20:63" ht="28.8" x14ac:dyDescent="0.3">
      <c r="T82" s="301" t="s">
        <v>444</v>
      </c>
      <c r="AP82" s="310"/>
      <c r="AQ82" s="328" t="s">
        <v>477</v>
      </c>
      <c r="AR82" s="71">
        <f t="shared" si="7"/>
        <v>1070.0000000000002</v>
      </c>
      <c r="AS82" s="71">
        <f t="shared" si="9"/>
        <v>214.00000000000003</v>
      </c>
      <c r="AT82" s="329">
        <f t="shared" si="10"/>
        <v>0.21948717948717952</v>
      </c>
      <c r="AV82" s="310"/>
      <c r="AW82" s="328" t="s">
        <v>477</v>
      </c>
      <c r="AX82" s="71">
        <v>0</v>
      </c>
      <c r="AZ82" s="328" t="s">
        <v>477</v>
      </c>
      <c r="BA82" s="310">
        <f t="shared" si="8"/>
        <v>0</v>
      </c>
      <c r="BB82" s="310">
        <f t="shared" si="11"/>
        <v>214.00000000000003</v>
      </c>
      <c r="BC82" s="310">
        <f t="shared" si="12"/>
        <v>695</v>
      </c>
      <c r="BE82" s="328" t="s">
        <v>477</v>
      </c>
      <c r="BF82">
        <v>0</v>
      </c>
      <c r="BG82" s="310">
        <f t="shared" si="13"/>
        <v>0</v>
      </c>
      <c r="BH82" s="310">
        <f t="shared" si="14"/>
        <v>0</v>
      </c>
      <c r="BI82" s="310">
        <f t="shared" si="15"/>
        <v>2</v>
      </c>
    </row>
    <row r="83" spans="20:63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1">
        <f t="shared" si="7"/>
        <v>1070.0000000000002</v>
      </c>
      <c r="AS83" s="71">
        <f t="shared" si="9"/>
        <v>214.00000000000003</v>
      </c>
      <c r="AT83" s="329">
        <f t="shared" si="10"/>
        <v>0.21948717948717952</v>
      </c>
      <c r="AV83" s="310"/>
      <c r="AW83" s="328" t="s">
        <v>478</v>
      </c>
      <c r="AX83" s="71">
        <v>0</v>
      </c>
      <c r="AZ83" s="328" t="s">
        <v>478</v>
      </c>
      <c r="BA83" s="310">
        <f t="shared" si="8"/>
        <v>0</v>
      </c>
      <c r="BB83" s="310">
        <f t="shared" si="11"/>
        <v>214.00000000000003</v>
      </c>
      <c r="BC83" s="310">
        <f t="shared" si="12"/>
        <v>481</v>
      </c>
      <c r="BE83" s="328" t="s">
        <v>478</v>
      </c>
      <c r="BF83">
        <v>0</v>
      </c>
      <c r="BG83" s="310">
        <f t="shared" si="13"/>
        <v>0</v>
      </c>
      <c r="BH83" s="310">
        <f t="shared" si="14"/>
        <v>0</v>
      </c>
      <c r="BI83" s="310">
        <f t="shared" si="15"/>
        <v>2</v>
      </c>
    </row>
    <row r="84" spans="20:63" ht="42" customHeight="1" x14ac:dyDescent="0.3">
      <c r="T84" s="37" t="s">
        <v>414</v>
      </c>
      <c r="U84" s="296">
        <v>44187</v>
      </c>
      <c r="V84" t="s">
        <v>408</v>
      </c>
      <c r="W84">
        <v>1</v>
      </c>
      <c r="X84" t="s">
        <v>435</v>
      </c>
      <c r="Y84" s="298" t="s">
        <v>425</v>
      </c>
      <c r="Z84" s="298" t="s">
        <v>11</v>
      </c>
      <c r="AP84" s="310"/>
      <c r="AQ84" s="328" t="s">
        <v>479</v>
      </c>
      <c r="AR84" s="71">
        <f t="shared" si="7"/>
        <v>1070.0000000000002</v>
      </c>
      <c r="AS84" s="71">
        <f t="shared" si="9"/>
        <v>214.00000000000003</v>
      </c>
      <c r="AT84" s="329">
        <f t="shared" si="10"/>
        <v>0.21948717948717952</v>
      </c>
      <c r="AV84" s="310"/>
      <c r="AW84" s="328" t="s">
        <v>479</v>
      </c>
      <c r="AX84" s="71">
        <v>0</v>
      </c>
      <c r="AZ84" s="328" t="s">
        <v>479</v>
      </c>
      <c r="BA84" s="310">
        <f t="shared" si="8"/>
        <v>0</v>
      </c>
      <c r="BB84" s="310">
        <f t="shared" si="11"/>
        <v>214.00000000000003</v>
      </c>
      <c r="BC84" s="310">
        <f t="shared" si="12"/>
        <v>267</v>
      </c>
      <c r="BE84" s="328" t="s">
        <v>479</v>
      </c>
      <c r="BF84">
        <v>0</v>
      </c>
      <c r="BG84" s="310">
        <f t="shared" si="13"/>
        <v>0</v>
      </c>
      <c r="BH84" s="310">
        <f t="shared" si="14"/>
        <v>0</v>
      </c>
      <c r="BI84" s="310">
        <f t="shared" si="15"/>
        <v>2</v>
      </c>
      <c r="BK84" s="6" t="s">
        <v>501</v>
      </c>
    </row>
    <row r="85" spans="20:63" x14ac:dyDescent="0.3">
      <c r="T85" s="37" t="s">
        <v>414</v>
      </c>
      <c r="U85" s="296">
        <v>44187</v>
      </c>
      <c r="V85" t="s">
        <v>407</v>
      </c>
      <c r="W85">
        <v>30</v>
      </c>
      <c r="X85" t="s">
        <v>341</v>
      </c>
      <c r="Y85" s="302" t="s">
        <v>416</v>
      </c>
      <c r="Z85" s="302" t="s">
        <v>419</v>
      </c>
      <c r="AP85" s="310"/>
      <c r="AQ85" s="328" t="s">
        <v>480</v>
      </c>
      <c r="AR85" s="71">
        <f t="shared" si="7"/>
        <v>1070.0000000000002</v>
      </c>
      <c r="AS85" s="71">
        <f t="shared" si="9"/>
        <v>214.00000000000003</v>
      </c>
      <c r="AT85" s="329">
        <f t="shared" si="10"/>
        <v>0.21948717948717952</v>
      </c>
      <c r="AV85" s="310"/>
      <c r="AW85" s="328" t="s">
        <v>480</v>
      </c>
      <c r="AX85" s="71">
        <v>0</v>
      </c>
      <c r="AZ85" s="328" t="s">
        <v>480</v>
      </c>
      <c r="BA85" s="310">
        <f t="shared" si="8"/>
        <v>0</v>
      </c>
      <c r="BB85" s="310">
        <f t="shared" si="11"/>
        <v>214.00000000000003</v>
      </c>
      <c r="BC85" s="310">
        <f t="shared" si="12"/>
        <v>52.999999999999972</v>
      </c>
      <c r="BE85" s="328" t="s">
        <v>480</v>
      </c>
      <c r="BF85">
        <v>0</v>
      </c>
      <c r="BG85" s="310">
        <f t="shared" si="13"/>
        <v>0</v>
      </c>
      <c r="BH85" s="310">
        <f t="shared" si="14"/>
        <v>0</v>
      </c>
      <c r="BI85" s="310">
        <f t="shared" si="15"/>
        <v>2</v>
      </c>
      <c r="BK85" s="6" t="s">
        <v>499</v>
      </c>
    </row>
    <row r="86" spans="20:63" x14ac:dyDescent="0.3">
      <c r="T86" s="37" t="s">
        <v>414</v>
      </c>
      <c r="U86" s="296">
        <v>44187</v>
      </c>
      <c r="V86" t="s">
        <v>407</v>
      </c>
      <c r="W86">
        <v>100</v>
      </c>
      <c r="X86" t="s">
        <v>341</v>
      </c>
      <c r="Y86" s="299" t="s">
        <v>415</v>
      </c>
      <c r="Z86" s="299" t="s">
        <v>418</v>
      </c>
      <c r="AP86" s="310"/>
      <c r="AQ86" s="328" t="s">
        <v>481</v>
      </c>
      <c r="AR86" s="71">
        <f t="shared" si="7"/>
        <v>1070.0000000000002</v>
      </c>
      <c r="AS86" s="71">
        <f t="shared" si="9"/>
        <v>214.00000000000003</v>
      </c>
      <c r="AT86" s="329">
        <f t="shared" si="10"/>
        <v>0.21948717948717952</v>
      </c>
      <c r="AV86" s="310"/>
      <c r="AW86" s="328" t="s">
        <v>481</v>
      </c>
      <c r="AX86" s="71">
        <v>0</v>
      </c>
      <c r="AZ86" s="328" t="s">
        <v>481</v>
      </c>
      <c r="BA86" s="310">
        <f t="shared" si="8"/>
        <v>975</v>
      </c>
      <c r="BB86" s="310">
        <f t="shared" si="11"/>
        <v>214.00000000000003</v>
      </c>
      <c r="BC86" s="310">
        <f t="shared" si="12"/>
        <v>814</v>
      </c>
      <c r="BE86" s="328" t="s">
        <v>481</v>
      </c>
      <c r="BF86">
        <v>5</v>
      </c>
      <c r="BG86" s="310">
        <f t="shared" si="13"/>
        <v>1</v>
      </c>
      <c r="BH86" s="310">
        <f t="shared" si="14"/>
        <v>0</v>
      </c>
      <c r="BI86" s="310">
        <f t="shared" si="15"/>
        <v>6</v>
      </c>
    </row>
    <row r="87" spans="20:63" x14ac:dyDescent="0.3">
      <c r="T87" s="37" t="s">
        <v>414</v>
      </c>
      <c r="U87" s="296">
        <v>44187</v>
      </c>
      <c r="V87" t="s">
        <v>407</v>
      </c>
      <c r="W87" s="305">
        <v>830</v>
      </c>
      <c r="X87" t="s">
        <v>341</v>
      </c>
      <c r="Y87" s="298" t="s">
        <v>417</v>
      </c>
      <c r="Z87" s="298" t="s">
        <v>11</v>
      </c>
      <c r="AP87" s="310"/>
      <c r="AQ87" s="328" t="s">
        <v>510</v>
      </c>
      <c r="AR87" s="71">
        <f t="shared" si="7"/>
        <v>1070.0000000000002</v>
      </c>
      <c r="AS87" s="71">
        <f t="shared" si="9"/>
        <v>214.00000000000003</v>
      </c>
      <c r="AT87" s="329">
        <f t="shared" si="10"/>
        <v>0.21948717948717952</v>
      </c>
      <c r="AV87" s="310"/>
      <c r="AW87" s="328" t="s">
        <v>510</v>
      </c>
      <c r="AX87" s="71">
        <v>0</v>
      </c>
      <c r="AZ87" s="328" t="s">
        <v>510</v>
      </c>
      <c r="BA87" s="310">
        <f t="shared" si="8"/>
        <v>0</v>
      </c>
      <c r="BB87" s="310">
        <f t="shared" si="11"/>
        <v>214.00000000000003</v>
      </c>
      <c r="BC87" s="310">
        <f t="shared" si="12"/>
        <v>600</v>
      </c>
      <c r="BE87" s="328" t="s">
        <v>510</v>
      </c>
      <c r="BF87">
        <v>0</v>
      </c>
      <c r="BG87" s="310">
        <f t="shared" si="13"/>
        <v>0</v>
      </c>
      <c r="BH87" s="310">
        <f t="shared" si="14"/>
        <v>0</v>
      </c>
      <c r="BI87" s="310">
        <f t="shared" si="15"/>
        <v>6</v>
      </c>
    </row>
    <row r="88" spans="20:63" x14ac:dyDescent="0.3">
      <c r="AX88">
        <f>SUM(AX57:AX87)</f>
        <v>0</v>
      </c>
      <c r="BA88">
        <f>SUM(BA57:BA87)</f>
        <v>6825</v>
      </c>
      <c r="BF88">
        <f>SUM(BF57:BF87)</f>
        <v>10</v>
      </c>
      <c r="BH88">
        <f>SUM(BH57:BH87)</f>
        <v>0</v>
      </c>
    </row>
    <row r="90" spans="20:63" x14ac:dyDescent="0.3">
      <c r="T90" s="301" t="s">
        <v>445</v>
      </c>
    </row>
    <row r="91" spans="20:63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  <c r="BF91" t="s">
        <v>558</v>
      </c>
    </row>
    <row r="92" spans="20:63" x14ac:dyDescent="0.3">
      <c r="T92" s="37" t="s">
        <v>414</v>
      </c>
      <c r="U92" s="296">
        <v>44187</v>
      </c>
      <c r="V92" t="s">
        <v>407</v>
      </c>
      <c r="W92">
        <v>50</v>
      </c>
      <c r="X92" t="s">
        <v>341</v>
      </c>
      <c r="Y92" s="302" t="s">
        <v>447</v>
      </c>
      <c r="Z92" s="302" t="s">
        <v>419</v>
      </c>
      <c r="AA92" t="s">
        <v>449</v>
      </c>
    </row>
  </sheetData>
  <mergeCells count="8">
    <mergeCell ref="BE55:BF55"/>
    <mergeCell ref="U56:U58"/>
    <mergeCell ref="AE56:AE58"/>
    <mergeCell ref="U59:U66"/>
    <mergeCell ref="AE59:AE67"/>
    <mergeCell ref="AP55:AQ55"/>
    <mergeCell ref="AV55:AW55"/>
    <mergeCell ref="AZ55:BA55"/>
  </mergeCells>
  <conditionalFormatting sqref="F32:F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{1E3C4082-53A6-4589-84EC-CE72966C90EE}</x14:id>
        </ext>
      </extLst>
    </cfRule>
  </conditionalFormatting>
  <conditionalFormatting sqref="G32:K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{A46E3EE8-B87A-4FCD-AD24-2E5777E21CEA}</x14:id>
        </ext>
      </extLst>
    </cfRule>
  </conditionalFormatting>
  <hyperlinks>
    <hyperlink ref="E3" r:id="rId1" xr:uid="{018D0292-7F89-4AA8-A665-A73B4E985ECE}"/>
    <hyperlink ref="E5" r:id="rId2" xr:uid="{55BE561A-0972-4C09-A8E2-F9A460BF8DE0}"/>
    <hyperlink ref="E10" r:id="rId3" xr:uid="{F95F055C-E3F2-40E9-9CA8-694DF411F9F4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C4082-53A6-4589-84EC-CE72966C9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A46E3EE8-B87A-4FCD-AD24-2E5777E21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0489-0DAD-446D-8AE9-491E73CD52B8}">
  <sheetPr>
    <tabColor theme="4" tint="0.39997558519241921"/>
  </sheetPr>
  <dimension ref="A1:BL209"/>
  <sheetViews>
    <sheetView topLeftCell="AT1" zoomScale="85" zoomScaleNormal="85" workbookViewId="0">
      <selection activeCell="AX15" sqref="AX15"/>
    </sheetView>
  </sheetViews>
  <sheetFormatPr defaultRowHeight="14.4" x14ac:dyDescent="0.3"/>
  <cols>
    <col min="2" max="2" width="38.6640625" bestFit="1" customWidth="1"/>
    <col min="3" max="3" width="42.33203125" bestFit="1" customWidth="1"/>
    <col min="4" max="4" width="7.21875" bestFit="1" customWidth="1"/>
    <col min="5" max="7" width="9.88671875" style="774" bestFit="1" customWidth="1"/>
    <col min="8" max="8" width="10" style="774" bestFit="1" customWidth="1"/>
    <col min="9" max="9" width="10.21875" style="774" bestFit="1" customWidth="1"/>
    <col min="10" max="10" width="9.88671875" style="774" bestFit="1" customWidth="1"/>
    <col min="11" max="11" width="10" style="774" bestFit="1" customWidth="1"/>
    <col min="12" max="12" width="17.6640625" bestFit="1" customWidth="1"/>
    <col min="13" max="13" width="11.44140625" customWidth="1"/>
    <col min="14" max="14" width="49" customWidth="1"/>
    <col min="15" max="15" width="42.33203125" bestFit="1" customWidth="1"/>
    <col min="16" max="16" width="7.21875" bestFit="1" customWidth="1"/>
    <col min="17" max="19" width="9.88671875" style="774" bestFit="1" customWidth="1"/>
    <col min="20" max="20" width="10" style="774" bestFit="1" customWidth="1"/>
    <col min="21" max="21" width="10.21875" style="774" bestFit="1" customWidth="1"/>
    <col min="22" max="22" width="9.88671875" style="774" bestFit="1" customWidth="1"/>
    <col min="23" max="23" width="10" style="774" bestFit="1" customWidth="1"/>
    <col min="24" max="24" width="9.88671875" bestFit="1" customWidth="1"/>
    <col min="25" max="25" width="46.33203125" customWidth="1"/>
    <col min="26" max="26" width="42.33203125" bestFit="1" customWidth="1"/>
    <col min="27" max="27" width="7.21875" bestFit="1" customWidth="1"/>
    <col min="28" max="30" width="9.88671875" style="774" bestFit="1" customWidth="1"/>
    <col min="31" max="31" width="10" style="774" bestFit="1" customWidth="1"/>
    <col min="32" max="32" width="10.21875" style="774" bestFit="1" customWidth="1"/>
    <col min="33" max="33" width="9.88671875" style="774" bestFit="1" customWidth="1"/>
    <col min="34" max="34" width="10" style="774" bestFit="1" customWidth="1"/>
    <col min="35" max="35" width="9.88671875" customWidth="1"/>
    <col min="37" max="37" width="38.6640625" bestFit="1" customWidth="1"/>
    <col min="38" max="38" width="42.33203125" bestFit="1" customWidth="1"/>
    <col min="39" max="39" width="7.21875" bestFit="1" customWidth="1"/>
    <col min="40" max="42" width="9.88671875" style="774" bestFit="1" customWidth="1"/>
    <col min="43" max="43" width="10" style="774" bestFit="1" customWidth="1"/>
    <col min="44" max="44" width="10.21875" style="774" bestFit="1" customWidth="1"/>
    <col min="45" max="45" width="9.88671875" style="774" bestFit="1" customWidth="1"/>
    <col min="46" max="46" width="10" style="774" bestFit="1" customWidth="1"/>
    <col min="47" max="47" width="5.6640625" customWidth="1"/>
    <col min="49" max="49" width="38.6640625" bestFit="1" customWidth="1"/>
    <col min="50" max="50" width="42.33203125" bestFit="1" customWidth="1"/>
    <col min="51" max="51" width="7.21875" bestFit="1" customWidth="1"/>
    <col min="52" max="54" width="9.88671875" style="774" bestFit="1" customWidth="1"/>
    <col min="55" max="55" width="10" style="774" bestFit="1" customWidth="1"/>
    <col min="56" max="56" width="10.21875" style="774" bestFit="1" customWidth="1"/>
    <col min="57" max="57" width="9.88671875" style="774" bestFit="1" customWidth="1"/>
    <col min="58" max="58" width="10" style="774" bestFit="1" customWidth="1"/>
    <col min="59" max="60" width="10" style="778" bestFit="1" customWidth="1"/>
  </cols>
  <sheetData>
    <row r="1" spans="1:64" ht="21" x14ac:dyDescent="0.4">
      <c r="A1" s="152" t="s">
        <v>734</v>
      </c>
    </row>
    <row r="2" spans="1:64" ht="21" x14ac:dyDescent="0.4">
      <c r="A2" t="s">
        <v>735</v>
      </c>
      <c r="B2" s="152"/>
      <c r="H2" s="518" t="s">
        <v>631</v>
      </c>
      <c r="J2" s="774" t="s">
        <v>624</v>
      </c>
      <c r="N2" s="152"/>
      <c r="T2" s="518" t="s">
        <v>631</v>
      </c>
      <c r="V2" s="774" t="s">
        <v>624</v>
      </c>
      <c r="Y2" s="152"/>
      <c r="AE2" s="518" t="s">
        <v>631</v>
      </c>
      <c r="AG2" s="774" t="s">
        <v>624</v>
      </c>
      <c r="AK2" s="152"/>
      <c r="AQ2" s="518" t="s">
        <v>631</v>
      </c>
      <c r="AS2" s="774" t="s">
        <v>624</v>
      </c>
      <c r="AW2" s="152"/>
      <c r="BC2" s="518" t="s">
        <v>631</v>
      </c>
      <c r="BE2" s="774" t="s">
        <v>624</v>
      </c>
    </row>
    <row r="3" spans="1:64" ht="18" x14ac:dyDescent="0.3">
      <c r="B3" s="334" t="s">
        <v>545</v>
      </c>
      <c r="I3" s="40"/>
      <c r="J3" s="774" t="s">
        <v>625</v>
      </c>
      <c r="N3" s="334" t="s">
        <v>545</v>
      </c>
      <c r="U3" s="40"/>
      <c r="V3" s="774" t="s">
        <v>625</v>
      </c>
      <c r="Y3" s="334" t="s">
        <v>545</v>
      </c>
      <c r="AF3" s="40"/>
      <c r="AG3" s="774" t="s">
        <v>625</v>
      </c>
      <c r="AK3" s="334" t="s">
        <v>545</v>
      </c>
      <c r="AR3" s="40"/>
      <c r="AS3" s="774" t="s">
        <v>625</v>
      </c>
      <c r="AW3" s="334" t="s">
        <v>545</v>
      </c>
      <c r="BD3" s="40"/>
      <c r="BE3" s="774" t="s">
        <v>625</v>
      </c>
    </row>
    <row r="4" spans="1:64" x14ac:dyDescent="0.3">
      <c r="A4" s="40"/>
      <c r="C4" s="26" t="s">
        <v>736</v>
      </c>
      <c r="H4" s="774" t="s">
        <v>82</v>
      </c>
      <c r="I4" s="40"/>
      <c r="J4" s="774" t="s">
        <v>626</v>
      </c>
      <c r="O4" s="26" t="s">
        <v>736</v>
      </c>
      <c r="T4" s="774" t="s">
        <v>82</v>
      </c>
      <c r="U4" s="40"/>
      <c r="V4" s="774" t="s">
        <v>626</v>
      </c>
      <c r="Z4" s="26" t="s">
        <v>736</v>
      </c>
      <c r="AE4" s="774" t="s">
        <v>82</v>
      </c>
      <c r="AF4" s="40"/>
      <c r="AG4" s="774" t="s">
        <v>626</v>
      </c>
      <c r="AL4" s="26" t="s">
        <v>736</v>
      </c>
      <c r="AQ4" s="774" t="s">
        <v>82</v>
      </c>
      <c r="AR4" s="40"/>
      <c r="AS4" s="774" t="s">
        <v>626</v>
      </c>
      <c r="AX4" s="26" t="s">
        <v>736</v>
      </c>
      <c r="BC4" s="774" t="s">
        <v>82</v>
      </c>
      <c r="BD4" s="40"/>
      <c r="BE4" s="774" t="s">
        <v>626</v>
      </c>
      <c r="BL4" s="20" t="s">
        <v>817</v>
      </c>
    </row>
    <row r="5" spans="1:64" x14ac:dyDescent="0.3">
      <c r="A5" s="40"/>
      <c r="C5" s="26" t="s">
        <v>737</v>
      </c>
      <c r="D5">
        <v>10</v>
      </c>
      <c r="E5" s="774" t="s">
        <v>738</v>
      </c>
      <c r="F5" s="780"/>
      <c r="I5" s="40"/>
      <c r="O5" s="26" t="s">
        <v>737</v>
      </c>
      <c r="P5">
        <v>10</v>
      </c>
      <c r="Q5" s="774" t="s">
        <v>738</v>
      </c>
      <c r="R5" s="780"/>
      <c r="U5" s="40"/>
      <c r="Z5" s="26" t="s">
        <v>737</v>
      </c>
      <c r="AA5">
        <v>10</v>
      </c>
      <c r="AB5" s="774" t="s">
        <v>738</v>
      </c>
      <c r="AC5" s="780"/>
      <c r="AF5" s="40"/>
      <c r="AL5" s="26" t="s">
        <v>737</v>
      </c>
      <c r="AM5">
        <v>10</v>
      </c>
      <c r="AN5" s="774" t="s">
        <v>738</v>
      </c>
      <c r="AO5" s="780"/>
      <c r="AR5" s="40"/>
      <c r="AX5" s="26" t="s">
        <v>737</v>
      </c>
      <c r="AY5">
        <v>10</v>
      </c>
      <c r="AZ5" s="774" t="s">
        <v>738</v>
      </c>
      <c r="BA5" s="780"/>
      <c r="BD5" s="40"/>
    </row>
    <row r="6" spans="1:64" ht="18" x14ac:dyDescent="0.35">
      <c r="B6" s="517" t="s">
        <v>628</v>
      </c>
      <c r="C6" s="26"/>
      <c r="J6" s="774" t="s">
        <v>627</v>
      </c>
      <c r="N6" s="517" t="s">
        <v>628</v>
      </c>
      <c r="O6" s="26"/>
      <c r="V6" s="774" t="s">
        <v>627</v>
      </c>
      <c r="Y6" s="517" t="s">
        <v>628</v>
      </c>
      <c r="Z6" s="26"/>
      <c r="AG6" s="774" t="s">
        <v>627</v>
      </c>
      <c r="AK6" s="517" t="s">
        <v>628</v>
      </c>
      <c r="AL6" s="26"/>
      <c r="AS6" s="774" t="s">
        <v>627</v>
      </c>
      <c r="AW6" s="517" t="s">
        <v>628</v>
      </c>
      <c r="AX6" s="26"/>
      <c r="BE6" s="774" t="s">
        <v>627</v>
      </c>
      <c r="BL6" t="s">
        <v>82</v>
      </c>
    </row>
    <row r="7" spans="1:64" hidden="1" x14ac:dyDescent="0.3">
      <c r="C7" s="437" t="s">
        <v>600</v>
      </c>
      <c r="D7" s="446">
        <v>20</v>
      </c>
      <c r="L7" s="774"/>
      <c r="O7" s="437" t="s">
        <v>600</v>
      </c>
      <c r="P7" s="446">
        <v>20</v>
      </c>
      <c r="Z7" s="437" t="s">
        <v>600</v>
      </c>
      <c r="AA7" s="446">
        <v>20</v>
      </c>
      <c r="AL7" s="437" t="s">
        <v>600</v>
      </c>
      <c r="AM7" s="446">
        <v>20</v>
      </c>
      <c r="AX7" s="437" t="s">
        <v>600</v>
      </c>
      <c r="AY7" s="446">
        <v>20</v>
      </c>
    </row>
    <row r="8" spans="1:64" ht="14.4" hidden="1" customHeight="1" x14ac:dyDescent="0.3">
      <c r="C8" s="437" t="s">
        <v>601</v>
      </c>
      <c r="D8" s="446">
        <v>10</v>
      </c>
      <c r="L8" s="774"/>
      <c r="O8" s="437" t="s">
        <v>601</v>
      </c>
      <c r="P8" s="446">
        <v>10</v>
      </c>
      <c r="Z8" s="437" t="s">
        <v>601</v>
      </c>
      <c r="AA8" s="446">
        <v>10</v>
      </c>
      <c r="AL8" s="437" t="s">
        <v>601</v>
      </c>
      <c r="AM8" s="446">
        <v>10</v>
      </c>
      <c r="AX8" s="437" t="s">
        <v>601</v>
      </c>
      <c r="AY8" s="446">
        <v>10</v>
      </c>
    </row>
    <row r="9" spans="1:64" ht="14.4" hidden="1" customHeight="1" x14ac:dyDescent="0.3">
      <c r="C9" s="438" t="s">
        <v>602</v>
      </c>
      <c r="D9" s="446">
        <v>20</v>
      </c>
      <c r="L9" s="774"/>
      <c r="O9" s="438" t="s">
        <v>602</v>
      </c>
      <c r="P9" s="446">
        <v>20</v>
      </c>
      <c r="Z9" s="438" t="s">
        <v>602</v>
      </c>
      <c r="AA9" s="446">
        <v>20</v>
      </c>
      <c r="AL9" s="438" t="s">
        <v>602</v>
      </c>
      <c r="AM9" s="446">
        <v>20</v>
      </c>
      <c r="AX9" s="438" t="s">
        <v>602</v>
      </c>
      <c r="AY9" s="446">
        <v>20</v>
      </c>
    </row>
    <row r="10" spans="1:64" ht="14.4" hidden="1" customHeight="1" x14ac:dyDescent="0.3">
      <c r="C10" s="438" t="s">
        <v>603</v>
      </c>
      <c r="D10" s="446">
        <v>10</v>
      </c>
      <c r="L10" s="774"/>
      <c r="O10" s="438" t="s">
        <v>603</v>
      </c>
      <c r="P10" s="446">
        <v>10</v>
      </c>
      <c r="Z10" s="438" t="s">
        <v>603</v>
      </c>
      <c r="AA10" s="446">
        <v>10</v>
      </c>
      <c r="AL10" s="438" t="s">
        <v>603</v>
      </c>
      <c r="AM10" s="446">
        <v>10</v>
      </c>
      <c r="AX10" s="438" t="s">
        <v>603</v>
      </c>
      <c r="AY10" s="446">
        <v>10</v>
      </c>
    </row>
    <row r="11" spans="1:64" ht="14.4" hidden="1" customHeight="1" x14ac:dyDescent="0.3">
      <c r="C11" s="437" t="s">
        <v>644</v>
      </c>
      <c r="D11" s="446">
        <v>0</v>
      </c>
      <c r="O11" s="437" t="s">
        <v>644</v>
      </c>
      <c r="P11" s="446">
        <v>0</v>
      </c>
      <c r="Z11" s="437" t="s">
        <v>644</v>
      </c>
      <c r="AA11" s="446">
        <v>0</v>
      </c>
      <c r="AL11" s="437" t="s">
        <v>644</v>
      </c>
      <c r="AM11" s="446">
        <v>0</v>
      </c>
      <c r="AX11" s="437" t="s">
        <v>644</v>
      </c>
      <c r="AY11" s="446">
        <v>0</v>
      </c>
    </row>
    <row r="12" spans="1:64" ht="14.4" customHeight="1" x14ac:dyDescent="0.3">
      <c r="C12" s="437" t="s">
        <v>739</v>
      </c>
      <c r="D12" s="446">
        <v>6</v>
      </c>
      <c r="E12" s="441"/>
      <c r="O12" s="437" t="s">
        <v>739</v>
      </c>
      <c r="P12" s="446">
        <v>6</v>
      </c>
      <c r="Q12" s="441"/>
      <c r="Z12" s="437" t="s">
        <v>739</v>
      </c>
      <c r="AA12" s="446">
        <v>6</v>
      </c>
      <c r="AB12" s="441"/>
      <c r="AL12" s="437" t="s">
        <v>739</v>
      </c>
      <c r="AM12" s="446">
        <v>6</v>
      </c>
      <c r="AN12" s="441"/>
      <c r="AX12" s="437" t="s">
        <v>739</v>
      </c>
      <c r="AY12" s="446">
        <v>6</v>
      </c>
      <c r="AZ12" s="441"/>
    </row>
    <row r="13" spans="1:64" ht="15" customHeight="1" x14ac:dyDescent="0.3">
      <c r="C13" s="437" t="s">
        <v>605</v>
      </c>
      <c r="D13" s="446">
        <v>4</v>
      </c>
      <c r="O13" s="437" t="s">
        <v>605</v>
      </c>
      <c r="P13" s="446">
        <v>4</v>
      </c>
      <c r="Z13" s="437" t="s">
        <v>605</v>
      </c>
      <c r="AA13" s="446">
        <v>4</v>
      </c>
      <c r="AL13" s="437" t="s">
        <v>605</v>
      </c>
      <c r="AM13" s="446">
        <v>4</v>
      </c>
      <c r="AX13" s="437" t="s">
        <v>605</v>
      </c>
      <c r="AY13" s="446">
        <v>3</v>
      </c>
    </row>
    <row r="14" spans="1:64" ht="15" customHeight="1" thickBot="1" x14ac:dyDescent="0.35">
      <c r="C14" s="437" t="s">
        <v>638</v>
      </c>
      <c r="D14" s="446">
        <v>30</v>
      </c>
      <c r="O14" s="437" t="s">
        <v>638</v>
      </c>
      <c r="P14" s="446">
        <v>30</v>
      </c>
      <c r="Z14" s="437" t="s">
        <v>638</v>
      </c>
      <c r="AA14" s="446">
        <v>30</v>
      </c>
      <c r="AL14" s="437" t="s">
        <v>638</v>
      </c>
      <c r="AM14" s="446">
        <v>30</v>
      </c>
      <c r="AX14" s="437" t="s">
        <v>638</v>
      </c>
      <c r="AY14" s="446">
        <v>20</v>
      </c>
      <c r="BA14" s="774" t="s">
        <v>455</v>
      </c>
      <c r="BB14" s="774" t="s">
        <v>456</v>
      </c>
      <c r="BC14" s="774" t="s">
        <v>457</v>
      </c>
      <c r="BD14" s="774" t="s">
        <v>458</v>
      </c>
      <c r="BE14" s="778" t="s">
        <v>459</v>
      </c>
      <c r="BF14" s="778" t="s">
        <v>460</v>
      </c>
      <c r="BG14" s="778" t="s">
        <v>461</v>
      </c>
      <c r="BH14" s="778" t="s">
        <v>462</v>
      </c>
    </row>
    <row r="15" spans="1:64" ht="15" customHeight="1" thickBot="1" x14ac:dyDescent="0.35">
      <c r="E15" s="947" t="s">
        <v>319</v>
      </c>
      <c r="F15" s="948"/>
      <c r="G15" s="948"/>
      <c r="H15" s="948"/>
      <c r="I15" s="948"/>
      <c r="J15" s="948"/>
      <c r="K15" s="949"/>
      <c r="Q15" s="947" t="s">
        <v>319</v>
      </c>
      <c r="R15" s="948"/>
      <c r="S15" s="948"/>
      <c r="T15" s="948"/>
      <c r="U15" s="948"/>
      <c r="V15" s="948"/>
      <c r="W15" s="949"/>
      <c r="AB15" s="947" t="s">
        <v>319</v>
      </c>
      <c r="AC15" s="948"/>
      <c r="AD15" s="948"/>
      <c r="AE15" s="948"/>
      <c r="AF15" s="948"/>
      <c r="AG15" s="948"/>
      <c r="AH15" s="949"/>
      <c r="AN15" s="947" t="s">
        <v>319</v>
      </c>
      <c r="AO15" s="948"/>
      <c r="AP15" s="948"/>
      <c r="AQ15" s="948"/>
      <c r="AR15" s="948"/>
      <c r="AS15" s="948"/>
      <c r="AT15" s="949"/>
      <c r="AZ15" s="950" t="s">
        <v>319</v>
      </c>
      <c r="BA15" s="951"/>
      <c r="BB15" s="951"/>
      <c r="BC15" s="951"/>
      <c r="BD15" s="951"/>
      <c r="BE15" s="951"/>
      <c r="BF15" s="951"/>
      <c r="BG15" s="951"/>
      <c r="BH15" s="951"/>
    </row>
    <row r="16" spans="1:64" ht="15" thickBot="1" x14ac:dyDescent="0.35">
      <c r="D16" s="781" t="s">
        <v>606</v>
      </c>
      <c r="E16" s="782" t="s">
        <v>49</v>
      </c>
      <c r="F16" s="783" t="s">
        <v>50</v>
      </c>
      <c r="G16" s="783" t="s">
        <v>51</v>
      </c>
      <c r="H16" s="783" t="s">
        <v>308</v>
      </c>
      <c r="I16" s="783" t="s">
        <v>309</v>
      </c>
      <c r="J16" s="783" t="s">
        <v>310</v>
      </c>
      <c r="K16" s="784" t="s">
        <v>311</v>
      </c>
      <c r="L16" s="442" t="s">
        <v>607</v>
      </c>
      <c r="P16" s="781" t="s">
        <v>606</v>
      </c>
      <c r="Q16" s="782" t="s">
        <v>49</v>
      </c>
      <c r="R16" s="783" t="s">
        <v>50</v>
      </c>
      <c r="S16" s="783" t="s">
        <v>51</v>
      </c>
      <c r="T16" s="783" t="s">
        <v>308</v>
      </c>
      <c r="U16" s="783" t="s">
        <v>309</v>
      </c>
      <c r="V16" s="783" t="s">
        <v>310</v>
      </c>
      <c r="W16" s="784" t="s">
        <v>311</v>
      </c>
      <c r="AA16" s="781" t="s">
        <v>606</v>
      </c>
      <c r="AB16" s="782" t="s">
        <v>49</v>
      </c>
      <c r="AC16" s="783" t="s">
        <v>50</v>
      </c>
      <c r="AD16" s="783" t="s">
        <v>51</v>
      </c>
      <c r="AE16" s="783" t="s">
        <v>308</v>
      </c>
      <c r="AF16" s="783" t="s">
        <v>309</v>
      </c>
      <c r="AG16" s="783" t="s">
        <v>310</v>
      </c>
      <c r="AH16" s="784" t="s">
        <v>311</v>
      </c>
      <c r="AM16" s="781" t="s">
        <v>606</v>
      </c>
      <c r="AN16" s="782" t="s">
        <v>49</v>
      </c>
      <c r="AO16" s="783" t="s">
        <v>50</v>
      </c>
      <c r="AP16" s="783" t="s">
        <v>51</v>
      </c>
      <c r="AQ16" s="783" t="s">
        <v>308</v>
      </c>
      <c r="AR16" s="783" t="s">
        <v>309</v>
      </c>
      <c r="AS16" s="783" t="s">
        <v>310</v>
      </c>
      <c r="AT16" s="784" t="s">
        <v>311</v>
      </c>
      <c r="AY16" s="781" t="s">
        <v>606</v>
      </c>
      <c r="AZ16" s="782" t="s">
        <v>49</v>
      </c>
      <c r="BA16" s="783" t="s">
        <v>50</v>
      </c>
      <c r="BB16" s="783" t="s">
        <v>51</v>
      </c>
      <c r="BC16" s="783" t="s">
        <v>308</v>
      </c>
      <c r="BD16" s="783" t="s">
        <v>309</v>
      </c>
      <c r="BE16" s="783" t="s">
        <v>310</v>
      </c>
      <c r="BF16" s="783" t="s">
        <v>311</v>
      </c>
      <c r="BG16" s="783" t="s">
        <v>312</v>
      </c>
      <c r="BH16" s="783" t="s">
        <v>313</v>
      </c>
    </row>
    <row r="17" spans="2:60" x14ac:dyDescent="0.3">
      <c r="C17" s="443" t="s">
        <v>660</v>
      </c>
      <c r="D17" s="785"/>
      <c r="E17" s="786">
        <v>5</v>
      </c>
      <c r="F17" s="787">
        <v>5</v>
      </c>
      <c r="G17" s="787">
        <v>4</v>
      </c>
      <c r="H17" s="787">
        <v>3</v>
      </c>
      <c r="I17" s="787">
        <v>5</v>
      </c>
      <c r="J17" s="787">
        <v>2</v>
      </c>
      <c r="K17" s="788">
        <v>3</v>
      </c>
      <c r="L17" s="445" t="s">
        <v>622</v>
      </c>
      <c r="O17" s="443" t="s">
        <v>660</v>
      </c>
      <c r="P17" s="785"/>
      <c r="Q17" s="786">
        <v>5</v>
      </c>
      <c r="R17" s="787">
        <v>5</v>
      </c>
      <c r="S17" s="787">
        <v>4</v>
      </c>
      <c r="T17" s="787">
        <v>3</v>
      </c>
      <c r="U17" s="787">
        <v>5</v>
      </c>
      <c r="V17" s="787">
        <v>2</v>
      </c>
      <c r="W17" s="788">
        <v>3</v>
      </c>
      <c r="Z17" s="443" t="s">
        <v>660</v>
      </c>
      <c r="AA17" s="785"/>
      <c r="AB17" s="786">
        <v>5</v>
      </c>
      <c r="AC17" s="787">
        <v>5</v>
      </c>
      <c r="AD17" s="787">
        <v>4</v>
      </c>
      <c r="AE17" s="787">
        <v>3</v>
      </c>
      <c r="AF17" s="787">
        <v>5</v>
      </c>
      <c r="AG17" s="787">
        <v>2</v>
      </c>
      <c r="AH17" s="788">
        <v>3</v>
      </c>
      <c r="AL17" s="443" t="s">
        <v>660</v>
      </c>
      <c r="AM17" s="785"/>
      <c r="AN17" s="786">
        <v>5</v>
      </c>
      <c r="AO17" s="787">
        <v>5</v>
      </c>
      <c r="AP17" s="787">
        <v>4</v>
      </c>
      <c r="AQ17" s="787">
        <v>3</v>
      </c>
      <c r="AR17" s="787">
        <v>5</v>
      </c>
      <c r="AS17" s="787">
        <v>2</v>
      </c>
      <c r="AT17" s="788">
        <v>3</v>
      </c>
      <c r="AX17" s="443" t="s">
        <v>660</v>
      </c>
      <c r="AY17" s="785"/>
      <c r="AZ17" s="786">
        <v>1</v>
      </c>
      <c r="BA17" s="787">
        <v>0</v>
      </c>
      <c r="BB17" s="787">
        <v>1</v>
      </c>
      <c r="BC17" s="787">
        <v>5</v>
      </c>
      <c r="BD17" s="787">
        <v>1</v>
      </c>
      <c r="BE17" s="787">
        <v>0</v>
      </c>
      <c r="BF17" s="857">
        <v>1</v>
      </c>
      <c r="BG17" s="787">
        <v>1</v>
      </c>
      <c r="BH17" s="888">
        <v>1</v>
      </c>
    </row>
    <row r="18" spans="2:60" ht="15" thickBot="1" x14ac:dyDescent="0.35">
      <c r="C18" s="447" t="s">
        <v>621</v>
      </c>
      <c r="D18" s="789"/>
      <c r="E18" s="790">
        <f t="shared" ref="E18:K18" si="0">SUM(E17:E17)</f>
        <v>5</v>
      </c>
      <c r="F18" s="791">
        <f t="shared" si="0"/>
        <v>5</v>
      </c>
      <c r="G18" s="791">
        <f t="shared" si="0"/>
        <v>4</v>
      </c>
      <c r="H18" s="791">
        <f t="shared" si="0"/>
        <v>3</v>
      </c>
      <c r="I18" s="791">
        <f t="shared" si="0"/>
        <v>5</v>
      </c>
      <c r="J18" s="791">
        <f t="shared" si="0"/>
        <v>2</v>
      </c>
      <c r="K18" s="792">
        <f t="shared" si="0"/>
        <v>3</v>
      </c>
      <c r="O18" s="447" t="s">
        <v>621</v>
      </c>
      <c r="P18" s="789"/>
      <c r="Q18" s="790">
        <f t="shared" ref="Q18:W18" si="1">SUM(Q17:Q17)</f>
        <v>5</v>
      </c>
      <c r="R18" s="791">
        <f t="shared" si="1"/>
        <v>5</v>
      </c>
      <c r="S18" s="791">
        <f t="shared" si="1"/>
        <v>4</v>
      </c>
      <c r="T18" s="791">
        <f t="shared" si="1"/>
        <v>3</v>
      </c>
      <c r="U18" s="791">
        <f t="shared" si="1"/>
        <v>5</v>
      </c>
      <c r="V18" s="791">
        <f t="shared" si="1"/>
        <v>2</v>
      </c>
      <c r="W18" s="792">
        <f t="shared" si="1"/>
        <v>3</v>
      </c>
      <c r="Z18" s="447" t="s">
        <v>621</v>
      </c>
      <c r="AA18" s="789"/>
      <c r="AB18" s="790">
        <f t="shared" ref="AB18:AH18" si="2">SUM(AB17:AB17)</f>
        <v>5</v>
      </c>
      <c r="AC18" s="791">
        <f t="shared" si="2"/>
        <v>5</v>
      </c>
      <c r="AD18" s="791">
        <f t="shared" si="2"/>
        <v>4</v>
      </c>
      <c r="AE18" s="791">
        <f t="shared" si="2"/>
        <v>3</v>
      </c>
      <c r="AF18" s="791">
        <f t="shared" si="2"/>
        <v>5</v>
      </c>
      <c r="AG18" s="791">
        <f t="shared" si="2"/>
        <v>2</v>
      </c>
      <c r="AH18" s="792">
        <f t="shared" si="2"/>
        <v>3</v>
      </c>
      <c r="AL18" s="447" t="s">
        <v>621</v>
      </c>
      <c r="AM18" s="789"/>
      <c r="AN18" s="790">
        <f t="shared" ref="AN18:AT18" si="3">SUM(AN17:AN17)</f>
        <v>5</v>
      </c>
      <c r="AO18" s="791">
        <f t="shared" si="3"/>
        <v>5</v>
      </c>
      <c r="AP18" s="791">
        <f t="shared" si="3"/>
        <v>4</v>
      </c>
      <c r="AQ18" s="791">
        <f t="shared" si="3"/>
        <v>3</v>
      </c>
      <c r="AR18" s="791">
        <f t="shared" si="3"/>
        <v>5</v>
      </c>
      <c r="AS18" s="791">
        <f t="shared" si="3"/>
        <v>2</v>
      </c>
      <c r="AT18" s="792">
        <f t="shared" si="3"/>
        <v>3</v>
      </c>
      <c r="AX18" s="447" t="s">
        <v>621</v>
      </c>
      <c r="AY18" s="789"/>
      <c r="AZ18" s="790">
        <f t="shared" ref="AZ18:BF18" si="4">SUM(AZ17:AZ17)</f>
        <v>1</v>
      </c>
      <c r="BA18" s="791">
        <f t="shared" si="4"/>
        <v>0</v>
      </c>
      <c r="BB18" s="791">
        <f t="shared" si="4"/>
        <v>1</v>
      </c>
      <c r="BC18" s="791">
        <f t="shared" si="4"/>
        <v>5</v>
      </c>
      <c r="BD18" s="791">
        <f t="shared" si="4"/>
        <v>1</v>
      </c>
      <c r="BE18" s="791">
        <f t="shared" si="4"/>
        <v>0</v>
      </c>
      <c r="BF18" s="858">
        <f t="shared" si="4"/>
        <v>1</v>
      </c>
      <c r="BG18" s="791">
        <f t="shared" ref="BG18:BH18" si="5">SUM(BG17:BG17)</f>
        <v>1</v>
      </c>
      <c r="BH18" s="889">
        <f t="shared" si="5"/>
        <v>1</v>
      </c>
    </row>
    <row r="19" spans="2:60" x14ac:dyDescent="0.3">
      <c r="C19" s="489" t="s">
        <v>651</v>
      </c>
      <c r="D19" s="577"/>
      <c r="E19" s="793">
        <v>0</v>
      </c>
      <c r="F19" s="794">
        <v>0</v>
      </c>
      <c r="G19" s="454"/>
      <c r="H19" s="454"/>
      <c r="I19" s="454"/>
      <c r="J19" s="454"/>
      <c r="K19" s="455"/>
      <c r="L19" s="40" t="s">
        <v>609</v>
      </c>
      <c r="O19" s="489" t="s">
        <v>651</v>
      </c>
      <c r="P19" s="577"/>
      <c r="Q19" s="793">
        <v>0</v>
      </c>
      <c r="R19" s="794">
        <v>0</v>
      </c>
      <c r="S19" s="454"/>
      <c r="T19" s="454"/>
      <c r="U19" s="454"/>
      <c r="V19" s="454"/>
      <c r="W19" s="455"/>
      <c r="Z19" s="489" t="s">
        <v>651</v>
      </c>
      <c r="AA19" s="577"/>
      <c r="AB19" s="793">
        <v>0</v>
      </c>
      <c r="AC19" s="794">
        <v>0</v>
      </c>
      <c r="AD19" s="454"/>
      <c r="AE19" s="454"/>
      <c r="AF19" s="454"/>
      <c r="AG19" s="454"/>
      <c r="AH19" s="455"/>
      <c r="AL19" s="489" t="s">
        <v>651</v>
      </c>
      <c r="AM19" s="577"/>
      <c r="AN19" s="793">
        <v>0</v>
      </c>
      <c r="AO19" s="794">
        <v>0</v>
      </c>
      <c r="AP19" s="454"/>
      <c r="AQ19" s="454"/>
      <c r="AR19" s="454"/>
      <c r="AS19" s="454"/>
      <c r="AT19" s="455"/>
      <c r="AX19" s="489" t="s">
        <v>651</v>
      </c>
      <c r="AY19" s="577"/>
      <c r="AZ19" s="793">
        <v>0</v>
      </c>
      <c r="BA19" s="794">
        <v>0</v>
      </c>
      <c r="BB19" s="454"/>
      <c r="BC19" s="454"/>
      <c r="BD19" s="454"/>
      <c r="BE19" s="454"/>
      <c r="BF19" s="540"/>
      <c r="BG19" s="454"/>
      <c r="BH19" s="533"/>
    </row>
    <row r="20" spans="2:60" x14ac:dyDescent="0.3">
      <c r="C20" s="492" t="s">
        <v>617</v>
      </c>
      <c r="D20" s="578">
        <v>12</v>
      </c>
      <c r="E20" s="461">
        <f t="shared" ref="E20:K20" si="6">D20+E19+E22-E18</f>
        <v>7</v>
      </c>
      <c r="F20" s="458">
        <f t="shared" si="6"/>
        <v>8</v>
      </c>
      <c r="G20" s="458">
        <f t="shared" si="6"/>
        <v>10</v>
      </c>
      <c r="H20" s="458">
        <f t="shared" si="6"/>
        <v>7</v>
      </c>
      <c r="I20" s="458">
        <f t="shared" si="6"/>
        <v>8</v>
      </c>
      <c r="J20" s="458">
        <f t="shared" si="6"/>
        <v>6</v>
      </c>
      <c r="K20" s="459">
        <f t="shared" si="6"/>
        <v>9</v>
      </c>
      <c r="M20" s="460"/>
      <c r="O20" s="492" t="s">
        <v>617</v>
      </c>
      <c r="P20" s="578">
        <v>12</v>
      </c>
      <c r="Q20" s="461">
        <f t="shared" ref="Q20:W20" si="7">P20+Q19+Q22-Q18</f>
        <v>7</v>
      </c>
      <c r="R20" s="458">
        <f t="shared" si="7"/>
        <v>8</v>
      </c>
      <c r="S20" s="458">
        <f t="shared" si="7"/>
        <v>4</v>
      </c>
      <c r="T20" s="458">
        <f t="shared" si="7"/>
        <v>1</v>
      </c>
      <c r="U20" s="458">
        <f t="shared" si="7"/>
        <v>8</v>
      </c>
      <c r="V20" s="458">
        <f t="shared" si="7"/>
        <v>6</v>
      </c>
      <c r="W20" s="459">
        <f t="shared" si="7"/>
        <v>9</v>
      </c>
      <c r="Z20" s="492" t="s">
        <v>617</v>
      </c>
      <c r="AA20" s="578">
        <v>12</v>
      </c>
      <c r="AB20" s="461">
        <f t="shared" ref="AB20:AH20" si="8">AA20+AB19+AB22-AB18</f>
        <v>7</v>
      </c>
      <c r="AC20" s="458">
        <f t="shared" si="8"/>
        <v>8</v>
      </c>
      <c r="AD20" s="458">
        <f t="shared" si="8"/>
        <v>4</v>
      </c>
      <c r="AE20" s="458">
        <f t="shared" si="8"/>
        <v>7</v>
      </c>
      <c r="AF20" s="458">
        <f t="shared" si="8"/>
        <v>8</v>
      </c>
      <c r="AG20" s="458">
        <f t="shared" si="8"/>
        <v>6</v>
      </c>
      <c r="AH20" s="459">
        <f t="shared" si="8"/>
        <v>9</v>
      </c>
      <c r="AL20" s="492" t="s">
        <v>617</v>
      </c>
      <c r="AM20" s="578">
        <v>12</v>
      </c>
      <c r="AN20" s="461">
        <f t="shared" ref="AN20:AT20" si="9">AM20+AN19+AN22-AN18</f>
        <v>7</v>
      </c>
      <c r="AO20" s="458">
        <f t="shared" si="9"/>
        <v>8</v>
      </c>
      <c r="AP20" s="458">
        <f t="shared" si="9"/>
        <v>10</v>
      </c>
      <c r="AQ20" s="458">
        <f t="shared" si="9"/>
        <v>7</v>
      </c>
      <c r="AR20" s="458">
        <f t="shared" si="9"/>
        <v>8</v>
      </c>
      <c r="AS20" s="458">
        <f t="shared" si="9"/>
        <v>6</v>
      </c>
      <c r="AT20" s="459">
        <f t="shared" si="9"/>
        <v>9</v>
      </c>
      <c r="AX20" s="492" t="s">
        <v>617</v>
      </c>
      <c r="AY20" s="578">
        <v>5</v>
      </c>
      <c r="AZ20" s="461">
        <f t="shared" ref="AZ20:BE20" si="10">AY20+AZ19+AZ22-AZ18</f>
        <v>4</v>
      </c>
      <c r="BA20" s="458">
        <f t="shared" si="10"/>
        <v>4</v>
      </c>
      <c r="BB20" s="458">
        <f t="shared" si="10"/>
        <v>3</v>
      </c>
      <c r="BC20" s="458">
        <f t="shared" si="10"/>
        <v>4</v>
      </c>
      <c r="BD20" s="458">
        <f t="shared" si="10"/>
        <v>3</v>
      </c>
      <c r="BE20" s="458">
        <f t="shared" si="10"/>
        <v>3</v>
      </c>
      <c r="BF20" s="528">
        <f>BE20+BF19+BF22-BF18</f>
        <v>8</v>
      </c>
      <c r="BG20" s="458">
        <f>BF20+BG19+BG22-BG18</f>
        <v>7</v>
      </c>
      <c r="BH20" s="530">
        <f>BG20+BH19+BH22-BH18</f>
        <v>6</v>
      </c>
    </row>
    <row r="21" spans="2:60" x14ac:dyDescent="0.3">
      <c r="C21" s="492" t="s">
        <v>642</v>
      </c>
      <c r="D21" s="795"/>
      <c r="E21" s="461">
        <f t="shared" ref="E21:K21" si="11">IF(D20-E18+E19&lt;=$D$13, E18-E19-D20+$D$13,0)</f>
        <v>0</v>
      </c>
      <c r="F21" s="458">
        <f t="shared" si="11"/>
        <v>2</v>
      </c>
      <c r="G21" s="458">
        <f t="shared" si="11"/>
        <v>0</v>
      </c>
      <c r="H21" s="458">
        <f t="shared" si="11"/>
        <v>0</v>
      </c>
      <c r="I21" s="458">
        <f t="shared" si="11"/>
        <v>2</v>
      </c>
      <c r="J21" s="458">
        <f t="shared" si="11"/>
        <v>0</v>
      </c>
      <c r="K21" s="459">
        <f t="shared" si="11"/>
        <v>1</v>
      </c>
      <c r="M21" s="460"/>
      <c r="O21" s="492" t="s">
        <v>642</v>
      </c>
      <c r="P21" s="795"/>
      <c r="Q21" s="461">
        <f t="shared" ref="Q21:W21" si="12">IF(P20-Q18+Q19&lt;=$D$13, Q18-Q19-P20+$D$13,0)</f>
        <v>0</v>
      </c>
      <c r="R21" s="458">
        <f t="shared" si="12"/>
        <v>2</v>
      </c>
      <c r="S21" s="458">
        <f t="shared" si="12"/>
        <v>0</v>
      </c>
      <c r="T21" s="458">
        <f t="shared" si="12"/>
        <v>3</v>
      </c>
      <c r="U21" s="458">
        <f t="shared" si="12"/>
        <v>8</v>
      </c>
      <c r="V21" s="458">
        <f t="shared" si="12"/>
        <v>0</v>
      </c>
      <c r="W21" s="459">
        <f t="shared" si="12"/>
        <v>1</v>
      </c>
      <c r="Z21" s="492" t="s">
        <v>642</v>
      </c>
      <c r="AA21" s="795"/>
      <c r="AB21" s="461">
        <f t="shared" ref="AB21:AH21" si="13">IF(AA20-AB18+AB19&lt;=$D$13, AB18-AB19-AA20+$D$13,0)</f>
        <v>0</v>
      </c>
      <c r="AC21" s="458">
        <f t="shared" si="13"/>
        <v>2</v>
      </c>
      <c r="AD21" s="458">
        <f t="shared" si="13"/>
        <v>0</v>
      </c>
      <c r="AE21" s="458">
        <f t="shared" si="13"/>
        <v>3</v>
      </c>
      <c r="AF21" s="458">
        <f t="shared" si="13"/>
        <v>2</v>
      </c>
      <c r="AG21" s="458">
        <f t="shared" si="13"/>
        <v>0</v>
      </c>
      <c r="AH21" s="459">
        <f t="shared" si="13"/>
        <v>1</v>
      </c>
      <c r="AL21" s="492" t="s">
        <v>642</v>
      </c>
      <c r="AM21" s="795"/>
      <c r="AN21" s="461">
        <f t="shared" ref="AN21:AT21" si="14">IF(AM20-AN18+AN19&lt;=$D$13, AN18-AN19-AM20+$D$13,0)</f>
        <v>0</v>
      </c>
      <c r="AO21" s="458">
        <f t="shared" si="14"/>
        <v>2</v>
      </c>
      <c r="AP21" s="458">
        <f t="shared" si="14"/>
        <v>0</v>
      </c>
      <c r="AQ21" s="458">
        <f t="shared" si="14"/>
        <v>0</v>
      </c>
      <c r="AR21" s="458">
        <f t="shared" si="14"/>
        <v>2</v>
      </c>
      <c r="AS21" s="458">
        <f t="shared" si="14"/>
        <v>0</v>
      </c>
      <c r="AT21" s="459">
        <f t="shared" si="14"/>
        <v>1</v>
      </c>
      <c r="AX21" s="492" t="s">
        <v>642</v>
      </c>
      <c r="AY21" s="795"/>
      <c r="AZ21" s="461">
        <f>IF(AY20-AZ18+AZ19&lt;=$AY$13, AZ18-AZ19-AY20+$AY$13,0)</f>
        <v>0</v>
      </c>
      <c r="BA21" s="458">
        <f t="shared" ref="BA21:BE21" si="15">IF(AZ20-BA18+BA19&lt;=$AY$13, BA18-BA19-AZ20+$AY$13,0)</f>
        <v>0</v>
      </c>
      <c r="BB21" s="458">
        <f t="shared" si="15"/>
        <v>0</v>
      </c>
      <c r="BC21" s="458">
        <f t="shared" si="15"/>
        <v>5</v>
      </c>
      <c r="BD21" s="458">
        <f t="shared" si="15"/>
        <v>0</v>
      </c>
      <c r="BE21" s="458">
        <f t="shared" si="15"/>
        <v>0</v>
      </c>
      <c r="BF21" s="528">
        <f>IF(BE20-BF18+BF19&lt;=$AY$13, BF18-BF19-BE20+$AY$13,0)</f>
        <v>1</v>
      </c>
      <c r="BG21" s="458">
        <f>IF(BF20-BG18+BG19&lt;=$AY$13, BG18-BG19-BF20+$AY$13,0)</f>
        <v>0</v>
      </c>
      <c r="BH21" s="530">
        <f>IF(BG20-BH18+BH19&lt;=$AY$13, BH18-BH19-BG20+$AY$13,0)</f>
        <v>0</v>
      </c>
    </row>
    <row r="22" spans="2:60" x14ac:dyDescent="0.3">
      <c r="C22" s="496" t="s">
        <v>647</v>
      </c>
      <c r="D22" s="795"/>
      <c r="E22" s="461">
        <f t="shared" ref="E22:K22" si="16" xml:space="preserve"> CEILING(E21/$D$12,1)*$D$12</f>
        <v>0</v>
      </c>
      <c r="F22" s="458">
        <f t="shared" si="16"/>
        <v>6</v>
      </c>
      <c r="G22" s="458">
        <v>6</v>
      </c>
      <c r="H22" s="458">
        <f t="shared" si="16"/>
        <v>0</v>
      </c>
      <c r="I22" s="458">
        <f t="shared" si="16"/>
        <v>6</v>
      </c>
      <c r="J22" s="458">
        <f t="shared" si="16"/>
        <v>0</v>
      </c>
      <c r="K22" s="459">
        <f t="shared" si="16"/>
        <v>6</v>
      </c>
      <c r="O22" s="496" t="s">
        <v>647</v>
      </c>
      <c r="P22" s="795"/>
      <c r="Q22" s="461">
        <f t="shared" ref="Q22:W22" si="17" xml:space="preserve"> CEILING(Q21/$D$12,1)*$D$12</f>
        <v>0</v>
      </c>
      <c r="R22" s="458">
        <f t="shared" si="17"/>
        <v>6</v>
      </c>
      <c r="S22" s="458">
        <f t="shared" si="17"/>
        <v>0</v>
      </c>
      <c r="T22" s="458">
        <v>0</v>
      </c>
      <c r="U22" s="458">
        <f t="shared" si="17"/>
        <v>12</v>
      </c>
      <c r="V22" s="458">
        <f t="shared" si="17"/>
        <v>0</v>
      </c>
      <c r="W22" s="459">
        <f t="shared" si="17"/>
        <v>6</v>
      </c>
      <c r="Z22" s="496" t="s">
        <v>647</v>
      </c>
      <c r="AA22" s="795"/>
      <c r="AB22" s="461">
        <f t="shared" ref="AB22:AH22" si="18" xml:space="preserve"> CEILING(AB21/$D$12,1)*$D$12</f>
        <v>0</v>
      </c>
      <c r="AC22" s="458">
        <f t="shared" si="18"/>
        <v>6</v>
      </c>
      <c r="AD22" s="458">
        <f t="shared" si="18"/>
        <v>0</v>
      </c>
      <c r="AE22" s="458">
        <f t="shared" si="18"/>
        <v>6</v>
      </c>
      <c r="AF22" s="458">
        <f t="shared" si="18"/>
        <v>6</v>
      </c>
      <c r="AG22" s="458">
        <f t="shared" si="18"/>
        <v>0</v>
      </c>
      <c r="AH22" s="459">
        <f t="shared" si="18"/>
        <v>6</v>
      </c>
      <c r="AL22" s="496" t="s">
        <v>647</v>
      </c>
      <c r="AM22" s="795"/>
      <c r="AN22" s="461">
        <f t="shared" ref="AN22:AO22" si="19" xml:space="preserve"> CEILING(AN21/$D$12,1)*$D$12</f>
        <v>0</v>
      </c>
      <c r="AO22" s="458">
        <f t="shared" si="19"/>
        <v>6</v>
      </c>
      <c r="AP22" s="458">
        <v>6</v>
      </c>
      <c r="AQ22" s="458">
        <f t="shared" ref="AQ22:AT22" si="20" xml:space="preserve"> CEILING(AQ21/$D$12,1)*$D$12</f>
        <v>0</v>
      </c>
      <c r="AR22" s="458">
        <f t="shared" si="20"/>
        <v>6</v>
      </c>
      <c r="AS22" s="458">
        <f t="shared" si="20"/>
        <v>0</v>
      </c>
      <c r="AT22" s="459">
        <f t="shared" si="20"/>
        <v>6</v>
      </c>
      <c r="AX22" s="496" t="s">
        <v>647</v>
      </c>
      <c r="AY22" s="795"/>
      <c r="AZ22" s="461">
        <f xml:space="preserve"> CEILING(AZ21/$AY$12,1)*$AY$12</f>
        <v>0</v>
      </c>
      <c r="BA22" s="458">
        <f t="shared" ref="BA22:BF22" si="21" xml:space="preserve"> CEILING(BA21/$AY$12,1)*$AY$12</f>
        <v>0</v>
      </c>
      <c r="BB22" s="458">
        <f t="shared" si="21"/>
        <v>0</v>
      </c>
      <c r="BC22" s="458">
        <f t="shared" si="21"/>
        <v>6</v>
      </c>
      <c r="BD22" s="458">
        <f t="shared" si="21"/>
        <v>0</v>
      </c>
      <c r="BE22" s="458">
        <f t="shared" si="21"/>
        <v>0</v>
      </c>
      <c r="BF22" s="528">
        <f t="shared" si="21"/>
        <v>6</v>
      </c>
      <c r="BG22" s="458">
        <f t="shared" ref="BG22:BH22" si="22" xml:space="preserve"> CEILING(BG21/$AY$12,1)*$AY$12</f>
        <v>0</v>
      </c>
      <c r="BH22" s="530">
        <f t="shared" si="22"/>
        <v>0</v>
      </c>
    </row>
    <row r="23" spans="2:60" ht="15" thickBot="1" x14ac:dyDescent="0.35">
      <c r="C23" s="571" t="s">
        <v>652</v>
      </c>
      <c r="D23" s="580"/>
      <c r="E23" s="463">
        <f t="shared" ref="E23:F23" si="23">E22</f>
        <v>0</v>
      </c>
      <c r="F23" s="464">
        <f t="shared" si="23"/>
        <v>6</v>
      </c>
      <c r="G23" s="464">
        <f>G22</f>
        <v>6</v>
      </c>
      <c r="H23" s="464">
        <f t="shared" ref="H23:K23" si="24">H22</f>
        <v>0</v>
      </c>
      <c r="I23" s="464">
        <f t="shared" si="24"/>
        <v>6</v>
      </c>
      <c r="J23" s="464">
        <f t="shared" si="24"/>
        <v>0</v>
      </c>
      <c r="K23" s="465">
        <f t="shared" si="24"/>
        <v>6</v>
      </c>
      <c r="O23" s="571" t="s">
        <v>652</v>
      </c>
      <c r="P23" s="580"/>
      <c r="Q23" s="463">
        <f t="shared" ref="Q23:R23" si="25">Q22</f>
        <v>0</v>
      </c>
      <c r="R23" s="464">
        <f t="shared" si="25"/>
        <v>6</v>
      </c>
      <c r="S23" s="464">
        <f>S22</f>
        <v>0</v>
      </c>
      <c r="T23" s="464">
        <f>T22</f>
        <v>0</v>
      </c>
      <c r="U23" s="464">
        <f t="shared" ref="U23:W23" si="26">U22</f>
        <v>12</v>
      </c>
      <c r="V23" s="464">
        <f t="shared" si="26"/>
        <v>0</v>
      </c>
      <c r="W23" s="465">
        <f t="shared" si="26"/>
        <v>6</v>
      </c>
      <c r="Z23" s="571" t="s">
        <v>652</v>
      </c>
      <c r="AA23" s="580"/>
      <c r="AB23" s="463">
        <f t="shared" ref="AB23:AC23" si="27">AB22</f>
        <v>0</v>
      </c>
      <c r="AC23" s="464">
        <f t="shared" si="27"/>
        <v>6</v>
      </c>
      <c r="AD23" s="464">
        <f>AD22</f>
        <v>0</v>
      </c>
      <c r="AE23" s="464">
        <f>AE22</f>
        <v>6</v>
      </c>
      <c r="AF23" s="464">
        <f t="shared" ref="AF23:AH23" si="28">AF22</f>
        <v>6</v>
      </c>
      <c r="AG23" s="464">
        <f t="shared" si="28"/>
        <v>0</v>
      </c>
      <c r="AH23" s="465">
        <f t="shared" si="28"/>
        <v>6</v>
      </c>
      <c r="AL23" s="571" t="s">
        <v>652</v>
      </c>
      <c r="AM23" s="580"/>
      <c r="AN23" s="463">
        <f t="shared" ref="AN23:AO23" si="29">AN22</f>
        <v>0</v>
      </c>
      <c r="AO23" s="464">
        <f t="shared" si="29"/>
        <v>6</v>
      </c>
      <c r="AP23" s="464">
        <f>AP22</f>
        <v>6</v>
      </c>
      <c r="AQ23" s="464">
        <f t="shared" ref="AQ23:AT23" si="30">AQ22</f>
        <v>0</v>
      </c>
      <c r="AR23" s="464">
        <f t="shared" si="30"/>
        <v>6</v>
      </c>
      <c r="AS23" s="464">
        <f t="shared" si="30"/>
        <v>0</v>
      </c>
      <c r="AT23" s="465">
        <f t="shared" si="30"/>
        <v>6</v>
      </c>
      <c r="AX23" s="571" t="s">
        <v>652</v>
      </c>
      <c r="AY23" s="580"/>
      <c r="AZ23" s="463">
        <f t="shared" ref="AZ23:BA23" si="31">AZ22</f>
        <v>0</v>
      </c>
      <c r="BA23" s="464">
        <f t="shared" si="31"/>
        <v>0</v>
      </c>
      <c r="BB23" s="464">
        <f>BB22</f>
        <v>0</v>
      </c>
      <c r="BC23" s="464">
        <f t="shared" ref="BC23:BF23" si="32">BC22</f>
        <v>6</v>
      </c>
      <c r="BD23" s="464">
        <f t="shared" si="32"/>
        <v>0</v>
      </c>
      <c r="BE23" s="464">
        <f t="shared" si="32"/>
        <v>0</v>
      </c>
      <c r="BF23" s="541">
        <f t="shared" si="32"/>
        <v>6</v>
      </c>
      <c r="BG23" s="464">
        <f t="shared" ref="BG23:BH23" si="33">BG22</f>
        <v>0</v>
      </c>
      <c r="BH23" s="890">
        <f t="shared" si="33"/>
        <v>0</v>
      </c>
    </row>
    <row r="24" spans="2:60" hidden="1" x14ac:dyDescent="0.3">
      <c r="C24" s="466" t="s">
        <v>612</v>
      </c>
      <c r="D24" s="467"/>
      <c r="E24" s="586">
        <f t="shared" ref="E24:K24" si="34">QUOTIENT(MOD(E23+$D$8-1,$D$7),$D$8)</f>
        <v>0</v>
      </c>
      <c r="F24" s="587">
        <f t="shared" si="34"/>
        <v>1</v>
      </c>
      <c r="G24" s="796">
        <f t="shared" si="34"/>
        <v>1</v>
      </c>
      <c r="H24" s="586">
        <f t="shared" si="34"/>
        <v>0</v>
      </c>
      <c r="I24" s="586">
        <f t="shared" si="34"/>
        <v>1</v>
      </c>
      <c r="J24" s="797">
        <f t="shared" si="34"/>
        <v>0</v>
      </c>
      <c r="K24" s="798">
        <f t="shared" si="34"/>
        <v>1</v>
      </c>
      <c r="O24" s="466" t="s">
        <v>612</v>
      </c>
      <c r="P24" s="467"/>
      <c r="Q24" s="586">
        <f t="shared" ref="Q24:W24" si="35">QUOTIENT(MOD(Q23+$D$8-1,$D$7),$D$8)</f>
        <v>0</v>
      </c>
      <c r="R24" s="587">
        <f t="shared" si="35"/>
        <v>1</v>
      </c>
      <c r="S24" s="796">
        <f t="shared" si="35"/>
        <v>0</v>
      </c>
      <c r="T24" s="586">
        <f t="shared" si="35"/>
        <v>0</v>
      </c>
      <c r="U24" s="586">
        <f t="shared" si="35"/>
        <v>0</v>
      </c>
      <c r="V24" s="797">
        <f t="shared" si="35"/>
        <v>0</v>
      </c>
      <c r="W24" s="798">
        <f t="shared" si="35"/>
        <v>1</v>
      </c>
      <c r="Z24" s="466" t="s">
        <v>612</v>
      </c>
      <c r="AA24" s="467"/>
      <c r="AB24" s="586">
        <f t="shared" ref="AB24:AH24" si="36">QUOTIENT(MOD(AB23+$D$8-1,$D$7),$D$8)</f>
        <v>0</v>
      </c>
      <c r="AC24" s="587">
        <f t="shared" si="36"/>
        <v>1</v>
      </c>
      <c r="AD24" s="796">
        <f t="shared" si="36"/>
        <v>0</v>
      </c>
      <c r="AE24" s="586">
        <f t="shared" si="36"/>
        <v>1</v>
      </c>
      <c r="AF24" s="586">
        <f t="shared" si="36"/>
        <v>1</v>
      </c>
      <c r="AG24" s="797">
        <f t="shared" si="36"/>
        <v>0</v>
      </c>
      <c r="AH24" s="798">
        <f t="shared" si="36"/>
        <v>1</v>
      </c>
      <c r="AL24" s="466" t="s">
        <v>612</v>
      </c>
      <c r="AM24" s="467"/>
      <c r="AN24" s="586">
        <f t="shared" ref="AN24:AT24" si="37">QUOTIENT(MOD(AN23+$D$8-1,$D$7),$D$8)</f>
        <v>0</v>
      </c>
      <c r="AO24" s="587">
        <f t="shared" si="37"/>
        <v>1</v>
      </c>
      <c r="AP24" s="796">
        <f t="shared" si="37"/>
        <v>1</v>
      </c>
      <c r="AQ24" s="586">
        <f t="shared" si="37"/>
        <v>0</v>
      </c>
      <c r="AR24" s="586">
        <f t="shared" si="37"/>
        <v>1</v>
      </c>
      <c r="AS24" s="797">
        <f t="shared" si="37"/>
        <v>0</v>
      </c>
      <c r="AT24" s="798">
        <f t="shared" si="37"/>
        <v>1</v>
      </c>
      <c r="AX24" s="466" t="s">
        <v>612</v>
      </c>
      <c r="AY24" s="467"/>
      <c r="AZ24" s="586">
        <f t="shared" ref="AZ24:BF24" si="38">QUOTIENT(MOD(AZ23+$D$8-1,$D$7),$D$8)</f>
        <v>0</v>
      </c>
      <c r="BA24" s="587">
        <f t="shared" si="38"/>
        <v>0</v>
      </c>
      <c r="BB24" s="796">
        <f t="shared" si="38"/>
        <v>0</v>
      </c>
      <c r="BC24" s="586">
        <f t="shared" si="38"/>
        <v>1</v>
      </c>
      <c r="BD24" s="586">
        <f t="shared" si="38"/>
        <v>0</v>
      </c>
      <c r="BE24" s="797">
        <f t="shared" si="38"/>
        <v>0</v>
      </c>
      <c r="BF24" s="798">
        <f t="shared" si="38"/>
        <v>1</v>
      </c>
      <c r="BG24" s="798">
        <f t="shared" ref="BG24:BH24" si="39">QUOTIENT(MOD(BG23+$D$8-1,$D$7),$D$8)</f>
        <v>0</v>
      </c>
      <c r="BH24" s="798">
        <f t="shared" si="39"/>
        <v>0</v>
      </c>
    </row>
    <row r="25" spans="2:60" hidden="1" x14ac:dyDescent="0.3">
      <c r="B25" s="40"/>
      <c r="C25" s="470" t="s">
        <v>613</v>
      </c>
      <c r="D25" s="471"/>
      <c r="E25" s="472">
        <f t="shared" ref="E25:K25" si="40">QUOTIENT(E23+$D$8-1,$D$7)</f>
        <v>0</v>
      </c>
      <c r="F25" s="543">
        <f t="shared" si="40"/>
        <v>0</v>
      </c>
      <c r="G25" s="538">
        <f t="shared" si="40"/>
        <v>0</v>
      </c>
      <c r="H25" s="472">
        <f t="shared" si="40"/>
        <v>0</v>
      </c>
      <c r="I25" s="472">
        <f t="shared" si="40"/>
        <v>0</v>
      </c>
      <c r="J25" s="473">
        <f t="shared" si="40"/>
        <v>0</v>
      </c>
      <c r="K25" s="551">
        <f t="shared" si="40"/>
        <v>0</v>
      </c>
      <c r="N25" s="40"/>
      <c r="O25" s="470" t="s">
        <v>613</v>
      </c>
      <c r="P25" s="471"/>
      <c r="Q25" s="472">
        <f t="shared" ref="Q25:W25" si="41">QUOTIENT(Q23+$D$8-1,$D$7)</f>
        <v>0</v>
      </c>
      <c r="R25" s="543">
        <f t="shared" si="41"/>
        <v>0</v>
      </c>
      <c r="S25" s="538">
        <f t="shared" si="41"/>
        <v>0</v>
      </c>
      <c r="T25" s="472">
        <f t="shared" si="41"/>
        <v>0</v>
      </c>
      <c r="U25" s="472">
        <f t="shared" si="41"/>
        <v>1</v>
      </c>
      <c r="V25" s="473">
        <f t="shared" si="41"/>
        <v>0</v>
      </c>
      <c r="W25" s="551">
        <f t="shared" si="41"/>
        <v>0</v>
      </c>
      <c r="Y25" s="40"/>
      <c r="Z25" s="470" t="s">
        <v>613</v>
      </c>
      <c r="AA25" s="471"/>
      <c r="AB25" s="472">
        <f t="shared" ref="AB25:AH25" si="42">QUOTIENT(AB23+$D$8-1,$D$7)</f>
        <v>0</v>
      </c>
      <c r="AC25" s="543">
        <f t="shared" si="42"/>
        <v>0</v>
      </c>
      <c r="AD25" s="538">
        <f t="shared" si="42"/>
        <v>0</v>
      </c>
      <c r="AE25" s="472">
        <f t="shared" si="42"/>
        <v>0</v>
      </c>
      <c r="AF25" s="472">
        <f t="shared" si="42"/>
        <v>0</v>
      </c>
      <c r="AG25" s="473">
        <f t="shared" si="42"/>
        <v>0</v>
      </c>
      <c r="AH25" s="551">
        <f t="shared" si="42"/>
        <v>0</v>
      </c>
      <c r="AK25" s="40"/>
      <c r="AL25" s="470" t="s">
        <v>613</v>
      </c>
      <c r="AM25" s="471"/>
      <c r="AN25" s="472">
        <f t="shared" ref="AN25:AT25" si="43">QUOTIENT(AN23+$D$8-1,$D$7)</f>
        <v>0</v>
      </c>
      <c r="AO25" s="543">
        <f t="shared" si="43"/>
        <v>0</v>
      </c>
      <c r="AP25" s="538">
        <f t="shared" si="43"/>
        <v>0</v>
      </c>
      <c r="AQ25" s="472">
        <f t="shared" si="43"/>
        <v>0</v>
      </c>
      <c r="AR25" s="472">
        <f t="shared" si="43"/>
        <v>0</v>
      </c>
      <c r="AS25" s="473">
        <f t="shared" si="43"/>
        <v>0</v>
      </c>
      <c r="AT25" s="551">
        <f t="shared" si="43"/>
        <v>0</v>
      </c>
      <c r="AW25" s="40"/>
      <c r="AX25" s="470" t="s">
        <v>613</v>
      </c>
      <c r="AY25" s="471"/>
      <c r="AZ25" s="472">
        <f t="shared" ref="AZ25:BF25" si="44">QUOTIENT(AZ23+$D$8-1,$D$7)</f>
        <v>0</v>
      </c>
      <c r="BA25" s="543">
        <f t="shared" si="44"/>
        <v>0</v>
      </c>
      <c r="BB25" s="538">
        <f t="shared" si="44"/>
        <v>0</v>
      </c>
      <c r="BC25" s="472">
        <f t="shared" si="44"/>
        <v>0</v>
      </c>
      <c r="BD25" s="472">
        <f t="shared" si="44"/>
        <v>0</v>
      </c>
      <c r="BE25" s="473">
        <f t="shared" si="44"/>
        <v>0</v>
      </c>
      <c r="BF25" s="551">
        <f t="shared" si="44"/>
        <v>0</v>
      </c>
      <c r="BG25" s="551">
        <f t="shared" ref="BG25:BH25" si="45">QUOTIENT(BG23+$D$8-1,$D$7)</f>
        <v>0</v>
      </c>
      <c r="BH25" s="551">
        <f t="shared" si="45"/>
        <v>0</v>
      </c>
    </row>
    <row r="26" spans="2:60" ht="15" hidden="1" thickBot="1" x14ac:dyDescent="0.35">
      <c r="C26" s="545" t="s">
        <v>614</v>
      </c>
      <c r="D26" s="474"/>
      <c r="E26" s="475" t="e">
        <f>IF($L$26="Choosing Supplier 1", E25*#REF!+E24*#REF!,E25*#REF!+E24*#REF!)</f>
        <v>#REF!</v>
      </c>
      <c r="F26" s="544" t="e">
        <f>IF($L$26="Choosing Supplier 1", F25*#REF!+F24*#REF!,F25*#REF!+F24*#REF!)</f>
        <v>#REF!</v>
      </c>
      <c r="G26" s="474" t="e">
        <f>IF($L$26="Choosing Supplier 1", G25*#REF!+G24*#REF!,G25*#REF!+G24*#REF!)</f>
        <v>#REF!</v>
      </c>
      <c r="H26" s="475" t="e">
        <f>IF($L$26="Choosing Supplier 1", H25*#REF!+H24*#REF!,H25*#REF!+H24*#REF!)</f>
        <v>#REF!</v>
      </c>
      <c r="I26" s="475" t="e">
        <f>IF($L$26="Choosing Supplier 1", I25*#REF!+I24*#REF!,I25*#REF!+I24*#REF!)</f>
        <v>#REF!</v>
      </c>
      <c r="J26" s="476" t="e">
        <f>IF($L$26="Choosing Supplier 1", J25*#REF!+J24*#REF!,J25*#REF!+J24*#REF!)</f>
        <v>#REF!</v>
      </c>
      <c r="K26" s="552" t="e">
        <f>IF($L$26="Choosing Supplier 1", K25*#REF!+K24*#REF!,K25*#REF!+K24*#REF!)</f>
        <v>#REF!</v>
      </c>
      <c r="L26" s="477" t="e">
        <f>IF(#REF!&lt;#REF!,IF($D$145="Yes","Choosing Supplier 1", "Choosing Supplier 2"),IF(#REF!="Yes", "Choosing Supplier 2","Choosing Supplier 1"))</f>
        <v>#REF!</v>
      </c>
      <c r="M26" t="s">
        <v>623</v>
      </c>
      <c r="O26" s="545" t="s">
        <v>614</v>
      </c>
      <c r="P26" s="474"/>
      <c r="Q26" s="475" t="e">
        <f>IF($L$26="Choosing Supplier 1", Q25*#REF!+Q24*#REF!,Q25*#REF!+Q24*#REF!)</f>
        <v>#REF!</v>
      </c>
      <c r="R26" s="544" t="e">
        <f>IF($L$26="Choosing Supplier 1", R25*#REF!+R24*#REF!,R25*#REF!+R24*#REF!)</f>
        <v>#REF!</v>
      </c>
      <c r="S26" s="474" t="e">
        <f>IF($L$26="Choosing Supplier 1", S25*#REF!+S24*#REF!,S25*#REF!+S24*#REF!)</f>
        <v>#REF!</v>
      </c>
      <c r="T26" s="475" t="e">
        <f>IF($L$26="Choosing Supplier 1", T25*#REF!+T24*#REF!,T25*#REF!+T24*#REF!)</f>
        <v>#REF!</v>
      </c>
      <c r="U26" s="475" t="e">
        <f>IF($L$26="Choosing Supplier 1", U25*#REF!+U24*#REF!,U25*#REF!+U24*#REF!)</f>
        <v>#REF!</v>
      </c>
      <c r="V26" s="476" t="e">
        <f>IF($L$26="Choosing Supplier 1", V25*#REF!+V24*#REF!,V25*#REF!+V24*#REF!)</f>
        <v>#REF!</v>
      </c>
      <c r="W26" s="552" t="e">
        <f>IF($L$26="Choosing Supplier 1", W25*#REF!+W24*#REF!,W25*#REF!+W24*#REF!)</f>
        <v>#REF!</v>
      </c>
      <c r="Z26" s="545" t="s">
        <v>614</v>
      </c>
      <c r="AA26" s="474"/>
      <c r="AB26" s="475" t="e">
        <f>IF($L$26="Choosing Supplier 1", AB25*#REF!+AB24*#REF!,AB25*#REF!+AB24*#REF!)</f>
        <v>#REF!</v>
      </c>
      <c r="AC26" s="544" t="e">
        <f>IF($L$26="Choosing Supplier 1", AC25*#REF!+AC24*#REF!,AC25*#REF!+AC24*#REF!)</f>
        <v>#REF!</v>
      </c>
      <c r="AD26" s="474" t="e">
        <f>IF($L$26="Choosing Supplier 1", AD25*#REF!+AD24*#REF!,AD25*#REF!+AD24*#REF!)</f>
        <v>#REF!</v>
      </c>
      <c r="AE26" s="475" t="e">
        <f>IF($L$26="Choosing Supplier 1", AE25*#REF!+AE24*#REF!,AE25*#REF!+AE24*#REF!)</f>
        <v>#REF!</v>
      </c>
      <c r="AF26" s="475" t="e">
        <f>IF($L$26="Choosing Supplier 1", AF25*#REF!+AF24*#REF!,AF25*#REF!+AF24*#REF!)</f>
        <v>#REF!</v>
      </c>
      <c r="AG26" s="476" t="e">
        <f>IF($L$26="Choosing Supplier 1", AG25*#REF!+AG24*#REF!,AG25*#REF!+AG24*#REF!)</f>
        <v>#REF!</v>
      </c>
      <c r="AH26" s="552" t="e">
        <f>IF($L$26="Choosing Supplier 1", AH25*#REF!+AH24*#REF!,AH25*#REF!+AH24*#REF!)</f>
        <v>#REF!</v>
      </c>
      <c r="AL26" s="545" t="s">
        <v>614</v>
      </c>
      <c r="AM26" s="474"/>
      <c r="AN26" s="475" t="e">
        <f>IF($L$26="Choosing Supplier 1", AN25*#REF!+AN24*#REF!,AN25*#REF!+AN24*#REF!)</f>
        <v>#REF!</v>
      </c>
      <c r="AO26" s="544" t="e">
        <f>IF($L$26="Choosing Supplier 1", AO25*#REF!+AO24*#REF!,AO25*#REF!+AO24*#REF!)</f>
        <v>#REF!</v>
      </c>
      <c r="AP26" s="474" t="e">
        <f>IF($L$26="Choosing Supplier 1", AP25*#REF!+AP24*#REF!,AP25*#REF!+AP24*#REF!)</f>
        <v>#REF!</v>
      </c>
      <c r="AQ26" s="475" t="e">
        <f>IF($L$26="Choosing Supplier 1", AQ25*#REF!+AQ24*#REF!,AQ25*#REF!+AQ24*#REF!)</f>
        <v>#REF!</v>
      </c>
      <c r="AR26" s="475" t="e">
        <f>IF($L$26="Choosing Supplier 1", AR25*#REF!+AR24*#REF!,AR25*#REF!+AR24*#REF!)</f>
        <v>#REF!</v>
      </c>
      <c r="AS26" s="476" t="e">
        <f>IF($L$26="Choosing Supplier 1", AS25*#REF!+AS24*#REF!,AS25*#REF!+AS24*#REF!)</f>
        <v>#REF!</v>
      </c>
      <c r="AT26" s="552" t="e">
        <f>IF($L$26="Choosing Supplier 1", AT25*#REF!+AT24*#REF!,AT25*#REF!+AT24*#REF!)</f>
        <v>#REF!</v>
      </c>
      <c r="AX26" s="545" t="s">
        <v>614</v>
      </c>
      <c r="AY26" s="474"/>
      <c r="AZ26" s="475" t="e">
        <f>IF($L$26="Choosing Supplier 1", AZ25*#REF!+AZ24*#REF!,AZ25*#REF!+AZ24*#REF!)</f>
        <v>#REF!</v>
      </c>
      <c r="BA26" s="544" t="e">
        <f>IF($L$26="Choosing Supplier 1", BA25*#REF!+BA24*#REF!,BA25*#REF!+BA24*#REF!)</f>
        <v>#REF!</v>
      </c>
      <c r="BB26" s="474" t="e">
        <f>IF($L$26="Choosing Supplier 1", BB25*#REF!+BB24*#REF!,BB25*#REF!+BB24*#REF!)</f>
        <v>#REF!</v>
      </c>
      <c r="BC26" s="475" t="e">
        <f>IF($L$26="Choosing Supplier 1", BC25*#REF!+BC24*#REF!,BC25*#REF!+BC24*#REF!)</f>
        <v>#REF!</v>
      </c>
      <c r="BD26" s="475" t="e">
        <f>IF($L$26="Choosing Supplier 1", BD25*#REF!+BD24*#REF!,BD25*#REF!+BD24*#REF!)</f>
        <v>#REF!</v>
      </c>
      <c r="BE26" s="476" t="e">
        <f>IF($L$26="Choosing Supplier 1", BE25*#REF!+BE24*#REF!,BE25*#REF!+BE24*#REF!)</f>
        <v>#REF!</v>
      </c>
      <c r="BF26" s="552" t="e">
        <f>IF($L$26="Choosing Supplier 1", BF25*#REF!+BF24*#REF!,BF25*#REF!+BF24*#REF!)</f>
        <v>#REF!</v>
      </c>
      <c r="BG26" s="552" t="e">
        <f>IF($L$26="Choosing Supplier 1", BG25*#REF!+BG24*#REF!,BG25*#REF!+BG24*#REF!)</f>
        <v>#REF!</v>
      </c>
      <c r="BH26" s="552" t="e">
        <f>IF($L$26="Choosing Supplier 1", BH25*#REF!+BH24*#REF!,BH25*#REF!+BH24*#REF!)</f>
        <v>#REF!</v>
      </c>
    </row>
    <row r="27" spans="2:60" x14ac:dyDescent="0.3">
      <c r="C27" s="326" t="s">
        <v>740</v>
      </c>
      <c r="D27" s="799"/>
      <c r="E27" s="799">
        <f>IF(E23&gt;0, IF(E23&lt;=$D$5, 1, IF(E23&lt;=2*$D$5,2,3)),0 )</f>
        <v>0</v>
      </c>
      <c r="F27" s="799">
        <f t="shared" ref="F27:K27" si="46">IF(F23&gt;0, IF(F23&lt;=$D$5, 1, IF(F23&lt;=2*$D$5,2,3)),0 )</f>
        <v>1</v>
      </c>
      <c r="G27" s="799">
        <f t="shared" si="46"/>
        <v>1</v>
      </c>
      <c r="H27" s="799">
        <f t="shared" si="46"/>
        <v>0</v>
      </c>
      <c r="I27" s="799">
        <f t="shared" si="46"/>
        <v>1</v>
      </c>
      <c r="J27" s="799">
        <f t="shared" si="46"/>
        <v>0</v>
      </c>
      <c r="K27" s="799">
        <f t="shared" si="46"/>
        <v>1</v>
      </c>
      <c r="O27" s="326" t="s">
        <v>740</v>
      </c>
      <c r="P27" s="799"/>
      <c r="Q27" s="799">
        <f>IF(Q23&gt;0, IF(Q23&lt;=$D$5, 1, IF(Q23&lt;=2*$D$5,2,3)),0 )</f>
        <v>0</v>
      </c>
      <c r="R27" s="799">
        <f t="shared" ref="R27:W27" si="47">IF(R23&gt;0, IF(R23&lt;=$D$5, 1, IF(R23&lt;=2*$D$5,2,3)),0 )</f>
        <v>1</v>
      </c>
      <c r="S27" s="799">
        <f t="shared" si="47"/>
        <v>0</v>
      </c>
      <c r="T27" s="799">
        <f t="shared" si="47"/>
        <v>0</v>
      </c>
      <c r="U27" s="799">
        <f t="shared" si="47"/>
        <v>2</v>
      </c>
      <c r="V27" s="799">
        <f t="shared" si="47"/>
        <v>0</v>
      </c>
      <c r="W27" s="799">
        <f t="shared" si="47"/>
        <v>1</v>
      </c>
      <c r="Z27" s="326" t="s">
        <v>740</v>
      </c>
      <c r="AA27" s="799"/>
      <c r="AB27" s="799">
        <f>IF(AB23&gt;0, IF(AB23&lt;=$D$5, 1, IF(AB23&lt;=2*$D$5,2,3)),0 )</f>
        <v>0</v>
      </c>
      <c r="AC27" s="799">
        <f t="shared" ref="AC27:AH27" si="48">IF(AC23&gt;0, IF(AC23&lt;=$D$5, 1, IF(AC23&lt;=2*$D$5,2,3)),0 )</f>
        <v>1</v>
      </c>
      <c r="AD27" s="799">
        <f t="shared" si="48"/>
        <v>0</v>
      </c>
      <c r="AE27" s="799">
        <f t="shared" si="48"/>
        <v>1</v>
      </c>
      <c r="AF27" s="799">
        <f t="shared" si="48"/>
        <v>1</v>
      </c>
      <c r="AG27" s="799">
        <f t="shared" si="48"/>
        <v>0</v>
      </c>
      <c r="AH27" s="799">
        <f t="shared" si="48"/>
        <v>1</v>
      </c>
      <c r="AL27" s="326" t="s">
        <v>740</v>
      </c>
      <c r="AM27" s="799"/>
      <c r="AN27" s="799">
        <f>IF(AN23&gt;0, IF(AN23&lt;=$D$5, 1, IF(AN23&lt;=2*$D$5,2,3)),0 )</f>
        <v>0</v>
      </c>
      <c r="AO27" s="799">
        <f t="shared" ref="AO27:AT27" si="49">IF(AO23&gt;0, IF(AO23&lt;=$D$5, 1, IF(AO23&lt;=2*$D$5,2,3)),0 )</f>
        <v>1</v>
      </c>
      <c r="AP27" s="799">
        <f t="shared" si="49"/>
        <v>1</v>
      </c>
      <c r="AQ27" s="799">
        <f t="shared" si="49"/>
        <v>0</v>
      </c>
      <c r="AR27" s="799">
        <f t="shared" si="49"/>
        <v>1</v>
      </c>
      <c r="AS27" s="799">
        <f t="shared" si="49"/>
        <v>0</v>
      </c>
      <c r="AT27" s="799">
        <f t="shared" si="49"/>
        <v>1</v>
      </c>
      <c r="AX27" s="326" t="s">
        <v>740</v>
      </c>
      <c r="AY27" s="799"/>
      <c r="AZ27" s="799">
        <f>IF(AZ23&gt;0, IF(AZ23&lt;=$D$5, 1, IF(AZ23&lt;=2*$D$5,2,3)),0 )</f>
        <v>0</v>
      </c>
      <c r="BA27" s="799">
        <f t="shared" ref="BA27:BF27" si="50">IF(BA23&gt;0, IF(BA23&lt;=$D$5, 1, IF(BA23&lt;=2*$D$5,2,3)),0 )</f>
        <v>0</v>
      </c>
      <c r="BB27" s="799">
        <f t="shared" si="50"/>
        <v>0</v>
      </c>
      <c r="BC27" s="799">
        <f t="shared" si="50"/>
        <v>1</v>
      </c>
      <c r="BD27" s="799">
        <f t="shared" si="50"/>
        <v>0</v>
      </c>
      <c r="BE27" s="799">
        <f t="shared" si="50"/>
        <v>0</v>
      </c>
      <c r="BF27" s="799">
        <f t="shared" si="50"/>
        <v>1</v>
      </c>
      <c r="BG27" s="799">
        <f t="shared" ref="BG27:BH27" si="51">IF(BG23&gt;0, IF(BG23&lt;=$D$5, 1, IF(BG23&lt;=2*$D$5,2,3)),0 )</f>
        <v>0</v>
      </c>
      <c r="BH27" s="799">
        <f t="shared" si="51"/>
        <v>0</v>
      </c>
    </row>
    <row r="28" spans="2:60" ht="18" x14ac:dyDescent="0.35">
      <c r="B28" s="517" t="s">
        <v>629</v>
      </c>
      <c r="C28" s="774"/>
      <c r="D28" s="774"/>
      <c r="N28" s="517" t="s">
        <v>629</v>
      </c>
      <c r="O28" s="774"/>
      <c r="P28" s="774"/>
      <c r="Y28" s="517" t="s">
        <v>629</v>
      </c>
      <c r="Z28" s="774"/>
      <c r="AA28" s="774"/>
      <c r="AK28" s="517" t="s">
        <v>629</v>
      </c>
      <c r="AL28" s="774"/>
      <c r="AM28" s="774"/>
      <c r="AW28" s="517" t="s">
        <v>629</v>
      </c>
      <c r="AX28" s="774"/>
      <c r="AY28" s="774"/>
    </row>
    <row r="29" spans="2:60" hidden="1" x14ac:dyDescent="0.3">
      <c r="C29" s="437" t="s">
        <v>600</v>
      </c>
      <c r="D29" s="446">
        <v>20</v>
      </c>
      <c r="F29" s="460"/>
      <c r="L29" s="774"/>
      <c r="O29" s="437" t="s">
        <v>600</v>
      </c>
      <c r="P29" s="446">
        <v>20</v>
      </c>
      <c r="R29" s="460"/>
      <c r="Z29" s="437" t="s">
        <v>600</v>
      </c>
      <c r="AA29" s="446">
        <v>20</v>
      </c>
      <c r="AC29" s="460"/>
      <c r="AL29" s="437" t="s">
        <v>600</v>
      </c>
      <c r="AM29" s="446">
        <v>20</v>
      </c>
      <c r="AO29" s="460"/>
      <c r="AX29" s="437" t="s">
        <v>600</v>
      </c>
      <c r="AY29" s="446">
        <v>20</v>
      </c>
      <c r="BA29" s="460"/>
    </row>
    <row r="30" spans="2:60" ht="14.4" hidden="1" customHeight="1" x14ac:dyDescent="0.3">
      <c r="C30" s="437" t="s">
        <v>601</v>
      </c>
      <c r="D30" s="446">
        <v>10</v>
      </c>
      <c r="L30" s="774"/>
      <c r="O30" s="437" t="s">
        <v>601</v>
      </c>
      <c r="P30" s="446">
        <v>10</v>
      </c>
      <c r="Z30" s="437" t="s">
        <v>601</v>
      </c>
      <c r="AA30" s="446">
        <v>10</v>
      </c>
      <c r="AL30" s="437" t="s">
        <v>601</v>
      </c>
      <c r="AM30" s="446">
        <v>10</v>
      </c>
      <c r="AX30" s="437" t="s">
        <v>601</v>
      </c>
      <c r="AY30" s="446">
        <v>10</v>
      </c>
    </row>
    <row r="31" spans="2:60" ht="14.4" hidden="1" customHeight="1" x14ac:dyDescent="0.3">
      <c r="C31" s="438" t="s">
        <v>602</v>
      </c>
      <c r="D31" s="446">
        <v>0</v>
      </c>
      <c r="L31" s="774"/>
      <c r="O31" s="438" t="s">
        <v>602</v>
      </c>
      <c r="P31" s="446">
        <v>0</v>
      </c>
      <c r="Z31" s="438" t="s">
        <v>602</v>
      </c>
      <c r="AA31" s="446">
        <v>0</v>
      </c>
      <c r="AL31" s="438" t="s">
        <v>602</v>
      </c>
      <c r="AM31" s="446">
        <v>0</v>
      </c>
      <c r="AX31" s="438" t="s">
        <v>602</v>
      </c>
      <c r="AY31" s="446">
        <v>0</v>
      </c>
    </row>
    <row r="32" spans="2:60" ht="14.4" hidden="1" customHeight="1" x14ac:dyDescent="0.3">
      <c r="C32" s="438" t="s">
        <v>603</v>
      </c>
      <c r="D32" s="446">
        <v>0</v>
      </c>
      <c r="L32" s="774"/>
      <c r="O32" s="438" t="s">
        <v>603</v>
      </c>
      <c r="P32" s="446">
        <v>0</v>
      </c>
      <c r="Z32" s="438" t="s">
        <v>603</v>
      </c>
      <c r="AA32" s="446">
        <v>0</v>
      </c>
      <c r="AL32" s="438" t="s">
        <v>603</v>
      </c>
      <c r="AM32" s="446">
        <v>0</v>
      </c>
      <c r="AX32" s="438" t="s">
        <v>603</v>
      </c>
      <c r="AY32" s="446">
        <v>0</v>
      </c>
    </row>
    <row r="33" spans="2:60" ht="14.4" hidden="1" customHeight="1" x14ac:dyDescent="0.3">
      <c r="C33" s="437" t="s">
        <v>639</v>
      </c>
      <c r="D33" s="446">
        <v>0</v>
      </c>
      <c r="O33" s="437" t="s">
        <v>639</v>
      </c>
      <c r="P33" s="446">
        <v>0</v>
      </c>
      <c r="Z33" s="437" t="s">
        <v>639</v>
      </c>
      <c r="AA33" s="446">
        <v>0</v>
      </c>
      <c r="AL33" s="437" t="s">
        <v>639</v>
      </c>
      <c r="AM33" s="446">
        <v>0</v>
      </c>
      <c r="AX33" s="437" t="s">
        <v>639</v>
      </c>
      <c r="AY33" s="446">
        <v>0</v>
      </c>
    </row>
    <row r="34" spans="2:60" ht="14.4" customHeight="1" x14ac:dyDescent="0.3">
      <c r="C34" s="437" t="s">
        <v>739</v>
      </c>
      <c r="D34" s="446">
        <v>4</v>
      </c>
      <c r="E34" s="774" t="s">
        <v>435</v>
      </c>
      <c r="O34" s="437" t="s">
        <v>739</v>
      </c>
      <c r="P34" s="446">
        <v>4</v>
      </c>
      <c r="Q34" s="774" t="s">
        <v>435</v>
      </c>
      <c r="Z34" s="437" t="s">
        <v>739</v>
      </c>
      <c r="AA34" s="446">
        <v>4</v>
      </c>
      <c r="AB34" s="774" t="s">
        <v>435</v>
      </c>
      <c r="AL34" s="437" t="s">
        <v>739</v>
      </c>
      <c r="AM34" s="446">
        <v>4</v>
      </c>
      <c r="AN34" s="774" t="s">
        <v>435</v>
      </c>
      <c r="AX34" s="437" t="s">
        <v>739</v>
      </c>
      <c r="AY34" s="446">
        <v>6</v>
      </c>
      <c r="AZ34" s="774" t="s">
        <v>435</v>
      </c>
    </row>
    <row r="35" spans="2:60" ht="15" customHeight="1" x14ac:dyDescent="0.3">
      <c r="C35" s="437" t="s">
        <v>605</v>
      </c>
      <c r="D35" s="446">
        <v>3</v>
      </c>
      <c r="E35" s="774" t="s">
        <v>435</v>
      </c>
      <c r="O35" s="437" t="s">
        <v>605</v>
      </c>
      <c r="P35" s="446">
        <v>3</v>
      </c>
      <c r="Q35" s="774" t="s">
        <v>435</v>
      </c>
      <c r="Z35" s="437" t="s">
        <v>605</v>
      </c>
      <c r="AA35" s="446">
        <v>3</v>
      </c>
      <c r="AB35" s="774" t="s">
        <v>435</v>
      </c>
      <c r="AL35" s="437" t="s">
        <v>605</v>
      </c>
      <c r="AM35" s="446">
        <v>3</v>
      </c>
      <c r="AN35" s="774" t="s">
        <v>435</v>
      </c>
      <c r="AX35" s="437" t="s">
        <v>605</v>
      </c>
      <c r="AY35" s="446">
        <v>3</v>
      </c>
      <c r="AZ35" s="774" t="s">
        <v>435</v>
      </c>
    </row>
    <row r="36" spans="2:60" ht="15" customHeight="1" thickBot="1" x14ac:dyDescent="0.35">
      <c r="C36" s="437" t="s">
        <v>638</v>
      </c>
      <c r="D36" s="446">
        <v>20</v>
      </c>
      <c r="E36" s="774" t="s">
        <v>435</v>
      </c>
      <c r="O36" s="437" t="s">
        <v>638</v>
      </c>
      <c r="P36" s="446">
        <v>20</v>
      </c>
      <c r="Q36" s="774" t="s">
        <v>435</v>
      </c>
      <c r="Z36" s="437" t="s">
        <v>638</v>
      </c>
      <c r="AA36" s="446">
        <v>20</v>
      </c>
      <c r="AB36" s="774" t="s">
        <v>435</v>
      </c>
      <c r="AL36" s="437" t="s">
        <v>638</v>
      </c>
      <c r="AM36" s="446">
        <v>20</v>
      </c>
      <c r="AN36" s="774" t="s">
        <v>435</v>
      </c>
      <c r="AX36" s="437" t="s">
        <v>638</v>
      </c>
      <c r="AY36" s="446">
        <v>15</v>
      </c>
      <c r="AZ36" s="774" t="s">
        <v>435</v>
      </c>
      <c r="BA36" s="774" t="s">
        <v>455</v>
      </c>
      <c r="BB36" s="774" t="s">
        <v>456</v>
      </c>
      <c r="BC36" s="774" t="s">
        <v>457</v>
      </c>
      <c r="BD36" s="774" t="s">
        <v>458</v>
      </c>
      <c r="BE36" s="778" t="s">
        <v>459</v>
      </c>
      <c r="BF36" s="778" t="s">
        <v>460</v>
      </c>
      <c r="BG36" s="778" t="s">
        <v>461</v>
      </c>
      <c r="BH36" s="778" t="s">
        <v>462</v>
      </c>
    </row>
    <row r="37" spans="2:60" ht="15" customHeight="1" thickBot="1" x14ac:dyDescent="0.35">
      <c r="E37" s="947" t="s">
        <v>319</v>
      </c>
      <c r="F37" s="948"/>
      <c r="G37" s="948"/>
      <c r="H37" s="948"/>
      <c r="I37" s="948"/>
      <c r="J37" s="948"/>
      <c r="K37" s="949"/>
      <c r="Q37" s="947" t="s">
        <v>319</v>
      </c>
      <c r="R37" s="948"/>
      <c r="S37" s="948"/>
      <c r="T37" s="948"/>
      <c r="U37" s="948"/>
      <c r="V37" s="948"/>
      <c r="W37" s="949"/>
      <c r="AB37" s="947" t="s">
        <v>319</v>
      </c>
      <c r="AC37" s="948"/>
      <c r="AD37" s="948"/>
      <c r="AE37" s="948"/>
      <c r="AF37" s="948"/>
      <c r="AG37" s="948"/>
      <c r="AH37" s="949"/>
      <c r="AN37" s="947" t="s">
        <v>319</v>
      </c>
      <c r="AO37" s="948"/>
      <c r="AP37" s="948"/>
      <c r="AQ37" s="948"/>
      <c r="AR37" s="948"/>
      <c r="AS37" s="948"/>
      <c r="AT37" s="949"/>
      <c r="AZ37" s="950" t="s">
        <v>319</v>
      </c>
      <c r="BA37" s="951"/>
      <c r="BB37" s="951"/>
      <c r="BC37" s="951"/>
      <c r="BD37" s="951"/>
      <c r="BE37" s="951"/>
      <c r="BF37" s="951"/>
      <c r="BG37" s="951"/>
      <c r="BH37" s="951"/>
    </row>
    <row r="38" spans="2:60" ht="15" thickBot="1" x14ac:dyDescent="0.35">
      <c r="B38" s="481"/>
      <c r="D38" s="608" t="s">
        <v>606</v>
      </c>
      <c r="E38" s="782" t="s">
        <v>49</v>
      </c>
      <c r="F38" s="783" t="s">
        <v>50</v>
      </c>
      <c r="G38" s="783" t="s">
        <v>51</v>
      </c>
      <c r="H38" s="783" t="s">
        <v>308</v>
      </c>
      <c r="I38" s="783" t="s">
        <v>309</v>
      </c>
      <c r="J38" s="783" t="s">
        <v>310</v>
      </c>
      <c r="K38" s="784" t="s">
        <v>311</v>
      </c>
      <c r="N38" s="481"/>
      <c r="P38" s="608" t="s">
        <v>606</v>
      </c>
      <c r="Q38" s="782" t="s">
        <v>49</v>
      </c>
      <c r="R38" s="783" t="s">
        <v>50</v>
      </c>
      <c r="S38" s="783" t="s">
        <v>51</v>
      </c>
      <c r="T38" s="783" t="s">
        <v>308</v>
      </c>
      <c r="U38" s="783" t="s">
        <v>309</v>
      </c>
      <c r="V38" s="783" t="s">
        <v>310</v>
      </c>
      <c r="W38" s="784" t="s">
        <v>311</v>
      </c>
      <c r="Y38" s="481"/>
      <c r="AA38" s="608" t="s">
        <v>606</v>
      </c>
      <c r="AB38" s="782" t="s">
        <v>49</v>
      </c>
      <c r="AC38" s="783" t="s">
        <v>50</v>
      </c>
      <c r="AD38" s="783" t="s">
        <v>51</v>
      </c>
      <c r="AE38" s="783" t="s">
        <v>308</v>
      </c>
      <c r="AF38" s="783" t="s">
        <v>309</v>
      </c>
      <c r="AG38" s="783" t="s">
        <v>310</v>
      </c>
      <c r="AH38" s="784" t="s">
        <v>311</v>
      </c>
      <c r="AK38" s="481"/>
      <c r="AM38" s="608" t="s">
        <v>606</v>
      </c>
      <c r="AN38" s="782" t="s">
        <v>49</v>
      </c>
      <c r="AO38" s="783" t="s">
        <v>50</v>
      </c>
      <c r="AP38" s="783" t="s">
        <v>51</v>
      </c>
      <c r="AQ38" s="783" t="s">
        <v>308</v>
      </c>
      <c r="AR38" s="783" t="s">
        <v>309</v>
      </c>
      <c r="AS38" s="783" t="s">
        <v>310</v>
      </c>
      <c r="AT38" s="784" t="s">
        <v>311</v>
      </c>
      <c r="AW38" s="481"/>
      <c r="AY38" s="608" t="s">
        <v>606</v>
      </c>
      <c r="AZ38" s="782" t="s">
        <v>49</v>
      </c>
      <c r="BA38" s="783" t="s">
        <v>50</v>
      </c>
      <c r="BB38" s="783" t="s">
        <v>51</v>
      </c>
      <c r="BC38" s="783" t="s">
        <v>308</v>
      </c>
      <c r="BD38" s="783" t="s">
        <v>309</v>
      </c>
      <c r="BE38" s="783" t="s">
        <v>310</v>
      </c>
      <c r="BF38" s="783" t="s">
        <v>311</v>
      </c>
      <c r="BG38" s="783" t="s">
        <v>312</v>
      </c>
      <c r="BH38" s="783" t="s">
        <v>313</v>
      </c>
    </row>
    <row r="39" spans="2:60" x14ac:dyDescent="0.3">
      <c r="C39" s="514" t="s">
        <v>620</v>
      </c>
      <c r="D39" s="444"/>
      <c r="E39" s="786">
        <v>3</v>
      </c>
      <c r="F39" s="787">
        <v>4</v>
      </c>
      <c r="G39" s="787">
        <v>1</v>
      </c>
      <c r="H39" s="787">
        <v>4</v>
      </c>
      <c r="I39" s="787">
        <v>2</v>
      </c>
      <c r="J39" s="787">
        <v>1</v>
      </c>
      <c r="K39" s="788">
        <v>3</v>
      </c>
      <c r="O39" s="514" t="s">
        <v>620</v>
      </c>
      <c r="P39" s="444"/>
      <c r="Q39" s="786">
        <v>3</v>
      </c>
      <c r="R39" s="787">
        <v>4</v>
      </c>
      <c r="S39" s="787">
        <v>1</v>
      </c>
      <c r="T39" s="787">
        <v>4</v>
      </c>
      <c r="U39" s="787">
        <v>0</v>
      </c>
      <c r="V39" s="787">
        <v>1</v>
      </c>
      <c r="W39" s="788">
        <v>3</v>
      </c>
      <c r="Z39" s="514" t="s">
        <v>620</v>
      </c>
      <c r="AA39" s="444"/>
      <c r="AB39" s="786">
        <v>3</v>
      </c>
      <c r="AC39" s="787">
        <v>4</v>
      </c>
      <c r="AD39" s="787">
        <v>1</v>
      </c>
      <c r="AE39" s="787">
        <v>4</v>
      </c>
      <c r="AF39" s="787">
        <v>0</v>
      </c>
      <c r="AG39" s="787">
        <v>1</v>
      </c>
      <c r="AH39" s="788">
        <v>3</v>
      </c>
      <c r="AL39" s="514" t="s">
        <v>620</v>
      </c>
      <c r="AM39" s="444"/>
      <c r="AN39" s="786">
        <v>3</v>
      </c>
      <c r="AO39" s="787">
        <v>4</v>
      </c>
      <c r="AP39" s="787">
        <v>1</v>
      </c>
      <c r="AQ39" s="787">
        <v>4</v>
      </c>
      <c r="AR39" s="787">
        <v>2</v>
      </c>
      <c r="AS39" s="787">
        <v>1</v>
      </c>
      <c r="AT39" s="788">
        <v>3</v>
      </c>
      <c r="AX39" s="514" t="s">
        <v>620</v>
      </c>
      <c r="AY39" s="444"/>
      <c r="AZ39" s="786">
        <v>1</v>
      </c>
      <c r="BA39" s="787">
        <v>0</v>
      </c>
      <c r="BB39" s="787">
        <v>0</v>
      </c>
      <c r="BC39" s="787">
        <v>1</v>
      </c>
      <c r="BD39" s="787">
        <v>0</v>
      </c>
      <c r="BE39" s="787">
        <v>1</v>
      </c>
      <c r="BF39" s="857">
        <v>0</v>
      </c>
      <c r="BG39" s="787">
        <v>0</v>
      </c>
      <c r="BH39" s="888">
        <v>0</v>
      </c>
    </row>
    <row r="40" spans="2:60" ht="15" thickBot="1" x14ac:dyDescent="0.35">
      <c r="C40" s="515" t="s">
        <v>608</v>
      </c>
      <c r="D40" s="448"/>
      <c r="E40" s="790">
        <f t="shared" ref="E40:K40" si="52">SUM(E39:E39)</f>
        <v>3</v>
      </c>
      <c r="F40" s="791">
        <f t="shared" si="52"/>
        <v>4</v>
      </c>
      <c r="G40" s="791">
        <f t="shared" si="52"/>
        <v>1</v>
      </c>
      <c r="H40" s="791">
        <f t="shared" si="52"/>
        <v>4</v>
      </c>
      <c r="I40" s="791">
        <f t="shared" si="52"/>
        <v>2</v>
      </c>
      <c r="J40" s="791">
        <f t="shared" si="52"/>
        <v>1</v>
      </c>
      <c r="K40" s="792">
        <f t="shared" si="52"/>
        <v>3</v>
      </c>
      <c r="O40" s="515" t="s">
        <v>608</v>
      </c>
      <c r="P40" s="448"/>
      <c r="Q40" s="790">
        <f t="shared" ref="Q40:W40" si="53">SUM(Q39:Q39)</f>
        <v>3</v>
      </c>
      <c r="R40" s="791">
        <f t="shared" si="53"/>
        <v>4</v>
      </c>
      <c r="S40" s="791">
        <f t="shared" si="53"/>
        <v>1</v>
      </c>
      <c r="T40" s="791">
        <f t="shared" si="53"/>
        <v>4</v>
      </c>
      <c r="U40" s="791">
        <f t="shared" si="53"/>
        <v>0</v>
      </c>
      <c r="V40" s="791">
        <f t="shared" si="53"/>
        <v>1</v>
      </c>
      <c r="W40" s="792">
        <f t="shared" si="53"/>
        <v>3</v>
      </c>
      <c r="Z40" s="515" t="s">
        <v>608</v>
      </c>
      <c r="AA40" s="448"/>
      <c r="AB40" s="790">
        <f t="shared" ref="AB40:AH40" si="54">SUM(AB39:AB39)</f>
        <v>3</v>
      </c>
      <c r="AC40" s="791">
        <f t="shared" si="54"/>
        <v>4</v>
      </c>
      <c r="AD40" s="791">
        <f t="shared" si="54"/>
        <v>1</v>
      </c>
      <c r="AE40" s="791">
        <f t="shared" si="54"/>
        <v>4</v>
      </c>
      <c r="AF40" s="791">
        <f t="shared" si="54"/>
        <v>0</v>
      </c>
      <c r="AG40" s="791">
        <f t="shared" si="54"/>
        <v>1</v>
      </c>
      <c r="AH40" s="792">
        <f t="shared" si="54"/>
        <v>3</v>
      </c>
      <c r="AL40" s="515" t="s">
        <v>608</v>
      </c>
      <c r="AM40" s="448"/>
      <c r="AN40" s="790">
        <f t="shared" ref="AN40:AT40" si="55">SUM(AN39:AN39)</f>
        <v>3</v>
      </c>
      <c r="AO40" s="791">
        <f t="shared" si="55"/>
        <v>4</v>
      </c>
      <c r="AP40" s="791">
        <f t="shared" si="55"/>
        <v>1</v>
      </c>
      <c r="AQ40" s="791">
        <f t="shared" si="55"/>
        <v>4</v>
      </c>
      <c r="AR40" s="791">
        <f t="shared" si="55"/>
        <v>2</v>
      </c>
      <c r="AS40" s="791">
        <f t="shared" si="55"/>
        <v>1</v>
      </c>
      <c r="AT40" s="792">
        <f t="shared" si="55"/>
        <v>3</v>
      </c>
      <c r="AX40" s="515" t="s">
        <v>608</v>
      </c>
      <c r="AY40" s="448"/>
      <c r="AZ40" s="790">
        <f t="shared" ref="AZ40:BF40" si="56">SUM(AZ39:AZ39)</f>
        <v>1</v>
      </c>
      <c r="BA40" s="791">
        <f t="shared" si="56"/>
        <v>0</v>
      </c>
      <c r="BB40" s="791">
        <f t="shared" si="56"/>
        <v>0</v>
      </c>
      <c r="BC40" s="791">
        <f t="shared" si="56"/>
        <v>1</v>
      </c>
      <c r="BD40" s="791">
        <f t="shared" si="56"/>
        <v>0</v>
      </c>
      <c r="BE40" s="791">
        <f t="shared" si="56"/>
        <v>1</v>
      </c>
      <c r="BF40" s="858">
        <f t="shared" si="56"/>
        <v>0</v>
      </c>
      <c r="BG40" s="791">
        <f t="shared" ref="BG40:BH40" si="57">SUM(BG39:BG39)</f>
        <v>0</v>
      </c>
      <c r="BH40" s="889">
        <f t="shared" si="57"/>
        <v>0</v>
      </c>
    </row>
    <row r="41" spans="2:60" x14ac:dyDescent="0.3">
      <c r="C41" s="489" t="s">
        <v>651</v>
      </c>
      <c r="D41" s="452"/>
      <c r="E41" s="793">
        <v>0</v>
      </c>
      <c r="F41" s="794">
        <v>0</v>
      </c>
      <c r="G41" s="454"/>
      <c r="H41" s="454"/>
      <c r="I41" s="454"/>
      <c r="J41" s="454"/>
      <c r="K41" s="455"/>
      <c r="O41" s="489" t="s">
        <v>651</v>
      </c>
      <c r="P41" s="452"/>
      <c r="Q41" s="793">
        <v>0</v>
      </c>
      <c r="R41" s="794">
        <v>0</v>
      </c>
      <c r="S41" s="454"/>
      <c r="T41" s="454"/>
      <c r="U41" s="454"/>
      <c r="V41" s="454"/>
      <c r="W41" s="455"/>
      <c r="Z41" s="489" t="s">
        <v>651</v>
      </c>
      <c r="AA41" s="452"/>
      <c r="AB41" s="793">
        <v>0</v>
      </c>
      <c r="AC41" s="794">
        <v>0</v>
      </c>
      <c r="AD41" s="454"/>
      <c r="AE41" s="454"/>
      <c r="AF41" s="454"/>
      <c r="AG41" s="454"/>
      <c r="AH41" s="455"/>
      <c r="AL41" s="489" t="s">
        <v>651</v>
      </c>
      <c r="AM41" s="452"/>
      <c r="AN41" s="793">
        <v>0</v>
      </c>
      <c r="AO41" s="794">
        <v>0</v>
      </c>
      <c r="AP41" s="454"/>
      <c r="AQ41" s="454"/>
      <c r="AR41" s="454"/>
      <c r="AS41" s="454"/>
      <c r="AT41" s="455"/>
      <c r="AX41" s="489" t="s">
        <v>651</v>
      </c>
      <c r="AY41" s="577"/>
      <c r="AZ41" s="793">
        <v>0</v>
      </c>
      <c r="BA41" s="794">
        <v>0</v>
      </c>
      <c r="BB41" s="454"/>
      <c r="BC41" s="454"/>
      <c r="BD41" s="454"/>
      <c r="BE41" s="454"/>
      <c r="BF41" s="540"/>
      <c r="BG41" s="454"/>
      <c r="BH41" s="533"/>
    </row>
    <row r="42" spans="2:60" x14ac:dyDescent="0.3">
      <c r="C42" s="492" t="s">
        <v>617</v>
      </c>
      <c r="D42" s="457">
        <v>4</v>
      </c>
      <c r="E42" s="461">
        <f t="shared" ref="E42:K42" si="58">D42+E41+E44-E40</f>
        <v>5</v>
      </c>
      <c r="F42" s="458">
        <f t="shared" si="58"/>
        <v>5</v>
      </c>
      <c r="G42" s="458">
        <f t="shared" si="58"/>
        <v>4</v>
      </c>
      <c r="H42" s="458">
        <f t="shared" si="58"/>
        <v>4</v>
      </c>
      <c r="I42" s="458">
        <f t="shared" si="58"/>
        <v>6</v>
      </c>
      <c r="J42" s="458">
        <f t="shared" si="58"/>
        <v>5</v>
      </c>
      <c r="K42" s="459">
        <f t="shared" si="58"/>
        <v>6</v>
      </c>
      <c r="M42" s="460"/>
      <c r="O42" s="492" t="s">
        <v>617</v>
      </c>
      <c r="P42" s="457">
        <v>4</v>
      </c>
      <c r="Q42" s="461">
        <f t="shared" ref="Q42:W42" si="59">P42+Q41+Q44-Q40</f>
        <v>5</v>
      </c>
      <c r="R42" s="458">
        <f t="shared" si="59"/>
        <v>5</v>
      </c>
      <c r="S42" s="458">
        <f t="shared" si="59"/>
        <v>4</v>
      </c>
      <c r="T42" s="458">
        <f t="shared" si="59"/>
        <v>4</v>
      </c>
      <c r="U42" s="458">
        <f t="shared" si="59"/>
        <v>4</v>
      </c>
      <c r="V42" s="458">
        <f t="shared" si="59"/>
        <v>3</v>
      </c>
      <c r="W42" s="459">
        <f t="shared" si="59"/>
        <v>4</v>
      </c>
      <c r="Z42" s="492" t="s">
        <v>617</v>
      </c>
      <c r="AA42" s="457">
        <v>4</v>
      </c>
      <c r="AB42" s="461">
        <f t="shared" ref="AB42:AH42" si="60">AA42+AB41+AB44-AB40</f>
        <v>5</v>
      </c>
      <c r="AC42" s="458">
        <f t="shared" si="60"/>
        <v>5</v>
      </c>
      <c r="AD42" s="458">
        <f t="shared" si="60"/>
        <v>4</v>
      </c>
      <c r="AE42" s="458">
        <f t="shared" si="60"/>
        <v>4</v>
      </c>
      <c r="AF42" s="458">
        <f t="shared" si="60"/>
        <v>4</v>
      </c>
      <c r="AG42" s="458">
        <f t="shared" si="60"/>
        <v>3</v>
      </c>
      <c r="AH42" s="459">
        <f t="shared" si="60"/>
        <v>4</v>
      </c>
      <c r="AL42" s="492" t="s">
        <v>617</v>
      </c>
      <c r="AM42" s="457">
        <v>4</v>
      </c>
      <c r="AN42" s="461">
        <f t="shared" ref="AN42:AT42" si="61">AM42+AN41+AN44-AN40</f>
        <v>5</v>
      </c>
      <c r="AO42" s="458">
        <f t="shared" si="61"/>
        <v>5</v>
      </c>
      <c r="AP42" s="458">
        <f t="shared" si="61"/>
        <v>4</v>
      </c>
      <c r="AQ42" s="458">
        <f t="shared" si="61"/>
        <v>4</v>
      </c>
      <c r="AR42" s="458">
        <f t="shared" si="61"/>
        <v>6</v>
      </c>
      <c r="AS42" s="458">
        <f t="shared" si="61"/>
        <v>5</v>
      </c>
      <c r="AT42" s="459">
        <f t="shared" si="61"/>
        <v>6</v>
      </c>
      <c r="AX42" s="492" t="s">
        <v>617</v>
      </c>
      <c r="AY42" s="578">
        <v>4</v>
      </c>
      <c r="AZ42" s="461">
        <f t="shared" ref="AZ42:BE42" si="62">AY42+AZ41+AZ44-AZ40</f>
        <v>3</v>
      </c>
      <c r="BA42" s="458">
        <f t="shared" si="62"/>
        <v>3</v>
      </c>
      <c r="BB42" s="458">
        <f t="shared" si="62"/>
        <v>3</v>
      </c>
      <c r="BC42" s="458">
        <f t="shared" si="62"/>
        <v>8</v>
      </c>
      <c r="BD42" s="458">
        <f t="shared" si="62"/>
        <v>8</v>
      </c>
      <c r="BE42" s="458">
        <f t="shared" si="62"/>
        <v>7</v>
      </c>
      <c r="BF42" s="528">
        <f>BE42+BF41+BF44-BF40</f>
        <v>7</v>
      </c>
      <c r="BG42" s="458">
        <f>BF42+BG41+BG44-BG40</f>
        <v>7</v>
      </c>
      <c r="BH42" s="530">
        <f>BG42+BH41+BH44-BH40</f>
        <v>7</v>
      </c>
    </row>
    <row r="43" spans="2:60" x14ac:dyDescent="0.3">
      <c r="B43" s="40"/>
      <c r="C43" s="492" t="s">
        <v>642</v>
      </c>
      <c r="D43" s="461"/>
      <c r="E43" s="461">
        <f t="shared" ref="E43:K43" si="63">IF(D42-E40+E41&lt;=$D$35, E40-E41-D42+$D$35,0)</f>
        <v>2</v>
      </c>
      <c r="F43" s="458">
        <f t="shared" si="63"/>
        <v>2</v>
      </c>
      <c r="G43" s="458">
        <f t="shared" si="63"/>
        <v>0</v>
      </c>
      <c r="H43" s="458">
        <f t="shared" si="63"/>
        <v>3</v>
      </c>
      <c r="I43" s="458">
        <f t="shared" si="63"/>
        <v>1</v>
      </c>
      <c r="J43" s="458">
        <f t="shared" si="63"/>
        <v>0</v>
      </c>
      <c r="K43" s="459">
        <f t="shared" si="63"/>
        <v>1</v>
      </c>
      <c r="M43" s="460"/>
      <c r="N43" s="40"/>
      <c r="O43" s="492" t="s">
        <v>642</v>
      </c>
      <c r="P43" s="461"/>
      <c r="Q43" s="461">
        <f t="shared" ref="Q43:W43" si="64">IF(P42-Q40+Q41&lt;=$D$35, Q40-Q41-P42+$D$35,0)</f>
        <v>2</v>
      </c>
      <c r="R43" s="458">
        <f t="shared" si="64"/>
        <v>2</v>
      </c>
      <c r="S43" s="458">
        <f t="shared" si="64"/>
        <v>0</v>
      </c>
      <c r="T43" s="458">
        <f t="shared" si="64"/>
        <v>3</v>
      </c>
      <c r="U43" s="458">
        <f t="shared" si="64"/>
        <v>0</v>
      </c>
      <c r="V43" s="458">
        <f t="shared" si="64"/>
        <v>0</v>
      </c>
      <c r="W43" s="459">
        <f t="shared" si="64"/>
        <v>3</v>
      </c>
      <c r="Y43" s="40"/>
      <c r="Z43" s="492" t="s">
        <v>642</v>
      </c>
      <c r="AA43" s="461"/>
      <c r="AB43" s="461">
        <f t="shared" ref="AB43:AH43" si="65">IF(AA42-AB40+AB41&lt;=$D$35, AB40-AB41-AA42+$D$35,0)</f>
        <v>2</v>
      </c>
      <c r="AC43" s="458">
        <f t="shared" si="65"/>
        <v>2</v>
      </c>
      <c r="AD43" s="458">
        <f t="shared" si="65"/>
        <v>0</v>
      </c>
      <c r="AE43" s="458">
        <f t="shared" si="65"/>
        <v>3</v>
      </c>
      <c r="AF43" s="458">
        <f t="shared" si="65"/>
        <v>0</v>
      </c>
      <c r="AG43" s="458">
        <f t="shared" si="65"/>
        <v>0</v>
      </c>
      <c r="AH43" s="459">
        <f t="shared" si="65"/>
        <v>3</v>
      </c>
      <c r="AK43" s="40"/>
      <c r="AL43" s="492" t="s">
        <v>642</v>
      </c>
      <c r="AM43" s="461"/>
      <c r="AN43" s="461">
        <f t="shared" ref="AN43:AT43" si="66">IF(AM42-AN40+AN41&lt;=$D$35, AN40-AN41-AM42+$D$35,0)</f>
        <v>2</v>
      </c>
      <c r="AO43" s="458">
        <f t="shared" si="66"/>
        <v>2</v>
      </c>
      <c r="AP43" s="458">
        <f t="shared" si="66"/>
        <v>0</v>
      </c>
      <c r="AQ43" s="458">
        <f t="shared" si="66"/>
        <v>3</v>
      </c>
      <c r="AR43" s="458">
        <f t="shared" si="66"/>
        <v>1</v>
      </c>
      <c r="AS43" s="458">
        <f t="shared" si="66"/>
        <v>0</v>
      </c>
      <c r="AT43" s="459">
        <f t="shared" si="66"/>
        <v>1</v>
      </c>
      <c r="AW43" s="40"/>
      <c r="AX43" s="492" t="s">
        <v>642</v>
      </c>
      <c r="AY43" s="795"/>
      <c r="AZ43" s="461">
        <f>IF(AY42-AZ40+AZ41&lt;=$AY$35, AZ40-AZ41-AY42+$AY$35,0)</f>
        <v>0</v>
      </c>
      <c r="BA43" s="458">
        <f t="shared" ref="BA43:BE43" si="67">IF(AZ42-BA40+BA41&lt;=$AY$35, BA40-BA41-AZ42+$AY$35,0)</f>
        <v>0</v>
      </c>
      <c r="BB43" s="458">
        <f t="shared" si="67"/>
        <v>0</v>
      </c>
      <c r="BC43" s="458">
        <f t="shared" si="67"/>
        <v>1</v>
      </c>
      <c r="BD43" s="458">
        <f t="shared" si="67"/>
        <v>0</v>
      </c>
      <c r="BE43" s="458">
        <f t="shared" si="67"/>
        <v>0</v>
      </c>
      <c r="BF43" s="528">
        <f>IF(BE42-BF40+BF41&lt;=$AY$35, BF40-BF41-BE42+$AY$35,0)</f>
        <v>0</v>
      </c>
      <c r="BG43" s="458">
        <f>IF(BF42-BG40+BG41&lt;=$AY$35, BG40-BG41-BF42+$AY$35,0)</f>
        <v>0</v>
      </c>
      <c r="BH43" s="530">
        <f>IF(BG42-BH40+BH41&lt;=$AY$35, BH40-BH41-BG42+$AY$35,0)</f>
        <v>0</v>
      </c>
    </row>
    <row r="44" spans="2:60" x14ac:dyDescent="0.3">
      <c r="C44" s="496" t="s">
        <v>647</v>
      </c>
      <c r="D44" s="461"/>
      <c r="E44" s="461">
        <f t="shared" ref="E44:K44" si="68" xml:space="preserve"> CEILING(E43/$D$34,1)*$D$34</f>
        <v>4</v>
      </c>
      <c r="F44" s="458">
        <f t="shared" si="68"/>
        <v>4</v>
      </c>
      <c r="G44" s="458">
        <f t="shared" si="68"/>
        <v>0</v>
      </c>
      <c r="H44" s="458">
        <f t="shared" si="68"/>
        <v>4</v>
      </c>
      <c r="I44" s="458">
        <f t="shared" si="68"/>
        <v>4</v>
      </c>
      <c r="J44" s="458">
        <f t="shared" si="68"/>
        <v>0</v>
      </c>
      <c r="K44" s="459">
        <f t="shared" si="68"/>
        <v>4</v>
      </c>
      <c r="O44" s="496" t="s">
        <v>647</v>
      </c>
      <c r="P44" s="461"/>
      <c r="Q44" s="461">
        <f t="shared" ref="Q44:W44" si="69" xml:space="preserve"> CEILING(Q43/$D$34,1)*$D$34</f>
        <v>4</v>
      </c>
      <c r="R44" s="458">
        <f t="shared" si="69"/>
        <v>4</v>
      </c>
      <c r="S44" s="458">
        <f t="shared" si="69"/>
        <v>0</v>
      </c>
      <c r="T44" s="458">
        <f t="shared" si="69"/>
        <v>4</v>
      </c>
      <c r="U44" s="458">
        <f t="shared" si="69"/>
        <v>0</v>
      </c>
      <c r="V44" s="458">
        <f t="shared" si="69"/>
        <v>0</v>
      </c>
      <c r="W44" s="459">
        <f t="shared" si="69"/>
        <v>4</v>
      </c>
      <c r="Z44" s="496" t="s">
        <v>647</v>
      </c>
      <c r="AA44" s="461"/>
      <c r="AB44" s="461">
        <f t="shared" ref="AB44:AH44" si="70" xml:space="preserve"> CEILING(AB43/$D$34,1)*$D$34</f>
        <v>4</v>
      </c>
      <c r="AC44" s="458">
        <f t="shared" si="70"/>
        <v>4</v>
      </c>
      <c r="AD44" s="458">
        <f t="shared" si="70"/>
        <v>0</v>
      </c>
      <c r="AE44" s="458">
        <f t="shared" si="70"/>
        <v>4</v>
      </c>
      <c r="AF44" s="458">
        <f t="shared" si="70"/>
        <v>0</v>
      </c>
      <c r="AG44" s="458">
        <f t="shared" si="70"/>
        <v>0</v>
      </c>
      <c r="AH44" s="459">
        <f t="shared" si="70"/>
        <v>4</v>
      </c>
      <c r="AL44" s="496" t="s">
        <v>647</v>
      </c>
      <c r="AM44" s="461"/>
      <c r="AN44" s="461">
        <f t="shared" ref="AN44:AT44" si="71" xml:space="preserve"> CEILING(AN43/$D$34,1)*$D$34</f>
        <v>4</v>
      </c>
      <c r="AO44" s="458">
        <f t="shared" si="71"/>
        <v>4</v>
      </c>
      <c r="AP44" s="458">
        <f t="shared" si="71"/>
        <v>0</v>
      </c>
      <c r="AQ44" s="458">
        <f t="shared" si="71"/>
        <v>4</v>
      </c>
      <c r="AR44" s="458">
        <f t="shared" si="71"/>
        <v>4</v>
      </c>
      <c r="AS44" s="458">
        <f t="shared" si="71"/>
        <v>0</v>
      </c>
      <c r="AT44" s="459">
        <f t="shared" si="71"/>
        <v>4</v>
      </c>
      <c r="AX44" s="496" t="s">
        <v>647</v>
      </c>
      <c r="AY44" s="795"/>
      <c r="AZ44" s="461">
        <f xml:space="preserve"> CEILING(AZ43/$AY$34,1)*$AY$34</f>
        <v>0</v>
      </c>
      <c r="BA44" s="458">
        <f t="shared" ref="BA44:BF44" si="72" xml:space="preserve"> CEILING(BA43/$AY$34,1)*$AY$34</f>
        <v>0</v>
      </c>
      <c r="BB44" s="458">
        <f t="shared" si="72"/>
        <v>0</v>
      </c>
      <c r="BC44" s="458">
        <f t="shared" si="72"/>
        <v>6</v>
      </c>
      <c r="BD44" s="458">
        <f t="shared" si="72"/>
        <v>0</v>
      </c>
      <c r="BE44" s="458">
        <f t="shared" si="72"/>
        <v>0</v>
      </c>
      <c r="BF44" s="528">
        <f t="shared" si="72"/>
        <v>0</v>
      </c>
      <c r="BG44" s="458">
        <f t="shared" ref="BG44:BH44" si="73" xml:space="preserve"> CEILING(BG43/$AY$34,1)*$AY$34</f>
        <v>0</v>
      </c>
      <c r="BH44" s="530">
        <f t="shared" si="73"/>
        <v>0</v>
      </c>
    </row>
    <row r="45" spans="2:60" ht="15" thickBot="1" x14ac:dyDescent="0.35">
      <c r="C45" s="571" t="s">
        <v>652</v>
      </c>
      <c r="D45" s="463"/>
      <c r="E45" s="463">
        <f>E44</f>
        <v>4</v>
      </c>
      <c r="F45" s="464">
        <f t="shared" ref="F45:K45" si="74">F44</f>
        <v>4</v>
      </c>
      <c r="G45" s="464">
        <f t="shared" si="74"/>
        <v>0</v>
      </c>
      <c r="H45" s="464">
        <f t="shared" si="74"/>
        <v>4</v>
      </c>
      <c r="I45" s="464">
        <f t="shared" si="74"/>
        <v>4</v>
      </c>
      <c r="J45" s="464">
        <f t="shared" si="74"/>
        <v>0</v>
      </c>
      <c r="K45" s="465">
        <f t="shared" si="74"/>
        <v>4</v>
      </c>
      <c r="O45" s="571" t="s">
        <v>652</v>
      </c>
      <c r="P45" s="463"/>
      <c r="Q45" s="463">
        <f>Q44</f>
        <v>4</v>
      </c>
      <c r="R45" s="464">
        <f t="shared" ref="R45:W45" si="75">R44</f>
        <v>4</v>
      </c>
      <c r="S45" s="464">
        <f t="shared" si="75"/>
        <v>0</v>
      </c>
      <c r="T45" s="464">
        <f t="shared" si="75"/>
        <v>4</v>
      </c>
      <c r="U45" s="464">
        <f t="shared" si="75"/>
        <v>0</v>
      </c>
      <c r="V45" s="464">
        <f t="shared" si="75"/>
        <v>0</v>
      </c>
      <c r="W45" s="465">
        <f t="shared" si="75"/>
        <v>4</v>
      </c>
      <c r="Z45" s="571" t="s">
        <v>652</v>
      </c>
      <c r="AA45" s="463"/>
      <c r="AB45" s="463">
        <f>AB44</f>
        <v>4</v>
      </c>
      <c r="AC45" s="464">
        <f t="shared" ref="AC45:AH45" si="76">AC44</f>
        <v>4</v>
      </c>
      <c r="AD45" s="464">
        <f t="shared" si="76"/>
        <v>0</v>
      </c>
      <c r="AE45" s="464">
        <f t="shared" si="76"/>
        <v>4</v>
      </c>
      <c r="AF45" s="464">
        <f t="shared" si="76"/>
        <v>0</v>
      </c>
      <c r="AG45" s="464">
        <f t="shared" si="76"/>
        <v>0</v>
      </c>
      <c r="AH45" s="465">
        <f t="shared" si="76"/>
        <v>4</v>
      </c>
      <c r="AL45" s="571" t="s">
        <v>652</v>
      </c>
      <c r="AM45" s="463"/>
      <c r="AN45" s="463">
        <f>AN44</f>
        <v>4</v>
      </c>
      <c r="AO45" s="464">
        <f t="shared" ref="AO45:AT45" si="77">AO44</f>
        <v>4</v>
      </c>
      <c r="AP45" s="464">
        <f t="shared" si="77"/>
        <v>0</v>
      </c>
      <c r="AQ45" s="464">
        <f t="shared" si="77"/>
        <v>4</v>
      </c>
      <c r="AR45" s="464">
        <f t="shared" si="77"/>
        <v>4</v>
      </c>
      <c r="AS45" s="464">
        <f t="shared" si="77"/>
        <v>0</v>
      </c>
      <c r="AT45" s="465">
        <f t="shared" si="77"/>
        <v>4</v>
      </c>
      <c r="AX45" s="571" t="s">
        <v>652</v>
      </c>
      <c r="AY45" s="580"/>
      <c r="AZ45" s="463">
        <f>AZ44</f>
        <v>0</v>
      </c>
      <c r="BA45" s="464">
        <f t="shared" ref="BA45:BF45" si="78">BA44</f>
        <v>0</v>
      </c>
      <c r="BB45" s="464">
        <f t="shared" si="78"/>
        <v>0</v>
      </c>
      <c r="BC45" s="464">
        <f t="shared" si="78"/>
        <v>6</v>
      </c>
      <c r="BD45" s="464">
        <f t="shared" si="78"/>
        <v>0</v>
      </c>
      <c r="BE45" s="464">
        <f t="shared" si="78"/>
        <v>0</v>
      </c>
      <c r="BF45" s="541">
        <f t="shared" si="78"/>
        <v>0</v>
      </c>
      <c r="BG45" s="464">
        <f t="shared" ref="BG45:BH45" si="79">BG44</f>
        <v>0</v>
      </c>
      <c r="BH45" s="890">
        <f t="shared" si="79"/>
        <v>0</v>
      </c>
    </row>
    <row r="46" spans="2:60" hidden="1" x14ac:dyDescent="0.3">
      <c r="C46" s="466" t="s">
        <v>612</v>
      </c>
      <c r="D46" s="467"/>
      <c r="E46" s="468">
        <f t="shared" ref="E46:K46" si="80">QUOTIENT(MOD(E45+$D$30-1,$D$29),$D$30)</f>
        <v>1</v>
      </c>
      <c r="F46" s="468">
        <f t="shared" si="80"/>
        <v>1</v>
      </c>
      <c r="G46" s="468">
        <f t="shared" si="80"/>
        <v>0</v>
      </c>
      <c r="H46" s="468">
        <f t="shared" si="80"/>
        <v>1</v>
      </c>
      <c r="I46" s="468">
        <f t="shared" si="80"/>
        <v>1</v>
      </c>
      <c r="J46" s="468">
        <f t="shared" si="80"/>
        <v>0</v>
      </c>
      <c r="K46" s="468">
        <f t="shared" si="80"/>
        <v>1</v>
      </c>
      <c r="O46" s="466" t="s">
        <v>612</v>
      </c>
      <c r="P46" s="467"/>
      <c r="Q46" s="468">
        <f t="shared" ref="Q46:W46" si="81">QUOTIENT(MOD(Q45+$D$30-1,$D$29),$D$30)</f>
        <v>1</v>
      </c>
      <c r="R46" s="468">
        <f t="shared" si="81"/>
        <v>1</v>
      </c>
      <c r="S46" s="468">
        <f t="shared" si="81"/>
        <v>0</v>
      </c>
      <c r="T46" s="468">
        <f t="shared" si="81"/>
        <v>1</v>
      </c>
      <c r="U46" s="468">
        <f t="shared" si="81"/>
        <v>0</v>
      </c>
      <c r="V46" s="468">
        <f t="shared" si="81"/>
        <v>0</v>
      </c>
      <c r="W46" s="468">
        <f t="shared" si="81"/>
        <v>1</v>
      </c>
      <c r="Z46" s="466" t="s">
        <v>612</v>
      </c>
      <c r="AA46" s="467"/>
      <c r="AB46" s="468">
        <f t="shared" ref="AB46:AH46" si="82">QUOTIENT(MOD(AB45+$D$30-1,$D$29),$D$30)</f>
        <v>1</v>
      </c>
      <c r="AC46" s="468">
        <f t="shared" si="82"/>
        <v>1</v>
      </c>
      <c r="AD46" s="468">
        <f t="shared" si="82"/>
        <v>0</v>
      </c>
      <c r="AE46" s="468">
        <f t="shared" si="82"/>
        <v>1</v>
      </c>
      <c r="AF46" s="468">
        <f t="shared" si="82"/>
        <v>0</v>
      </c>
      <c r="AG46" s="468">
        <f t="shared" si="82"/>
        <v>0</v>
      </c>
      <c r="AH46" s="468">
        <f t="shared" si="82"/>
        <v>1</v>
      </c>
      <c r="AL46" s="466" t="s">
        <v>612</v>
      </c>
      <c r="AM46" s="467"/>
      <c r="AN46" s="468">
        <f t="shared" ref="AN46:AT46" si="83">QUOTIENT(MOD(AN45+$D$30-1,$D$29),$D$30)</f>
        <v>1</v>
      </c>
      <c r="AO46" s="468">
        <f t="shared" si="83"/>
        <v>1</v>
      </c>
      <c r="AP46" s="468">
        <f t="shared" si="83"/>
        <v>0</v>
      </c>
      <c r="AQ46" s="468">
        <f t="shared" si="83"/>
        <v>1</v>
      </c>
      <c r="AR46" s="468">
        <f t="shared" si="83"/>
        <v>1</v>
      </c>
      <c r="AS46" s="468">
        <f t="shared" si="83"/>
        <v>0</v>
      </c>
      <c r="AT46" s="468">
        <f t="shared" si="83"/>
        <v>1</v>
      </c>
      <c r="AX46" s="466" t="s">
        <v>612</v>
      </c>
      <c r="AY46" s="467"/>
      <c r="AZ46" s="586">
        <f t="shared" ref="AZ46:BF46" si="84">QUOTIENT(MOD(AZ45+$D$30-1,$D$29),$D$30)</f>
        <v>0</v>
      </c>
      <c r="BA46" s="586">
        <f t="shared" si="84"/>
        <v>0</v>
      </c>
      <c r="BB46" s="586">
        <f t="shared" si="84"/>
        <v>0</v>
      </c>
      <c r="BC46" s="586">
        <f t="shared" si="84"/>
        <v>1</v>
      </c>
      <c r="BD46" s="586">
        <f t="shared" si="84"/>
        <v>0</v>
      </c>
      <c r="BE46" s="586">
        <f t="shared" si="84"/>
        <v>0</v>
      </c>
      <c r="BF46" s="586">
        <f t="shared" si="84"/>
        <v>0</v>
      </c>
      <c r="BG46" s="586">
        <f t="shared" ref="BG46:BH46" si="85">QUOTIENT(MOD(BG45+$D$30-1,$D$29),$D$30)</f>
        <v>0</v>
      </c>
      <c r="BH46" s="586">
        <f t="shared" si="85"/>
        <v>0</v>
      </c>
    </row>
    <row r="47" spans="2:60" hidden="1" x14ac:dyDescent="0.3">
      <c r="B47" s="40"/>
      <c r="C47" s="470" t="s">
        <v>613</v>
      </c>
      <c r="D47" s="482"/>
      <c r="E47" s="472">
        <f t="shared" ref="E47:K47" si="86">QUOTIENT(E45+$D$30-1,$D$29)</f>
        <v>0</v>
      </c>
      <c r="F47" s="472">
        <f t="shared" si="86"/>
        <v>0</v>
      </c>
      <c r="G47" s="472">
        <f t="shared" si="86"/>
        <v>0</v>
      </c>
      <c r="H47" s="472">
        <f t="shared" si="86"/>
        <v>0</v>
      </c>
      <c r="I47" s="472">
        <f t="shared" si="86"/>
        <v>0</v>
      </c>
      <c r="J47" s="472">
        <f t="shared" si="86"/>
        <v>0</v>
      </c>
      <c r="K47" s="472">
        <f t="shared" si="86"/>
        <v>0</v>
      </c>
      <c r="N47" s="40"/>
      <c r="O47" s="470" t="s">
        <v>613</v>
      </c>
      <c r="P47" s="482"/>
      <c r="Q47" s="472">
        <f t="shared" ref="Q47:W47" si="87">QUOTIENT(Q45+$D$30-1,$D$29)</f>
        <v>0</v>
      </c>
      <c r="R47" s="472">
        <f t="shared" si="87"/>
        <v>0</v>
      </c>
      <c r="S47" s="472">
        <f t="shared" si="87"/>
        <v>0</v>
      </c>
      <c r="T47" s="472">
        <f t="shared" si="87"/>
        <v>0</v>
      </c>
      <c r="U47" s="472">
        <f t="shared" si="87"/>
        <v>0</v>
      </c>
      <c r="V47" s="472">
        <f t="shared" si="87"/>
        <v>0</v>
      </c>
      <c r="W47" s="472">
        <f t="shared" si="87"/>
        <v>0</v>
      </c>
      <c r="Y47" s="40"/>
      <c r="Z47" s="470" t="s">
        <v>613</v>
      </c>
      <c r="AA47" s="482"/>
      <c r="AB47" s="472">
        <f t="shared" ref="AB47:AH47" si="88">QUOTIENT(AB45+$D$30-1,$D$29)</f>
        <v>0</v>
      </c>
      <c r="AC47" s="472">
        <f t="shared" si="88"/>
        <v>0</v>
      </c>
      <c r="AD47" s="472">
        <f t="shared" si="88"/>
        <v>0</v>
      </c>
      <c r="AE47" s="472">
        <f t="shared" si="88"/>
        <v>0</v>
      </c>
      <c r="AF47" s="472">
        <f t="shared" si="88"/>
        <v>0</v>
      </c>
      <c r="AG47" s="472">
        <f t="shared" si="88"/>
        <v>0</v>
      </c>
      <c r="AH47" s="472">
        <f t="shared" si="88"/>
        <v>0</v>
      </c>
      <c r="AK47" s="40"/>
      <c r="AL47" s="470" t="s">
        <v>613</v>
      </c>
      <c r="AM47" s="482"/>
      <c r="AN47" s="472">
        <f t="shared" ref="AN47:AT47" si="89">QUOTIENT(AN45+$D$30-1,$D$29)</f>
        <v>0</v>
      </c>
      <c r="AO47" s="472">
        <f t="shared" si="89"/>
        <v>0</v>
      </c>
      <c r="AP47" s="472">
        <f t="shared" si="89"/>
        <v>0</v>
      </c>
      <c r="AQ47" s="472">
        <f t="shared" si="89"/>
        <v>0</v>
      </c>
      <c r="AR47" s="472">
        <f t="shared" si="89"/>
        <v>0</v>
      </c>
      <c r="AS47" s="472">
        <f t="shared" si="89"/>
        <v>0</v>
      </c>
      <c r="AT47" s="472">
        <f t="shared" si="89"/>
        <v>0</v>
      </c>
      <c r="AW47" s="40"/>
      <c r="AX47" s="470" t="s">
        <v>613</v>
      </c>
      <c r="AY47" s="482"/>
      <c r="AZ47" s="472">
        <f t="shared" ref="AZ47:BF47" si="90">QUOTIENT(AZ45+$D$30-1,$D$29)</f>
        <v>0</v>
      </c>
      <c r="BA47" s="472">
        <f t="shared" si="90"/>
        <v>0</v>
      </c>
      <c r="BB47" s="472">
        <f t="shared" si="90"/>
        <v>0</v>
      </c>
      <c r="BC47" s="472">
        <f t="shared" si="90"/>
        <v>0</v>
      </c>
      <c r="BD47" s="472">
        <f t="shared" si="90"/>
        <v>0</v>
      </c>
      <c r="BE47" s="472">
        <f t="shared" si="90"/>
        <v>0</v>
      </c>
      <c r="BF47" s="472">
        <f t="shared" si="90"/>
        <v>0</v>
      </c>
      <c r="BG47" s="472">
        <f t="shared" ref="BG47:BH47" si="91">QUOTIENT(BG45+$D$30-1,$D$29)</f>
        <v>0</v>
      </c>
      <c r="BH47" s="472">
        <f t="shared" si="91"/>
        <v>0</v>
      </c>
    </row>
    <row r="48" spans="2:60" ht="15" hidden="1" thickBot="1" x14ac:dyDescent="0.35">
      <c r="C48" s="516" t="s">
        <v>614</v>
      </c>
      <c r="D48" s="474"/>
      <c r="E48" s="475" t="e">
        <f>IF($L$48="Choosing Supplier 1", E47*#REF!+E46*#REF!,E47*#REF!+E46*#REF!)</f>
        <v>#REF!</v>
      </c>
      <c r="F48" s="475" t="e">
        <f>IF($L$48="Choosing Supplier 1", F47*#REF!+F46*#REF!,F47*#REF!+F46*#REF!)</f>
        <v>#REF!</v>
      </c>
      <c r="G48" s="475" t="e">
        <f>IF($L$48="Choosing Supplier 1", G47*#REF!+G46*#REF!,G47*#REF!+G46*#REF!)</f>
        <v>#REF!</v>
      </c>
      <c r="H48" s="475" t="e">
        <f>IF($L$48="Choosing Supplier 1", H47*#REF!+H46*#REF!,H47*#REF!+H46*#REF!)</f>
        <v>#REF!</v>
      </c>
      <c r="I48" s="475" t="e">
        <f>IF($L$48="Choosing Supplier 1", I47*#REF!+I46*#REF!,I47*#REF!+I46*#REF!)</f>
        <v>#REF!</v>
      </c>
      <c r="J48" s="475" t="e">
        <f>IF($L$48="Choosing Supplier 1", J47*#REF!+J46*#REF!,J47*#REF!+J46*#REF!)</f>
        <v>#REF!</v>
      </c>
      <c r="K48" s="475" t="e">
        <f>IF($L$48="Choosing Supplier 1", K47*#REF!+K46*#REF!,K47*#REF!+K46*#REF!)</f>
        <v>#REF!</v>
      </c>
      <c r="L48" s="477" t="e">
        <f>IF(#REF!&lt;#REF!,IF($D$145="Yes","Choosing Supplier 1","Choosing Supplier 2"),IF(#REF!="Yes","Choosing Supplier 2","Choosing Supplier 1"))</f>
        <v>#REF!</v>
      </c>
      <c r="M48" t="s">
        <v>615</v>
      </c>
      <c r="O48" s="516" t="s">
        <v>614</v>
      </c>
      <c r="P48" s="474"/>
      <c r="Q48" s="475" t="e">
        <f>IF($L$48="Choosing Supplier 1", Q47*#REF!+Q46*#REF!,Q47*#REF!+Q46*#REF!)</f>
        <v>#REF!</v>
      </c>
      <c r="R48" s="475" t="e">
        <f>IF($L$48="Choosing Supplier 1", R47*#REF!+R46*#REF!,R47*#REF!+R46*#REF!)</f>
        <v>#REF!</v>
      </c>
      <c r="S48" s="475" t="e">
        <f>IF($L$48="Choosing Supplier 1", S47*#REF!+S46*#REF!,S47*#REF!+S46*#REF!)</f>
        <v>#REF!</v>
      </c>
      <c r="T48" s="475" t="e">
        <f>IF($L$48="Choosing Supplier 1", T47*#REF!+T46*#REF!,T47*#REF!+T46*#REF!)</f>
        <v>#REF!</v>
      </c>
      <c r="U48" s="475" t="e">
        <f>IF($L$48="Choosing Supplier 1", U47*#REF!+U46*#REF!,U47*#REF!+U46*#REF!)</f>
        <v>#REF!</v>
      </c>
      <c r="V48" s="475" t="e">
        <f>IF($L$48="Choosing Supplier 1", V47*#REF!+V46*#REF!,V47*#REF!+V46*#REF!)</f>
        <v>#REF!</v>
      </c>
      <c r="W48" s="475" t="e">
        <f>IF($L$48="Choosing Supplier 1", W47*#REF!+W46*#REF!,W47*#REF!+W46*#REF!)</f>
        <v>#REF!</v>
      </c>
      <c r="Z48" s="516" t="s">
        <v>614</v>
      </c>
      <c r="AA48" s="474"/>
      <c r="AB48" s="475" t="e">
        <f>IF($L$48="Choosing Supplier 1", AB47*#REF!+AB46*#REF!,AB47*#REF!+AB46*#REF!)</f>
        <v>#REF!</v>
      </c>
      <c r="AC48" s="475" t="e">
        <f>IF($L$48="Choosing Supplier 1", AC47*#REF!+AC46*#REF!,AC47*#REF!+AC46*#REF!)</f>
        <v>#REF!</v>
      </c>
      <c r="AD48" s="475" t="e">
        <f>IF($L$48="Choosing Supplier 1", AD47*#REF!+AD46*#REF!,AD47*#REF!+AD46*#REF!)</f>
        <v>#REF!</v>
      </c>
      <c r="AE48" s="475" t="e">
        <f>IF($L$48="Choosing Supplier 1", AE47*#REF!+AE46*#REF!,AE47*#REF!+AE46*#REF!)</f>
        <v>#REF!</v>
      </c>
      <c r="AF48" s="475" t="e">
        <f>IF($L$48="Choosing Supplier 1", AF47*#REF!+AF46*#REF!,AF47*#REF!+AF46*#REF!)</f>
        <v>#REF!</v>
      </c>
      <c r="AG48" s="475" t="e">
        <f>IF($L$48="Choosing Supplier 1", AG47*#REF!+AG46*#REF!,AG47*#REF!+AG46*#REF!)</f>
        <v>#REF!</v>
      </c>
      <c r="AH48" s="475" t="e">
        <f>IF($L$48="Choosing Supplier 1", AH47*#REF!+AH46*#REF!,AH47*#REF!+AH46*#REF!)</f>
        <v>#REF!</v>
      </c>
      <c r="AL48" s="516" t="s">
        <v>614</v>
      </c>
      <c r="AM48" s="474"/>
      <c r="AN48" s="475" t="e">
        <f>IF($L$48="Choosing Supplier 1", AN47*#REF!+AN46*#REF!,AN47*#REF!+AN46*#REF!)</f>
        <v>#REF!</v>
      </c>
      <c r="AO48" s="475" t="e">
        <f>IF($L$48="Choosing Supplier 1", AO47*#REF!+AO46*#REF!,AO47*#REF!+AO46*#REF!)</f>
        <v>#REF!</v>
      </c>
      <c r="AP48" s="475" t="e">
        <f>IF($L$48="Choosing Supplier 1", AP47*#REF!+AP46*#REF!,AP47*#REF!+AP46*#REF!)</f>
        <v>#REF!</v>
      </c>
      <c r="AQ48" s="475" t="e">
        <f>IF($L$48="Choosing Supplier 1", AQ47*#REF!+AQ46*#REF!,AQ47*#REF!+AQ46*#REF!)</f>
        <v>#REF!</v>
      </c>
      <c r="AR48" s="475" t="e">
        <f>IF($L$48="Choosing Supplier 1", AR47*#REF!+AR46*#REF!,AR47*#REF!+AR46*#REF!)</f>
        <v>#REF!</v>
      </c>
      <c r="AS48" s="475" t="e">
        <f>IF($L$48="Choosing Supplier 1", AS47*#REF!+AS46*#REF!,AS47*#REF!+AS46*#REF!)</f>
        <v>#REF!</v>
      </c>
      <c r="AT48" s="475" t="e">
        <f>IF($L$48="Choosing Supplier 1", AT47*#REF!+AT46*#REF!,AT47*#REF!+AT46*#REF!)</f>
        <v>#REF!</v>
      </c>
      <c r="AX48" s="516" t="s">
        <v>614</v>
      </c>
      <c r="AY48" s="474"/>
      <c r="AZ48" s="475" t="e">
        <f>IF($L$48="Choosing Supplier 1", AZ47*#REF!+AZ46*#REF!,AZ47*#REF!+AZ46*#REF!)</f>
        <v>#REF!</v>
      </c>
      <c r="BA48" s="475" t="e">
        <f>IF($L$48="Choosing Supplier 1", BA47*#REF!+BA46*#REF!,BA47*#REF!+BA46*#REF!)</f>
        <v>#REF!</v>
      </c>
      <c r="BB48" s="475" t="e">
        <f>IF($L$48="Choosing Supplier 1", BB47*#REF!+BB46*#REF!,BB47*#REF!+BB46*#REF!)</f>
        <v>#REF!</v>
      </c>
      <c r="BC48" s="475" t="e">
        <f>IF($L$48="Choosing Supplier 1", BC47*#REF!+BC46*#REF!,BC47*#REF!+BC46*#REF!)</f>
        <v>#REF!</v>
      </c>
      <c r="BD48" s="475" t="e">
        <f>IF($L$48="Choosing Supplier 1", BD47*#REF!+BD46*#REF!,BD47*#REF!+BD46*#REF!)</f>
        <v>#REF!</v>
      </c>
      <c r="BE48" s="475" t="e">
        <f>IF($L$48="Choosing Supplier 1", BE47*#REF!+BE46*#REF!,BE47*#REF!+BE46*#REF!)</f>
        <v>#REF!</v>
      </c>
      <c r="BF48" s="475" t="e">
        <f>IF($L$48="Choosing Supplier 1", BF47*#REF!+BF46*#REF!,BF47*#REF!+BF46*#REF!)</f>
        <v>#REF!</v>
      </c>
      <c r="BG48" s="475" t="e">
        <f>IF($L$48="Choosing Supplier 1", BG47*#REF!+BG46*#REF!,BG47*#REF!+BG46*#REF!)</f>
        <v>#REF!</v>
      </c>
      <c r="BH48" s="475" t="e">
        <f>IF($L$48="Choosing Supplier 1", BH47*#REF!+BH46*#REF!,BH47*#REF!+BH46*#REF!)</f>
        <v>#REF!</v>
      </c>
    </row>
    <row r="49" spans="2:60" x14ac:dyDescent="0.3">
      <c r="C49" s="326" t="s">
        <v>740</v>
      </c>
      <c r="D49" s="799"/>
      <c r="E49" s="799">
        <f>IF(E45&gt;0, IF(E45&lt;=$D$5, 1, IF(E45&lt;=2*$D$5,2,3)),0 )</f>
        <v>1</v>
      </c>
      <c r="F49" s="799">
        <f t="shared" ref="F49:K49" si="92">IF(F45&gt;0, IF(F45&lt;=$D$5, 1, IF(F45&lt;=2*$D$5,2,3)),0 )</f>
        <v>1</v>
      </c>
      <c r="G49" s="799">
        <f t="shared" si="92"/>
        <v>0</v>
      </c>
      <c r="H49" s="799">
        <f t="shared" si="92"/>
        <v>1</v>
      </c>
      <c r="I49" s="799">
        <f t="shared" si="92"/>
        <v>1</v>
      </c>
      <c r="J49" s="799">
        <f t="shared" si="92"/>
        <v>0</v>
      </c>
      <c r="K49" s="799">
        <f t="shared" si="92"/>
        <v>1</v>
      </c>
      <c r="O49" s="326" t="s">
        <v>740</v>
      </c>
      <c r="P49" s="799"/>
      <c r="Q49" s="799">
        <f>IF(Q45&gt;0, IF(Q45&lt;=$D$5, 1, IF(Q45&lt;=2*$D$5,2,3)),0 )</f>
        <v>1</v>
      </c>
      <c r="R49" s="799">
        <f t="shared" ref="R49:W49" si="93">IF(R45&gt;0, IF(R45&lt;=$D$5, 1, IF(R45&lt;=2*$D$5,2,3)),0 )</f>
        <v>1</v>
      </c>
      <c r="S49" s="799">
        <f t="shared" si="93"/>
        <v>0</v>
      </c>
      <c r="T49" s="799">
        <f t="shared" si="93"/>
        <v>1</v>
      </c>
      <c r="U49" s="799">
        <f t="shared" si="93"/>
        <v>0</v>
      </c>
      <c r="V49" s="799">
        <f t="shared" si="93"/>
        <v>0</v>
      </c>
      <c r="W49" s="799">
        <f t="shared" si="93"/>
        <v>1</v>
      </c>
      <c r="Z49" s="326" t="s">
        <v>740</v>
      </c>
      <c r="AA49" s="799"/>
      <c r="AB49" s="799">
        <f>IF(AB45&gt;0, IF(AB45&lt;=$D$5, 1, IF(AB45&lt;=2*$D$5,2,3)),0 )</f>
        <v>1</v>
      </c>
      <c r="AC49" s="799">
        <f t="shared" ref="AC49:AH49" si="94">IF(AC45&gt;0, IF(AC45&lt;=$D$5, 1, IF(AC45&lt;=2*$D$5,2,3)),0 )</f>
        <v>1</v>
      </c>
      <c r="AD49" s="799">
        <f t="shared" si="94"/>
        <v>0</v>
      </c>
      <c r="AE49" s="799">
        <f t="shared" si="94"/>
        <v>1</v>
      </c>
      <c r="AF49" s="799">
        <f t="shared" si="94"/>
        <v>0</v>
      </c>
      <c r="AG49" s="799">
        <f t="shared" si="94"/>
        <v>0</v>
      </c>
      <c r="AH49" s="799">
        <f t="shared" si="94"/>
        <v>1</v>
      </c>
      <c r="AL49" s="326" t="s">
        <v>740</v>
      </c>
      <c r="AM49" s="799"/>
      <c r="AN49" s="799">
        <f>IF(AN45&gt;0, IF(AN45&lt;=$D$5, 1, IF(AN45&lt;=2*$D$5,2,3)),0 )</f>
        <v>1</v>
      </c>
      <c r="AO49" s="799">
        <f t="shared" ref="AO49:AT49" si="95">IF(AO45&gt;0, IF(AO45&lt;=$D$5, 1, IF(AO45&lt;=2*$D$5,2,3)),0 )</f>
        <v>1</v>
      </c>
      <c r="AP49" s="799">
        <f t="shared" si="95"/>
        <v>0</v>
      </c>
      <c r="AQ49" s="799">
        <f t="shared" si="95"/>
        <v>1</v>
      </c>
      <c r="AR49" s="799">
        <f t="shared" si="95"/>
        <v>1</v>
      </c>
      <c r="AS49" s="799">
        <f t="shared" si="95"/>
        <v>0</v>
      </c>
      <c r="AT49" s="799">
        <f t="shared" si="95"/>
        <v>1</v>
      </c>
      <c r="AX49" s="326" t="s">
        <v>740</v>
      </c>
      <c r="AY49" s="799"/>
      <c r="AZ49" s="799">
        <f>IF(AZ45&gt;0, IF(AZ45&lt;=$D$5, 1, IF(AZ45&lt;=2*$D$5,2,3)),0 )</f>
        <v>0</v>
      </c>
      <c r="BA49" s="799">
        <f t="shared" ref="BA49:BF49" si="96">IF(BA45&gt;0, IF(BA45&lt;=$D$5, 1, IF(BA45&lt;=2*$D$5,2,3)),0 )</f>
        <v>0</v>
      </c>
      <c r="BB49" s="799">
        <f t="shared" si="96"/>
        <v>0</v>
      </c>
      <c r="BC49" s="799">
        <f t="shared" si="96"/>
        <v>1</v>
      </c>
      <c r="BD49" s="799">
        <f t="shared" si="96"/>
        <v>0</v>
      </c>
      <c r="BE49" s="799">
        <f t="shared" si="96"/>
        <v>0</v>
      </c>
      <c r="BF49" s="799">
        <f t="shared" si="96"/>
        <v>0</v>
      </c>
      <c r="BG49" s="799">
        <f t="shared" ref="BG49:BH49" si="97">IF(BG45&gt;0, IF(BG45&lt;=$D$5, 1, IF(BG45&lt;=2*$D$5,2,3)),0 )</f>
        <v>0</v>
      </c>
      <c r="BH49" s="799">
        <f t="shared" si="97"/>
        <v>0</v>
      </c>
    </row>
    <row r="50" spans="2:60" x14ac:dyDescent="0.3">
      <c r="D50" s="774"/>
      <c r="P50" s="774"/>
      <c r="AA50" s="774"/>
      <c r="AM50" s="774"/>
      <c r="AY50" s="774"/>
    </row>
    <row r="51" spans="2:60" ht="18" x14ac:dyDescent="0.35">
      <c r="B51" s="517" t="s">
        <v>630</v>
      </c>
      <c r="D51" s="774"/>
      <c r="N51" s="517" t="s">
        <v>630</v>
      </c>
      <c r="P51" s="774"/>
      <c r="Y51" s="517" t="s">
        <v>630</v>
      </c>
      <c r="AA51" s="774"/>
      <c r="AK51" s="517" t="s">
        <v>630</v>
      </c>
      <c r="AM51" s="774"/>
      <c r="AW51" s="517" t="s">
        <v>630</v>
      </c>
      <c r="AY51" s="774"/>
    </row>
    <row r="52" spans="2:60" hidden="1" x14ac:dyDescent="0.3">
      <c r="C52" s="437" t="s">
        <v>600</v>
      </c>
      <c r="D52" s="479">
        <v>20</v>
      </c>
      <c r="O52" s="437" t="s">
        <v>600</v>
      </c>
      <c r="P52" s="479">
        <v>20</v>
      </c>
      <c r="Z52" s="437" t="s">
        <v>600</v>
      </c>
      <c r="AA52" s="479">
        <v>20</v>
      </c>
      <c r="AL52" s="437" t="s">
        <v>600</v>
      </c>
      <c r="AM52" s="479">
        <v>20</v>
      </c>
      <c r="AX52" s="437" t="s">
        <v>600</v>
      </c>
      <c r="AY52" s="479">
        <v>20</v>
      </c>
    </row>
    <row r="53" spans="2:60" ht="14.4" hidden="1" customHeight="1" x14ac:dyDescent="0.3">
      <c r="C53" s="437" t="s">
        <v>601</v>
      </c>
      <c r="D53" s="479">
        <v>10</v>
      </c>
      <c r="O53" s="437" t="s">
        <v>601</v>
      </c>
      <c r="P53" s="479">
        <v>10</v>
      </c>
      <c r="Z53" s="437" t="s">
        <v>601</v>
      </c>
      <c r="AA53" s="479">
        <v>10</v>
      </c>
      <c r="AL53" s="437" t="s">
        <v>601</v>
      </c>
      <c r="AM53" s="479">
        <v>10</v>
      </c>
      <c r="AX53" s="437" t="s">
        <v>601</v>
      </c>
      <c r="AY53" s="479">
        <v>10</v>
      </c>
    </row>
    <row r="54" spans="2:60" ht="14.4" hidden="1" customHeight="1" x14ac:dyDescent="0.3">
      <c r="C54" s="438" t="s">
        <v>602</v>
      </c>
      <c r="D54" s="480">
        <v>20</v>
      </c>
      <c r="O54" s="438" t="s">
        <v>602</v>
      </c>
      <c r="P54" s="480">
        <v>20</v>
      </c>
      <c r="Z54" s="438" t="s">
        <v>602</v>
      </c>
      <c r="AA54" s="480">
        <v>20</v>
      </c>
      <c r="AL54" s="438" t="s">
        <v>602</v>
      </c>
      <c r="AM54" s="480">
        <v>20</v>
      </c>
      <c r="AX54" s="438" t="s">
        <v>602</v>
      </c>
      <c r="AY54" s="480">
        <v>20</v>
      </c>
    </row>
    <row r="55" spans="2:60" ht="14.4" hidden="1" customHeight="1" x14ac:dyDescent="0.3">
      <c r="C55" s="438" t="s">
        <v>603</v>
      </c>
      <c r="D55" s="480">
        <v>10</v>
      </c>
      <c r="O55" s="438" t="s">
        <v>603</v>
      </c>
      <c r="P55" s="480">
        <v>10</v>
      </c>
      <c r="Z55" s="438" t="s">
        <v>603</v>
      </c>
      <c r="AA55" s="480">
        <v>10</v>
      </c>
      <c r="AL55" s="438" t="s">
        <v>603</v>
      </c>
      <c r="AM55" s="480">
        <v>10</v>
      </c>
      <c r="AX55" s="438" t="s">
        <v>603</v>
      </c>
      <c r="AY55" s="480">
        <v>10</v>
      </c>
    </row>
    <row r="56" spans="2:60" ht="14.4" hidden="1" customHeight="1" x14ac:dyDescent="0.3">
      <c r="C56" s="437" t="s">
        <v>639</v>
      </c>
      <c r="D56" s="446">
        <v>0</v>
      </c>
      <c r="O56" s="437" t="s">
        <v>639</v>
      </c>
      <c r="P56" s="446">
        <v>0</v>
      </c>
      <c r="Z56" s="437" t="s">
        <v>639</v>
      </c>
      <c r="AA56" s="446">
        <v>0</v>
      </c>
      <c r="AL56" s="437" t="s">
        <v>639</v>
      </c>
      <c r="AM56" s="446">
        <v>0</v>
      </c>
      <c r="AX56" s="437" t="s">
        <v>639</v>
      </c>
      <c r="AY56" s="446">
        <v>0</v>
      </c>
    </row>
    <row r="57" spans="2:60" ht="14.4" customHeight="1" x14ac:dyDescent="0.3">
      <c r="C57" s="437" t="s">
        <v>739</v>
      </c>
      <c r="D57" s="446">
        <v>5</v>
      </c>
      <c r="E57" s="774" t="s">
        <v>435</v>
      </c>
      <c r="O57" s="437" t="s">
        <v>739</v>
      </c>
      <c r="P57" s="446">
        <v>5</v>
      </c>
      <c r="Q57" s="774" t="s">
        <v>435</v>
      </c>
      <c r="Z57" s="437" t="s">
        <v>739</v>
      </c>
      <c r="AA57" s="446">
        <v>5</v>
      </c>
      <c r="AB57" s="774" t="s">
        <v>435</v>
      </c>
      <c r="AL57" s="437" t="s">
        <v>739</v>
      </c>
      <c r="AM57" s="446">
        <v>5</v>
      </c>
      <c r="AN57" s="774" t="s">
        <v>435</v>
      </c>
      <c r="AX57" s="437" t="s">
        <v>739</v>
      </c>
      <c r="AY57" s="446">
        <v>5</v>
      </c>
      <c r="AZ57" s="774" t="s">
        <v>435</v>
      </c>
    </row>
    <row r="58" spans="2:60" ht="15" customHeight="1" x14ac:dyDescent="0.3">
      <c r="C58" s="437" t="s">
        <v>605</v>
      </c>
      <c r="D58" s="446">
        <v>2</v>
      </c>
      <c r="E58" s="774" t="s">
        <v>435</v>
      </c>
      <c r="O58" s="437" t="s">
        <v>605</v>
      </c>
      <c r="P58" s="446">
        <v>2</v>
      </c>
      <c r="Q58" s="774" t="s">
        <v>435</v>
      </c>
      <c r="Z58" s="437" t="s">
        <v>605</v>
      </c>
      <c r="AA58" s="446">
        <v>2</v>
      </c>
      <c r="AB58" s="774" t="s">
        <v>435</v>
      </c>
      <c r="AL58" s="437" t="s">
        <v>605</v>
      </c>
      <c r="AM58" s="446">
        <v>2</v>
      </c>
      <c r="AN58" s="774" t="s">
        <v>435</v>
      </c>
      <c r="AX58" s="437" t="s">
        <v>605</v>
      </c>
      <c r="AY58" s="446">
        <v>2</v>
      </c>
      <c r="AZ58" s="774" t="s">
        <v>435</v>
      </c>
    </row>
    <row r="59" spans="2:60" ht="15" customHeight="1" thickBot="1" x14ac:dyDescent="0.35">
      <c r="C59" s="437" t="s">
        <v>638</v>
      </c>
      <c r="D59" s="446">
        <v>10</v>
      </c>
      <c r="E59" s="774" t="s">
        <v>435</v>
      </c>
      <c r="O59" s="437" t="s">
        <v>638</v>
      </c>
      <c r="P59" s="446">
        <v>10</v>
      </c>
      <c r="Q59" s="774" t="s">
        <v>435</v>
      </c>
      <c r="Z59" s="437" t="s">
        <v>638</v>
      </c>
      <c r="AA59" s="446">
        <v>10</v>
      </c>
      <c r="AB59" s="774" t="s">
        <v>435</v>
      </c>
      <c r="AL59" s="437" t="s">
        <v>638</v>
      </c>
      <c r="AM59" s="446">
        <v>10</v>
      </c>
      <c r="AN59" s="774" t="s">
        <v>435</v>
      </c>
      <c r="AX59" s="437" t="s">
        <v>638</v>
      </c>
      <c r="AY59" s="446">
        <v>10</v>
      </c>
      <c r="AZ59" s="774" t="s">
        <v>435</v>
      </c>
      <c r="BA59" s="774" t="s">
        <v>455</v>
      </c>
      <c r="BB59" s="774" t="s">
        <v>456</v>
      </c>
      <c r="BC59" s="774" t="s">
        <v>457</v>
      </c>
      <c r="BD59" s="774" t="s">
        <v>458</v>
      </c>
      <c r="BE59" s="778" t="s">
        <v>459</v>
      </c>
      <c r="BF59" s="778" t="s">
        <v>460</v>
      </c>
      <c r="BG59" s="778" t="s">
        <v>461</v>
      </c>
      <c r="BH59" s="778" t="s">
        <v>462</v>
      </c>
    </row>
    <row r="60" spans="2:60" ht="15" customHeight="1" thickBot="1" x14ac:dyDescent="0.35">
      <c r="E60" s="947" t="s">
        <v>319</v>
      </c>
      <c r="F60" s="948"/>
      <c r="G60" s="948"/>
      <c r="H60" s="948"/>
      <c r="I60" s="948"/>
      <c r="J60" s="948"/>
      <c r="K60" s="949"/>
      <c r="Q60" s="947" t="s">
        <v>319</v>
      </c>
      <c r="R60" s="948"/>
      <c r="S60" s="948"/>
      <c r="T60" s="948"/>
      <c r="U60" s="948"/>
      <c r="V60" s="948"/>
      <c r="W60" s="949"/>
      <c r="AB60" s="947" t="s">
        <v>319</v>
      </c>
      <c r="AC60" s="948"/>
      <c r="AD60" s="948"/>
      <c r="AE60" s="948"/>
      <c r="AF60" s="948"/>
      <c r="AG60" s="948"/>
      <c r="AH60" s="949"/>
      <c r="AN60" s="947" t="s">
        <v>319</v>
      </c>
      <c r="AO60" s="948"/>
      <c r="AP60" s="948"/>
      <c r="AQ60" s="948"/>
      <c r="AR60" s="948"/>
      <c r="AS60" s="948"/>
      <c r="AT60" s="949"/>
      <c r="AZ60" s="950" t="s">
        <v>319</v>
      </c>
      <c r="BA60" s="951"/>
      <c r="BB60" s="951"/>
      <c r="BC60" s="951"/>
      <c r="BD60" s="951"/>
      <c r="BE60" s="951"/>
      <c r="BF60" s="951"/>
      <c r="BG60" s="951"/>
      <c r="BH60" s="951"/>
    </row>
    <row r="61" spans="2:60" ht="15" thickBot="1" x14ac:dyDescent="0.35">
      <c r="D61" s="608" t="s">
        <v>606</v>
      </c>
      <c r="E61" s="782" t="s">
        <v>49</v>
      </c>
      <c r="F61" s="783" t="s">
        <v>50</v>
      </c>
      <c r="G61" s="783" t="s">
        <v>51</v>
      </c>
      <c r="H61" s="783" t="s">
        <v>308</v>
      </c>
      <c r="I61" s="783" t="s">
        <v>309</v>
      </c>
      <c r="J61" s="783" t="s">
        <v>310</v>
      </c>
      <c r="K61" s="784" t="s">
        <v>311</v>
      </c>
      <c r="P61" s="608" t="s">
        <v>606</v>
      </c>
      <c r="Q61" s="782" t="s">
        <v>49</v>
      </c>
      <c r="R61" s="783" t="s">
        <v>50</v>
      </c>
      <c r="S61" s="783" t="s">
        <v>51</v>
      </c>
      <c r="T61" s="783" t="s">
        <v>308</v>
      </c>
      <c r="U61" s="783" t="s">
        <v>309</v>
      </c>
      <c r="V61" s="783" t="s">
        <v>310</v>
      </c>
      <c r="W61" s="784" t="s">
        <v>311</v>
      </c>
      <c r="AA61" s="608" t="s">
        <v>606</v>
      </c>
      <c r="AB61" s="782" t="s">
        <v>49</v>
      </c>
      <c r="AC61" s="783" t="s">
        <v>50</v>
      </c>
      <c r="AD61" s="783" t="s">
        <v>51</v>
      </c>
      <c r="AE61" s="783" t="s">
        <v>308</v>
      </c>
      <c r="AF61" s="783" t="s">
        <v>309</v>
      </c>
      <c r="AG61" s="783" t="s">
        <v>310</v>
      </c>
      <c r="AH61" s="784" t="s">
        <v>311</v>
      </c>
      <c r="AM61" s="608" t="s">
        <v>606</v>
      </c>
      <c r="AN61" s="782" t="s">
        <v>49</v>
      </c>
      <c r="AO61" s="783" t="s">
        <v>50</v>
      </c>
      <c r="AP61" s="783" t="s">
        <v>51</v>
      </c>
      <c r="AQ61" s="783" t="s">
        <v>308</v>
      </c>
      <c r="AR61" s="783" t="s">
        <v>309</v>
      </c>
      <c r="AS61" s="783" t="s">
        <v>310</v>
      </c>
      <c r="AT61" s="784" t="s">
        <v>311</v>
      </c>
      <c r="AY61" s="608" t="s">
        <v>606</v>
      </c>
      <c r="AZ61" s="782" t="s">
        <v>49</v>
      </c>
      <c r="BA61" s="783" t="s">
        <v>50</v>
      </c>
      <c r="BB61" s="783" t="s">
        <v>51</v>
      </c>
      <c r="BC61" s="783" t="s">
        <v>308</v>
      </c>
      <c r="BD61" s="783" t="s">
        <v>309</v>
      </c>
      <c r="BE61" s="783" t="s">
        <v>310</v>
      </c>
      <c r="BF61" s="783" t="s">
        <v>311</v>
      </c>
      <c r="BG61" s="783" t="s">
        <v>312</v>
      </c>
      <c r="BH61" s="783" t="s">
        <v>313</v>
      </c>
    </row>
    <row r="62" spans="2:60" x14ac:dyDescent="0.3">
      <c r="C62" s="514" t="s">
        <v>620</v>
      </c>
      <c r="D62" s="444"/>
      <c r="E62" s="786">
        <v>2</v>
      </c>
      <c r="F62" s="787">
        <v>2</v>
      </c>
      <c r="G62" s="787">
        <v>2</v>
      </c>
      <c r="H62" s="787">
        <v>1</v>
      </c>
      <c r="I62" s="787">
        <v>0</v>
      </c>
      <c r="J62" s="787">
        <v>1</v>
      </c>
      <c r="K62" s="788">
        <v>2</v>
      </c>
      <c r="O62" s="514" t="s">
        <v>620</v>
      </c>
      <c r="P62" s="444"/>
      <c r="Q62" s="786">
        <v>2</v>
      </c>
      <c r="R62" s="787">
        <v>2</v>
      </c>
      <c r="S62" s="787">
        <v>2</v>
      </c>
      <c r="T62" s="787">
        <v>1</v>
      </c>
      <c r="U62" s="787">
        <v>0</v>
      </c>
      <c r="V62" s="787">
        <v>1</v>
      </c>
      <c r="W62" s="788">
        <v>0</v>
      </c>
      <c r="Z62" s="514" t="s">
        <v>620</v>
      </c>
      <c r="AA62" s="444"/>
      <c r="AB62" s="786">
        <v>2</v>
      </c>
      <c r="AC62" s="787">
        <v>2</v>
      </c>
      <c r="AD62" s="787">
        <v>2</v>
      </c>
      <c r="AE62" s="787">
        <v>5</v>
      </c>
      <c r="AF62" s="787">
        <v>0</v>
      </c>
      <c r="AG62" s="787">
        <v>1</v>
      </c>
      <c r="AH62" s="788">
        <v>0</v>
      </c>
      <c r="AL62" s="514" t="s">
        <v>620</v>
      </c>
      <c r="AM62" s="444"/>
      <c r="AN62" s="786">
        <v>2</v>
      </c>
      <c r="AO62" s="787">
        <v>2</v>
      </c>
      <c r="AP62" s="787">
        <v>2</v>
      </c>
      <c r="AQ62" s="787">
        <v>1</v>
      </c>
      <c r="AR62" s="787">
        <v>0</v>
      </c>
      <c r="AS62" s="787">
        <v>1</v>
      </c>
      <c r="AT62" s="788">
        <v>2</v>
      </c>
      <c r="AX62" s="514" t="s">
        <v>620</v>
      </c>
      <c r="AY62" s="444"/>
      <c r="AZ62" s="786">
        <v>1</v>
      </c>
      <c r="BA62" s="787">
        <v>0</v>
      </c>
      <c r="BB62" s="787">
        <v>0</v>
      </c>
      <c r="BC62" s="787">
        <v>0</v>
      </c>
      <c r="BD62" s="787">
        <v>0</v>
      </c>
      <c r="BE62" s="787">
        <v>1</v>
      </c>
      <c r="BF62" s="857">
        <v>0</v>
      </c>
      <c r="BG62" s="787">
        <v>0</v>
      </c>
      <c r="BH62" s="888">
        <v>0</v>
      </c>
    </row>
    <row r="63" spans="2:60" ht="15" thickBot="1" x14ac:dyDescent="0.35">
      <c r="C63" s="447" t="s">
        <v>608</v>
      </c>
      <c r="D63" s="486"/>
      <c r="E63" s="790">
        <f t="shared" ref="E63:K63" si="98">SUM(E62:E62)</f>
        <v>2</v>
      </c>
      <c r="F63" s="791">
        <f t="shared" si="98"/>
        <v>2</v>
      </c>
      <c r="G63" s="791">
        <f t="shared" si="98"/>
        <v>2</v>
      </c>
      <c r="H63" s="791">
        <f t="shared" si="98"/>
        <v>1</v>
      </c>
      <c r="I63" s="791">
        <f t="shared" si="98"/>
        <v>0</v>
      </c>
      <c r="J63" s="791">
        <f t="shared" si="98"/>
        <v>1</v>
      </c>
      <c r="K63" s="792">
        <f t="shared" si="98"/>
        <v>2</v>
      </c>
      <c r="O63" s="447" t="s">
        <v>608</v>
      </c>
      <c r="P63" s="486"/>
      <c r="Q63" s="790">
        <f t="shared" ref="Q63:W63" si="99">SUM(Q62:Q62)</f>
        <v>2</v>
      </c>
      <c r="R63" s="791">
        <f t="shared" si="99"/>
        <v>2</v>
      </c>
      <c r="S63" s="791">
        <f t="shared" si="99"/>
        <v>2</v>
      </c>
      <c r="T63" s="791">
        <f t="shared" si="99"/>
        <v>1</v>
      </c>
      <c r="U63" s="791">
        <f t="shared" si="99"/>
        <v>0</v>
      </c>
      <c r="V63" s="791">
        <f t="shared" si="99"/>
        <v>1</v>
      </c>
      <c r="W63" s="792">
        <f t="shared" si="99"/>
        <v>0</v>
      </c>
      <c r="Z63" s="447" t="s">
        <v>608</v>
      </c>
      <c r="AA63" s="486"/>
      <c r="AB63" s="790">
        <f t="shared" ref="AB63:AH63" si="100">SUM(AB62:AB62)</f>
        <v>2</v>
      </c>
      <c r="AC63" s="791">
        <f t="shared" si="100"/>
        <v>2</v>
      </c>
      <c r="AD63" s="791">
        <f t="shared" si="100"/>
        <v>2</v>
      </c>
      <c r="AE63" s="791">
        <f t="shared" si="100"/>
        <v>5</v>
      </c>
      <c r="AF63" s="791">
        <f t="shared" si="100"/>
        <v>0</v>
      </c>
      <c r="AG63" s="791">
        <f t="shared" si="100"/>
        <v>1</v>
      </c>
      <c r="AH63" s="792">
        <f t="shared" si="100"/>
        <v>0</v>
      </c>
      <c r="AL63" s="447" t="s">
        <v>608</v>
      </c>
      <c r="AM63" s="486"/>
      <c r="AN63" s="790">
        <f t="shared" ref="AN63:AT63" si="101">SUM(AN62:AN62)</f>
        <v>2</v>
      </c>
      <c r="AO63" s="791">
        <f t="shared" si="101"/>
        <v>2</v>
      </c>
      <c r="AP63" s="791">
        <f t="shared" si="101"/>
        <v>2</v>
      </c>
      <c r="AQ63" s="791">
        <f t="shared" si="101"/>
        <v>1</v>
      </c>
      <c r="AR63" s="791">
        <f t="shared" si="101"/>
        <v>0</v>
      </c>
      <c r="AS63" s="791">
        <f t="shared" si="101"/>
        <v>1</v>
      </c>
      <c r="AT63" s="792">
        <f t="shared" si="101"/>
        <v>2</v>
      </c>
      <c r="AX63" s="447" t="s">
        <v>608</v>
      </c>
      <c r="AY63" s="486"/>
      <c r="AZ63" s="790">
        <f t="shared" ref="AZ63:BF63" si="102">SUM(AZ62:AZ62)</f>
        <v>1</v>
      </c>
      <c r="BA63" s="791">
        <f t="shared" si="102"/>
        <v>0</v>
      </c>
      <c r="BB63" s="791">
        <f t="shared" si="102"/>
        <v>0</v>
      </c>
      <c r="BC63" s="791">
        <f t="shared" si="102"/>
        <v>0</v>
      </c>
      <c r="BD63" s="791">
        <f t="shared" si="102"/>
        <v>0</v>
      </c>
      <c r="BE63" s="791">
        <f t="shared" si="102"/>
        <v>1</v>
      </c>
      <c r="BF63" s="858">
        <f t="shared" si="102"/>
        <v>0</v>
      </c>
      <c r="BG63" s="791">
        <f t="shared" ref="BG63:BH63" si="103">SUM(BG62:BG62)</f>
        <v>0</v>
      </c>
      <c r="BH63" s="889">
        <f t="shared" si="103"/>
        <v>0</v>
      </c>
    </row>
    <row r="64" spans="2:60" x14ac:dyDescent="0.3">
      <c r="C64" s="489" t="s">
        <v>651</v>
      </c>
      <c r="D64" s="452"/>
      <c r="E64" s="793">
        <v>0</v>
      </c>
      <c r="F64" s="794">
        <v>0</v>
      </c>
      <c r="G64" s="454"/>
      <c r="H64" s="454"/>
      <c r="I64" s="454"/>
      <c r="J64" s="454"/>
      <c r="K64" s="455"/>
      <c r="O64" s="489" t="s">
        <v>651</v>
      </c>
      <c r="P64" s="452"/>
      <c r="Q64" s="793">
        <v>0</v>
      </c>
      <c r="R64" s="794">
        <v>0</v>
      </c>
      <c r="S64" s="454"/>
      <c r="T64" s="454"/>
      <c r="U64" s="454"/>
      <c r="V64" s="454"/>
      <c r="W64" s="455"/>
      <c r="Z64" s="489" t="s">
        <v>651</v>
      </c>
      <c r="AA64" s="452"/>
      <c r="AB64" s="793">
        <v>0</v>
      </c>
      <c r="AC64" s="794">
        <v>0</v>
      </c>
      <c r="AD64" s="454"/>
      <c r="AE64" s="454"/>
      <c r="AF64" s="454"/>
      <c r="AG64" s="454"/>
      <c r="AH64" s="455"/>
      <c r="AL64" s="489" t="s">
        <v>651</v>
      </c>
      <c r="AM64" s="452"/>
      <c r="AN64" s="793">
        <v>0</v>
      </c>
      <c r="AO64" s="794">
        <v>0</v>
      </c>
      <c r="AP64" s="454"/>
      <c r="AQ64" s="454"/>
      <c r="AR64" s="454"/>
      <c r="AS64" s="454"/>
      <c r="AT64" s="455"/>
      <c r="AX64" s="489" t="s">
        <v>651</v>
      </c>
      <c r="AY64" s="577"/>
      <c r="AZ64" s="793">
        <v>0</v>
      </c>
      <c r="BA64" s="794">
        <v>0</v>
      </c>
      <c r="BB64" s="454"/>
      <c r="BC64" s="454"/>
      <c r="BD64" s="454"/>
      <c r="BE64" s="454"/>
      <c r="BF64" s="540"/>
      <c r="BG64" s="454"/>
      <c r="BH64" s="533"/>
    </row>
    <row r="65" spans="2:60" x14ac:dyDescent="0.3">
      <c r="C65" s="492" t="s">
        <v>617</v>
      </c>
      <c r="D65" s="457">
        <v>3</v>
      </c>
      <c r="E65" s="461">
        <f t="shared" ref="E65:K65" si="104">D65+E64+E67-E63</f>
        <v>6</v>
      </c>
      <c r="F65" s="458">
        <f t="shared" si="104"/>
        <v>4</v>
      </c>
      <c r="G65" s="458">
        <f t="shared" si="104"/>
        <v>2</v>
      </c>
      <c r="H65" s="458">
        <f t="shared" si="104"/>
        <v>6</v>
      </c>
      <c r="I65" s="458">
        <f t="shared" si="104"/>
        <v>6</v>
      </c>
      <c r="J65" s="458">
        <f t="shared" si="104"/>
        <v>5</v>
      </c>
      <c r="K65" s="459">
        <f t="shared" si="104"/>
        <v>3</v>
      </c>
      <c r="M65" s="460"/>
      <c r="O65" s="492" t="s">
        <v>617</v>
      </c>
      <c r="P65" s="457">
        <v>6</v>
      </c>
      <c r="Q65" s="461">
        <f t="shared" ref="Q65:W65" si="105">P65+Q64+Q67-Q63</f>
        <v>4</v>
      </c>
      <c r="R65" s="458">
        <f t="shared" si="105"/>
        <v>2</v>
      </c>
      <c r="S65" s="458">
        <f t="shared" si="105"/>
        <v>5</v>
      </c>
      <c r="T65" s="458">
        <f t="shared" si="105"/>
        <v>4</v>
      </c>
      <c r="U65" s="458">
        <f t="shared" si="105"/>
        <v>4</v>
      </c>
      <c r="V65" s="458">
        <f t="shared" si="105"/>
        <v>3</v>
      </c>
      <c r="W65" s="459">
        <f t="shared" si="105"/>
        <v>3</v>
      </c>
      <c r="Z65" s="492" t="s">
        <v>617</v>
      </c>
      <c r="AA65" s="457">
        <v>6</v>
      </c>
      <c r="AB65" s="461">
        <f t="shared" ref="AB65:AH65" si="106">AA65+AB64+AB67-AB63</f>
        <v>4</v>
      </c>
      <c r="AC65" s="458">
        <f t="shared" si="106"/>
        <v>2</v>
      </c>
      <c r="AD65" s="458">
        <f t="shared" si="106"/>
        <v>5</v>
      </c>
      <c r="AE65" s="458">
        <f t="shared" si="106"/>
        <v>5</v>
      </c>
      <c r="AF65" s="458">
        <f t="shared" si="106"/>
        <v>5</v>
      </c>
      <c r="AG65" s="458">
        <f t="shared" si="106"/>
        <v>4</v>
      </c>
      <c r="AH65" s="459">
        <f t="shared" si="106"/>
        <v>4</v>
      </c>
      <c r="AL65" s="492" t="s">
        <v>617</v>
      </c>
      <c r="AM65" s="457">
        <v>3</v>
      </c>
      <c r="AN65" s="461">
        <f t="shared" ref="AN65:AT65" si="107">AM65+AN64+AN67-AN63</f>
        <v>6</v>
      </c>
      <c r="AO65" s="458">
        <f t="shared" si="107"/>
        <v>4</v>
      </c>
      <c r="AP65" s="458">
        <f t="shared" si="107"/>
        <v>2</v>
      </c>
      <c r="AQ65" s="458">
        <f t="shared" si="107"/>
        <v>6</v>
      </c>
      <c r="AR65" s="458">
        <f t="shared" si="107"/>
        <v>6</v>
      </c>
      <c r="AS65" s="458">
        <f t="shared" si="107"/>
        <v>5</v>
      </c>
      <c r="AT65" s="459">
        <f t="shared" si="107"/>
        <v>3</v>
      </c>
      <c r="AX65" s="492" t="s">
        <v>617</v>
      </c>
      <c r="AY65" s="578">
        <v>3</v>
      </c>
      <c r="AZ65" s="461">
        <f t="shared" ref="AZ65:BE65" si="108">AY65+AZ64+AZ67-AZ63</f>
        <v>2</v>
      </c>
      <c r="BA65" s="458">
        <f t="shared" si="108"/>
        <v>2</v>
      </c>
      <c r="BB65" s="458">
        <f t="shared" si="108"/>
        <v>2</v>
      </c>
      <c r="BC65" s="458">
        <f t="shared" si="108"/>
        <v>2</v>
      </c>
      <c r="BD65" s="458">
        <f t="shared" si="108"/>
        <v>2</v>
      </c>
      <c r="BE65" s="458">
        <f t="shared" si="108"/>
        <v>6</v>
      </c>
      <c r="BF65" s="528">
        <f>BE65+BF64+BF67-BF63</f>
        <v>6</v>
      </c>
      <c r="BG65" s="458">
        <f>BF65+BG64+BG67-BG63</f>
        <v>6</v>
      </c>
      <c r="BH65" s="530">
        <f>BG65+BH64+BH67-BH63</f>
        <v>6</v>
      </c>
    </row>
    <row r="66" spans="2:60" x14ac:dyDescent="0.3">
      <c r="C66" s="492" t="s">
        <v>642</v>
      </c>
      <c r="D66" s="495"/>
      <c r="E66" s="461">
        <f t="shared" ref="E66:K66" si="109">IF(D65-E63+E64&lt;=$D$58, E63-E64-D65+$D$58,0)</f>
        <v>1</v>
      </c>
      <c r="F66" s="458">
        <f t="shared" si="109"/>
        <v>0</v>
      </c>
      <c r="G66" s="458">
        <f t="shared" si="109"/>
        <v>0</v>
      </c>
      <c r="H66" s="458">
        <f t="shared" si="109"/>
        <v>1</v>
      </c>
      <c r="I66" s="458">
        <f t="shared" si="109"/>
        <v>0</v>
      </c>
      <c r="J66" s="458">
        <f t="shared" si="109"/>
        <v>0</v>
      </c>
      <c r="K66" s="459">
        <f t="shared" si="109"/>
        <v>0</v>
      </c>
      <c r="M66" s="460"/>
      <c r="O66" s="492" t="s">
        <v>642</v>
      </c>
      <c r="P66" s="495"/>
      <c r="Q66" s="461">
        <f t="shared" ref="Q66:W66" si="110">IF(P65-Q63+Q64&lt;=$D$58, Q63-Q64-P65+$D$58,0)</f>
        <v>0</v>
      </c>
      <c r="R66" s="458">
        <f t="shared" si="110"/>
        <v>0</v>
      </c>
      <c r="S66" s="458">
        <f t="shared" si="110"/>
        <v>2</v>
      </c>
      <c r="T66" s="458">
        <f t="shared" si="110"/>
        <v>0</v>
      </c>
      <c r="U66" s="458">
        <f t="shared" si="110"/>
        <v>0</v>
      </c>
      <c r="V66" s="458">
        <f t="shared" si="110"/>
        <v>0</v>
      </c>
      <c r="W66" s="459">
        <f t="shared" si="110"/>
        <v>0</v>
      </c>
      <c r="Z66" s="492" t="s">
        <v>642</v>
      </c>
      <c r="AA66" s="495"/>
      <c r="AB66" s="461">
        <f t="shared" ref="AB66:AH66" si="111">IF(AA65-AB63+AB64&lt;=$D$58, AB63-AB64-AA65+$D$58,0)</f>
        <v>0</v>
      </c>
      <c r="AC66" s="458">
        <f t="shared" si="111"/>
        <v>0</v>
      </c>
      <c r="AD66" s="458">
        <f t="shared" si="111"/>
        <v>2</v>
      </c>
      <c r="AE66" s="458">
        <f t="shared" si="111"/>
        <v>2</v>
      </c>
      <c r="AF66" s="458">
        <f t="shared" si="111"/>
        <v>0</v>
      </c>
      <c r="AG66" s="458">
        <f t="shared" si="111"/>
        <v>0</v>
      </c>
      <c r="AH66" s="459">
        <f t="shared" si="111"/>
        <v>0</v>
      </c>
      <c r="AL66" s="492" t="s">
        <v>642</v>
      </c>
      <c r="AM66" s="495"/>
      <c r="AN66" s="461">
        <f t="shared" ref="AN66:AT66" si="112">IF(AM65-AN63+AN64&lt;=$D$58, AN63-AN64-AM65+$D$58,0)</f>
        <v>1</v>
      </c>
      <c r="AO66" s="458">
        <f t="shared" si="112"/>
        <v>0</v>
      </c>
      <c r="AP66" s="458">
        <f t="shared" si="112"/>
        <v>0</v>
      </c>
      <c r="AQ66" s="458">
        <f t="shared" si="112"/>
        <v>1</v>
      </c>
      <c r="AR66" s="458">
        <f t="shared" si="112"/>
        <v>0</v>
      </c>
      <c r="AS66" s="458">
        <f t="shared" si="112"/>
        <v>0</v>
      </c>
      <c r="AT66" s="459">
        <f t="shared" si="112"/>
        <v>0</v>
      </c>
      <c r="AX66" s="492" t="s">
        <v>642</v>
      </c>
      <c r="AY66" s="579"/>
      <c r="AZ66" s="461">
        <f>IF(AY65-AZ63+AZ64&lt;=$AY$58, AZ63-AZ64-AY65+$AY$58,0)</f>
        <v>0</v>
      </c>
      <c r="BA66" s="458">
        <f t="shared" ref="BA66:BE66" si="113">IF(AZ65-BA63+BA64&lt;=$AY$58, BA63-BA64-AZ65+$AY$58,0)</f>
        <v>0</v>
      </c>
      <c r="BB66" s="458">
        <f t="shared" si="113"/>
        <v>0</v>
      </c>
      <c r="BC66" s="458">
        <f t="shared" si="113"/>
        <v>0</v>
      </c>
      <c r="BD66" s="458">
        <f t="shared" si="113"/>
        <v>0</v>
      </c>
      <c r="BE66" s="458">
        <f t="shared" si="113"/>
        <v>1</v>
      </c>
      <c r="BF66" s="528">
        <f>IF(BE65-BF63+BF64&lt;=$AY$58, BF63-BF64-BE65+$AY$58,0)</f>
        <v>0</v>
      </c>
      <c r="BG66" s="458">
        <f>IF(BF65-BG63+BG64&lt;=$AY$58, BG63-BG64-BF65+$AY$58,0)</f>
        <v>0</v>
      </c>
      <c r="BH66" s="530">
        <f>IF(BG65-BH63+BH64&lt;=$AY$58, BH63-BH64-BG65+$AY$58,0)</f>
        <v>0</v>
      </c>
    </row>
    <row r="67" spans="2:60" x14ac:dyDescent="0.3">
      <c r="C67" s="496" t="s">
        <v>647</v>
      </c>
      <c r="D67" s="495"/>
      <c r="E67" s="461">
        <f t="shared" ref="E67:K67" si="114" xml:space="preserve"> CEILING(E66/$D$57,1)*$D$57</f>
        <v>5</v>
      </c>
      <c r="F67" s="458">
        <f t="shared" si="114"/>
        <v>0</v>
      </c>
      <c r="G67" s="458">
        <f t="shared" si="114"/>
        <v>0</v>
      </c>
      <c r="H67" s="458">
        <f t="shared" si="114"/>
        <v>5</v>
      </c>
      <c r="I67" s="458">
        <f t="shared" si="114"/>
        <v>0</v>
      </c>
      <c r="J67" s="458">
        <f t="shared" si="114"/>
        <v>0</v>
      </c>
      <c r="K67" s="459">
        <f t="shared" si="114"/>
        <v>0</v>
      </c>
      <c r="O67" s="496" t="s">
        <v>647</v>
      </c>
      <c r="P67" s="495"/>
      <c r="Q67" s="461">
        <f t="shared" ref="Q67:W67" si="115" xml:space="preserve"> CEILING(Q66/$D$57,1)*$D$57</f>
        <v>0</v>
      </c>
      <c r="R67" s="458">
        <f t="shared" si="115"/>
        <v>0</v>
      </c>
      <c r="S67" s="458">
        <f t="shared" si="115"/>
        <v>5</v>
      </c>
      <c r="T67" s="458">
        <f t="shared" si="115"/>
        <v>0</v>
      </c>
      <c r="U67" s="458">
        <f t="shared" si="115"/>
        <v>0</v>
      </c>
      <c r="V67" s="458">
        <f t="shared" si="115"/>
        <v>0</v>
      </c>
      <c r="W67" s="459">
        <f t="shared" si="115"/>
        <v>0</v>
      </c>
      <c r="Z67" s="496" t="s">
        <v>647</v>
      </c>
      <c r="AA67" s="495"/>
      <c r="AB67" s="461">
        <f t="shared" ref="AB67:AH67" si="116" xml:space="preserve"> CEILING(AB66/$D$57,1)*$D$57</f>
        <v>0</v>
      </c>
      <c r="AC67" s="458">
        <f t="shared" si="116"/>
        <v>0</v>
      </c>
      <c r="AD67" s="458">
        <f t="shared" si="116"/>
        <v>5</v>
      </c>
      <c r="AE67" s="458">
        <f t="shared" si="116"/>
        <v>5</v>
      </c>
      <c r="AF67" s="458">
        <f t="shared" si="116"/>
        <v>0</v>
      </c>
      <c r="AG67" s="458">
        <f t="shared" si="116"/>
        <v>0</v>
      </c>
      <c r="AH67" s="459">
        <f t="shared" si="116"/>
        <v>0</v>
      </c>
      <c r="AL67" s="496" t="s">
        <v>647</v>
      </c>
      <c r="AM67" s="495"/>
      <c r="AN67" s="461">
        <f t="shared" ref="AN67:AT67" si="117" xml:space="preserve"> CEILING(AN66/$D$57,1)*$D$57</f>
        <v>5</v>
      </c>
      <c r="AO67" s="458">
        <f t="shared" si="117"/>
        <v>0</v>
      </c>
      <c r="AP67" s="458">
        <f t="shared" si="117"/>
        <v>0</v>
      </c>
      <c r="AQ67" s="458">
        <f t="shared" si="117"/>
        <v>5</v>
      </c>
      <c r="AR67" s="458">
        <f t="shared" si="117"/>
        <v>0</v>
      </c>
      <c r="AS67" s="458">
        <f t="shared" si="117"/>
        <v>0</v>
      </c>
      <c r="AT67" s="459">
        <f t="shared" si="117"/>
        <v>0</v>
      </c>
      <c r="AX67" s="496" t="s">
        <v>647</v>
      </c>
      <c r="AY67" s="579"/>
      <c r="AZ67" s="461">
        <f xml:space="preserve"> CEILING(AZ66/$AY$57,1)*$AY$57</f>
        <v>0</v>
      </c>
      <c r="BA67" s="458">
        <f t="shared" ref="BA67:BF67" si="118" xml:space="preserve"> CEILING(BA66/$AY$57,1)*$AY$57</f>
        <v>0</v>
      </c>
      <c r="BB67" s="458">
        <f t="shared" si="118"/>
        <v>0</v>
      </c>
      <c r="BC67" s="458">
        <f t="shared" si="118"/>
        <v>0</v>
      </c>
      <c r="BD67" s="458">
        <f t="shared" si="118"/>
        <v>0</v>
      </c>
      <c r="BE67" s="458">
        <f t="shared" si="118"/>
        <v>5</v>
      </c>
      <c r="BF67" s="528">
        <f t="shared" si="118"/>
        <v>0</v>
      </c>
      <c r="BG67" s="458">
        <f t="shared" ref="BG67:BH67" si="119" xml:space="preserve"> CEILING(BG66/$AY$57,1)*$AY$57</f>
        <v>0</v>
      </c>
      <c r="BH67" s="530">
        <f t="shared" si="119"/>
        <v>0</v>
      </c>
    </row>
    <row r="68" spans="2:60" ht="15" thickBot="1" x14ac:dyDescent="0.35">
      <c r="C68" s="571" t="s">
        <v>652</v>
      </c>
      <c r="D68" s="463"/>
      <c r="E68" s="463">
        <f>E67</f>
        <v>5</v>
      </c>
      <c r="F68" s="464">
        <f>F67</f>
        <v>0</v>
      </c>
      <c r="G68" s="464">
        <f t="shared" ref="G68:K68" si="120">G67</f>
        <v>0</v>
      </c>
      <c r="H68" s="464">
        <f t="shared" si="120"/>
        <v>5</v>
      </c>
      <c r="I68" s="464">
        <f t="shared" si="120"/>
        <v>0</v>
      </c>
      <c r="J68" s="464">
        <f t="shared" si="120"/>
        <v>0</v>
      </c>
      <c r="K68" s="465">
        <f t="shared" si="120"/>
        <v>0</v>
      </c>
      <c r="O68" s="571" t="s">
        <v>652</v>
      </c>
      <c r="P68" s="463"/>
      <c r="Q68" s="463">
        <f>Q67</f>
        <v>0</v>
      </c>
      <c r="R68" s="464">
        <f>R67</f>
        <v>0</v>
      </c>
      <c r="S68" s="464">
        <f t="shared" ref="S68:W68" si="121">S67</f>
        <v>5</v>
      </c>
      <c r="T68" s="464">
        <f t="shared" si="121"/>
        <v>0</v>
      </c>
      <c r="U68" s="464">
        <f t="shared" si="121"/>
        <v>0</v>
      </c>
      <c r="V68" s="464">
        <f t="shared" si="121"/>
        <v>0</v>
      </c>
      <c r="W68" s="465">
        <f t="shared" si="121"/>
        <v>0</v>
      </c>
      <c r="Z68" s="571" t="s">
        <v>652</v>
      </c>
      <c r="AA68" s="463"/>
      <c r="AB68" s="463">
        <f>AB67</f>
        <v>0</v>
      </c>
      <c r="AC68" s="464">
        <f>AC67</f>
        <v>0</v>
      </c>
      <c r="AD68" s="464">
        <f t="shared" ref="AD68:AH68" si="122">AD67</f>
        <v>5</v>
      </c>
      <c r="AE68" s="464">
        <f t="shared" si="122"/>
        <v>5</v>
      </c>
      <c r="AF68" s="464">
        <f t="shared" si="122"/>
        <v>0</v>
      </c>
      <c r="AG68" s="464">
        <f t="shared" si="122"/>
        <v>0</v>
      </c>
      <c r="AH68" s="465">
        <f t="shared" si="122"/>
        <v>0</v>
      </c>
      <c r="AL68" s="571" t="s">
        <v>652</v>
      </c>
      <c r="AM68" s="463"/>
      <c r="AN68" s="463">
        <f>AN67</f>
        <v>5</v>
      </c>
      <c r="AO68" s="464">
        <f>AO67</f>
        <v>0</v>
      </c>
      <c r="AP68" s="464">
        <f t="shared" ref="AP68:AT68" si="123">AP67</f>
        <v>0</v>
      </c>
      <c r="AQ68" s="464">
        <f t="shared" si="123"/>
        <v>5</v>
      </c>
      <c r="AR68" s="464">
        <f t="shared" si="123"/>
        <v>0</v>
      </c>
      <c r="AS68" s="464">
        <f t="shared" si="123"/>
        <v>0</v>
      </c>
      <c r="AT68" s="465">
        <f t="shared" si="123"/>
        <v>0</v>
      </c>
      <c r="AX68" s="571" t="s">
        <v>652</v>
      </c>
      <c r="AY68" s="580"/>
      <c r="AZ68" s="463">
        <f>AZ67</f>
        <v>0</v>
      </c>
      <c r="BA68" s="464">
        <f>BA67</f>
        <v>0</v>
      </c>
      <c r="BB68" s="464">
        <f t="shared" ref="BB68:BF68" si="124">BB67</f>
        <v>0</v>
      </c>
      <c r="BC68" s="464">
        <f t="shared" si="124"/>
        <v>0</v>
      </c>
      <c r="BD68" s="464">
        <f t="shared" si="124"/>
        <v>0</v>
      </c>
      <c r="BE68" s="464">
        <f t="shared" si="124"/>
        <v>5</v>
      </c>
      <c r="BF68" s="541">
        <f t="shared" si="124"/>
        <v>0</v>
      </c>
      <c r="BG68" s="464">
        <f t="shared" ref="BG68:BH68" si="125">BG67</f>
        <v>0</v>
      </c>
      <c r="BH68" s="890">
        <f t="shared" si="125"/>
        <v>0</v>
      </c>
    </row>
    <row r="69" spans="2:60" hidden="1" x14ac:dyDescent="0.3">
      <c r="C69" s="478" t="s">
        <v>612</v>
      </c>
      <c r="D69" s="467"/>
      <c r="E69" s="468">
        <f>QUOTIENT(MOD(E68+$D$53-1,$D$52),$D$53)</f>
        <v>1</v>
      </c>
      <c r="F69" s="468">
        <f t="shared" ref="F69:K69" si="126">QUOTIENT(MOD(F68+$D$53-1,$D$52),$D$53)</f>
        <v>0</v>
      </c>
      <c r="G69" s="468">
        <f t="shared" si="126"/>
        <v>0</v>
      </c>
      <c r="H69" s="468">
        <f t="shared" si="126"/>
        <v>1</v>
      </c>
      <c r="I69" s="468">
        <f t="shared" si="126"/>
        <v>0</v>
      </c>
      <c r="J69" s="468">
        <f t="shared" si="126"/>
        <v>0</v>
      </c>
      <c r="K69" s="468">
        <f t="shared" si="126"/>
        <v>0</v>
      </c>
      <c r="O69" s="478" t="s">
        <v>612</v>
      </c>
      <c r="P69" s="467"/>
      <c r="Q69" s="468">
        <f>QUOTIENT(MOD(Q68+$D$53-1,$D$52),$D$53)</f>
        <v>0</v>
      </c>
      <c r="R69" s="468">
        <f t="shared" ref="R69:W69" si="127">QUOTIENT(MOD(R68+$D$53-1,$D$52),$D$53)</f>
        <v>0</v>
      </c>
      <c r="S69" s="468">
        <f t="shared" si="127"/>
        <v>1</v>
      </c>
      <c r="T69" s="468">
        <f t="shared" si="127"/>
        <v>0</v>
      </c>
      <c r="U69" s="468">
        <f t="shared" si="127"/>
        <v>0</v>
      </c>
      <c r="V69" s="468">
        <f t="shared" si="127"/>
        <v>0</v>
      </c>
      <c r="W69" s="468">
        <f t="shared" si="127"/>
        <v>0</v>
      </c>
      <c r="Z69" s="478" t="s">
        <v>612</v>
      </c>
      <c r="AA69" s="467"/>
      <c r="AB69" s="468">
        <f>QUOTIENT(MOD(AB68+$D$53-1,$D$52),$D$53)</f>
        <v>0</v>
      </c>
      <c r="AC69" s="468">
        <f t="shared" ref="AC69:AH69" si="128">QUOTIENT(MOD(AC68+$D$53-1,$D$52),$D$53)</f>
        <v>0</v>
      </c>
      <c r="AD69" s="468">
        <f t="shared" si="128"/>
        <v>1</v>
      </c>
      <c r="AE69" s="468">
        <f t="shared" si="128"/>
        <v>1</v>
      </c>
      <c r="AF69" s="468">
        <f t="shared" si="128"/>
        <v>0</v>
      </c>
      <c r="AG69" s="468">
        <f t="shared" si="128"/>
        <v>0</v>
      </c>
      <c r="AH69" s="468">
        <f t="shared" si="128"/>
        <v>0</v>
      </c>
      <c r="AL69" s="478" t="s">
        <v>612</v>
      </c>
      <c r="AM69" s="467"/>
      <c r="AN69" s="468">
        <f>QUOTIENT(MOD(AN68+$D$53-1,$D$52),$D$53)</f>
        <v>1</v>
      </c>
      <c r="AO69" s="468">
        <f t="shared" ref="AO69:AT69" si="129">QUOTIENT(MOD(AO68+$D$53-1,$D$52),$D$53)</f>
        <v>0</v>
      </c>
      <c r="AP69" s="468">
        <f t="shared" si="129"/>
        <v>0</v>
      </c>
      <c r="AQ69" s="468">
        <f t="shared" si="129"/>
        <v>1</v>
      </c>
      <c r="AR69" s="468">
        <f t="shared" si="129"/>
        <v>0</v>
      </c>
      <c r="AS69" s="468">
        <f t="shared" si="129"/>
        <v>0</v>
      </c>
      <c r="AT69" s="468">
        <f t="shared" si="129"/>
        <v>0</v>
      </c>
      <c r="AX69" s="478" t="s">
        <v>612</v>
      </c>
      <c r="AY69" s="467"/>
      <c r="AZ69" s="586">
        <f>QUOTIENT(MOD(AZ68+$D$53-1,$D$52),$D$53)</f>
        <v>0</v>
      </c>
      <c r="BA69" s="586">
        <f t="shared" ref="BA69:BF69" si="130">QUOTIENT(MOD(BA68+$D$53-1,$D$52),$D$53)</f>
        <v>0</v>
      </c>
      <c r="BB69" s="586">
        <f t="shared" si="130"/>
        <v>0</v>
      </c>
      <c r="BC69" s="586">
        <f t="shared" si="130"/>
        <v>0</v>
      </c>
      <c r="BD69" s="586">
        <f t="shared" si="130"/>
        <v>0</v>
      </c>
      <c r="BE69" s="586">
        <f t="shared" si="130"/>
        <v>1</v>
      </c>
      <c r="BF69" s="586">
        <f t="shared" si="130"/>
        <v>0</v>
      </c>
      <c r="BG69" s="586">
        <f t="shared" ref="BG69:BH69" si="131">QUOTIENT(MOD(BG68+$D$53-1,$D$52),$D$53)</f>
        <v>0</v>
      </c>
      <c r="BH69" s="586">
        <f t="shared" si="131"/>
        <v>0</v>
      </c>
    </row>
    <row r="70" spans="2:60" hidden="1" x14ac:dyDescent="0.3">
      <c r="B70" s="40"/>
      <c r="C70" s="497" t="s">
        <v>613</v>
      </c>
      <c r="D70" s="482"/>
      <c r="E70" s="472">
        <f t="shared" ref="E70:K70" si="132">QUOTIENT(E68+$D$53-1,$D$52)</f>
        <v>0</v>
      </c>
      <c r="F70" s="472">
        <f t="shared" si="132"/>
        <v>0</v>
      </c>
      <c r="G70" s="472">
        <f t="shared" si="132"/>
        <v>0</v>
      </c>
      <c r="H70" s="472">
        <f t="shared" si="132"/>
        <v>0</v>
      </c>
      <c r="I70" s="472">
        <f t="shared" si="132"/>
        <v>0</v>
      </c>
      <c r="J70" s="472">
        <f t="shared" si="132"/>
        <v>0</v>
      </c>
      <c r="K70" s="472">
        <f t="shared" si="132"/>
        <v>0</v>
      </c>
      <c r="N70" s="40"/>
      <c r="O70" s="497" t="s">
        <v>613</v>
      </c>
      <c r="P70" s="482"/>
      <c r="Q70" s="472">
        <f t="shared" ref="Q70:W70" si="133">QUOTIENT(Q68+$D$53-1,$D$52)</f>
        <v>0</v>
      </c>
      <c r="R70" s="472">
        <f t="shared" si="133"/>
        <v>0</v>
      </c>
      <c r="S70" s="472">
        <f t="shared" si="133"/>
        <v>0</v>
      </c>
      <c r="T70" s="472">
        <f t="shared" si="133"/>
        <v>0</v>
      </c>
      <c r="U70" s="472">
        <f t="shared" si="133"/>
        <v>0</v>
      </c>
      <c r="V70" s="472">
        <f t="shared" si="133"/>
        <v>0</v>
      </c>
      <c r="W70" s="472">
        <f t="shared" si="133"/>
        <v>0</v>
      </c>
      <c r="Y70" s="40"/>
      <c r="Z70" s="497" t="s">
        <v>613</v>
      </c>
      <c r="AA70" s="482"/>
      <c r="AB70" s="472">
        <f t="shared" ref="AB70:AH70" si="134">QUOTIENT(AB68+$D$53-1,$D$52)</f>
        <v>0</v>
      </c>
      <c r="AC70" s="472">
        <f t="shared" si="134"/>
        <v>0</v>
      </c>
      <c r="AD70" s="472">
        <f t="shared" si="134"/>
        <v>0</v>
      </c>
      <c r="AE70" s="472">
        <f t="shared" si="134"/>
        <v>0</v>
      </c>
      <c r="AF70" s="472">
        <f t="shared" si="134"/>
        <v>0</v>
      </c>
      <c r="AG70" s="472">
        <f t="shared" si="134"/>
        <v>0</v>
      </c>
      <c r="AH70" s="472">
        <f t="shared" si="134"/>
        <v>0</v>
      </c>
      <c r="AK70" s="40"/>
      <c r="AL70" s="497" t="s">
        <v>613</v>
      </c>
      <c r="AM70" s="482"/>
      <c r="AN70" s="472">
        <f t="shared" ref="AN70:AT70" si="135">QUOTIENT(AN68+$D$53-1,$D$52)</f>
        <v>0</v>
      </c>
      <c r="AO70" s="472">
        <f t="shared" si="135"/>
        <v>0</v>
      </c>
      <c r="AP70" s="472">
        <f t="shared" si="135"/>
        <v>0</v>
      </c>
      <c r="AQ70" s="472">
        <f t="shared" si="135"/>
        <v>0</v>
      </c>
      <c r="AR70" s="472">
        <f t="shared" si="135"/>
        <v>0</v>
      </c>
      <c r="AS70" s="472">
        <f t="shared" si="135"/>
        <v>0</v>
      </c>
      <c r="AT70" s="472">
        <f t="shared" si="135"/>
        <v>0</v>
      </c>
      <c r="AW70" s="40"/>
      <c r="AX70" s="497" t="s">
        <v>613</v>
      </c>
      <c r="AY70" s="482"/>
      <c r="AZ70" s="472">
        <f t="shared" ref="AZ70:BF70" si="136">QUOTIENT(AZ68+$D$53-1,$D$52)</f>
        <v>0</v>
      </c>
      <c r="BA70" s="472">
        <f t="shared" si="136"/>
        <v>0</v>
      </c>
      <c r="BB70" s="472">
        <f t="shared" si="136"/>
        <v>0</v>
      </c>
      <c r="BC70" s="472">
        <f t="shared" si="136"/>
        <v>0</v>
      </c>
      <c r="BD70" s="472">
        <f t="shared" si="136"/>
        <v>0</v>
      </c>
      <c r="BE70" s="472">
        <f t="shared" si="136"/>
        <v>0</v>
      </c>
      <c r="BF70" s="472">
        <f t="shared" si="136"/>
        <v>0</v>
      </c>
      <c r="BG70" s="472">
        <f t="shared" ref="BG70:BH70" si="137">QUOTIENT(BG68+$D$53-1,$D$52)</f>
        <v>0</v>
      </c>
      <c r="BH70" s="472">
        <f t="shared" si="137"/>
        <v>0</v>
      </c>
    </row>
    <row r="71" spans="2:60" ht="15" hidden="1" thickBot="1" x14ac:dyDescent="0.35">
      <c r="C71" s="516" t="s">
        <v>614</v>
      </c>
      <c r="D71" s="474"/>
      <c r="E71" s="475" t="e">
        <f>IF($L$71="Choosing Supplier 1", E70*#REF!+E69*#REF!,E70*#REF!+E69*#REF!)</f>
        <v>#REF!</v>
      </c>
      <c r="F71" s="475" t="e">
        <f>IF($L$71="Choosing Supplier 1", F70*#REF!+F69*#REF!,F70*#REF!+F69*#REF!)</f>
        <v>#REF!</v>
      </c>
      <c r="G71" s="475" t="e">
        <f>IF($L$71="Choosing Supplier 1", G70*#REF!+G69*#REF!,G70*#REF!+G69*#REF!)</f>
        <v>#REF!</v>
      </c>
      <c r="H71" s="475" t="e">
        <f>IF($L$71="Choosing Supplier 1", H70*#REF!+H69*#REF!,H70*#REF!+H69*#REF!)</f>
        <v>#REF!</v>
      </c>
      <c r="I71" s="475" t="e">
        <f>IF($L$71="Choosing Supplier 1", I70*#REF!+I69*#REF!,I70*#REF!+I69*#REF!)</f>
        <v>#REF!</v>
      </c>
      <c r="J71" s="475" t="e">
        <f>IF($L$71="Choosing Supplier 1", J70*#REF!+J69*#REF!,J70*#REF!+J69*#REF!)</f>
        <v>#REF!</v>
      </c>
      <c r="K71" s="475" t="e">
        <f>IF($L$71="Choosing Supplier 1", K70*#REF!+K69*#REF!,K70*#REF!+K69*#REF!)</f>
        <v>#REF!</v>
      </c>
      <c r="L71" s="477" t="e">
        <f>IF(#REF!&lt;#REF!,IF($D$145="Yes","Choosing Supplier 1","Choosing Supplier 2"),IF(#REF!="Yes","Choosing Supplier 2","Choosing Supplier 1"))</f>
        <v>#REF!</v>
      </c>
      <c r="M71" t="s">
        <v>615</v>
      </c>
      <c r="O71" s="516" t="s">
        <v>614</v>
      </c>
      <c r="P71" s="474"/>
      <c r="Q71" s="475" t="e">
        <f>IF($L$71="Choosing Supplier 1", Q70*#REF!+Q69*#REF!,Q70*#REF!+Q69*#REF!)</f>
        <v>#REF!</v>
      </c>
      <c r="R71" s="475" t="e">
        <f>IF($L$71="Choosing Supplier 1", R70*#REF!+R69*#REF!,R70*#REF!+R69*#REF!)</f>
        <v>#REF!</v>
      </c>
      <c r="S71" s="475" t="e">
        <f>IF($L$71="Choosing Supplier 1", S70*#REF!+S69*#REF!,S70*#REF!+S69*#REF!)</f>
        <v>#REF!</v>
      </c>
      <c r="T71" s="475" t="e">
        <f>IF($L$71="Choosing Supplier 1", T70*#REF!+T69*#REF!,T70*#REF!+T69*#REF!)</f>
        <v>#REF!</v>
      </c>
      <c r="U71" s="475" t="e">
        <f>IF($L$71="Choosing Supplier 1", U70*#REF!+U69*#REF!,U70*#REF!+U69*#REF!)</f>
        <v>#REF!</v>
      </c>
      <c r="V71" s="475" t="e">
        <f>IF($L$71="Choosing Supplier 1", V70*#REF!+V69*#REF!,V70*#REF!+V69*#REF!)</f>
        <v>#REF!</v>
      </c>
      <c r="W71" s="475" t="e">
        <f>IF($L$71="Choosing Supplier 1", W70*#REF!+W69*#REF!,W70*#REF!+W69*#REF!)</f>
        <v>#REF!</v>
      </c>
      <c r="Z71" s="516" t="s">
        <v>614</v>
      </c>
      <c r="AA71" s="474"/>
      <c r="AB71" s="475" t="e">
        <f>IF($L$71="Choosing Supplier 1", AB70*#REF!+AB69*#REF!,AB70*#REF!+AB69*#REF!)</f>
        <v>#REF!</v>
      </c>
      <c r="AC71" s="475" t="e">
        <f>IF($L$71="Choosing Supplier 1", AC70*#REF!+AC69*#REF!,AC70*#REF!+AC69*#REF!)</f>
        <v>#REF!</v>
      </c>
      <c r="AD71" s="475" t="e">
        <f>IF($L$71="Choosing Supplier 1", AD70*#REF!+AD69*#REF!,AD70*#REF!+AD69*#REF!)</f>
        <v>#REF!</v>
      </c>
      <c r="AE71" s="475" t="e">
        <f>IF($L$71="Choosing Supplier 1", AE70*#REF!+AE69*#REF!,AE70*#REF!+AE69*#REF!)</f>
        <v>#REF!</v>
      </c>
      <c r="AF71" s="475" t="e">
        <f>IF($L$71="Choosing Supplier 1", AF70*#REF!+AF69*#REF!,AF70*#REF!+AF69*#REF!)</f>
        <v>#REF!</v>
      </c>
      <c r="AG71" s="475" t="e">
        <f>IF($L$71="Choosing Supplier 1", AG70*#REF!+AG69*#REF!,AG70*#REF!+AG69*#REF!)</f>
        <v>#REF!</v>
      </c>
      <c r="AH71" s="475" t="e">
        <f>IF($L$71="Choosing Supplier 1", AH70*#REF!+AH69*#REF!,AH70*#REF!+AH69*#REF!)</f>
        <v>#REF!</v>
      </c>
      <c r="AL71" s="516" t="s">
        <v>614</v>
      </c>
      <c r="AM71" s="474"/>
      <c r="AN71" s="475" t="e">
        <f>IF($L$71="Choosing Supplier 1", AN70*#REF!+AN69*#REF!,AN70*#REF!+AN69*#REF!)</f>
        <v>#REF!</v>
      </c>
      <c r="AO71" s="475" t="e">
        <f>IF($L$71="Choosing Supplier 1", AO70*#REF!+AO69*#REF!,AO70*#REF!+AO69*#REF!)</f>
        <v>#REF!</v>
      </c>
      <c r="AP71" s="475" t="e">
        <f>IF($L$71="Choosing Supplier 1", AP70*#REF!+AP69*#REF!,AP70*#REF!+AP69*#REF!)</f>
        <v>#REF!</v>
      </c>
      <c r="AQ71" s="475" t="e">
        <f>IF($L$71="Choosing Supplier 1", AQ70*#REF!+AQ69*#REF!,AQ70*#REF!+AQ69*#REF!)</f>
        <v>#REF!</v>
      </c>
      <c r="AR71" s="475" t="e">
        <f>IF($L$71="Choosing Supplier 1", AR70*#REF!+AR69*#REF!,AR70*#REF!+AR69*#REF!)</f>
        <v>#REF!</v>
      </c>
      <c r="AS71" s="475" t="e">
        <f>IF($L$71="Choosing Supplier 1", AS70*#REF!+AS69*#REF!,AS70*#REF!+AS69*#REF!)</f>
        <v>#REF!</v>
      </c>
      <c r="AT71" s="475" t="e">
        <f>IF($L$71="Choosing Supplier 1", AT70*#REF!+AT69*#REF!,AT70*#REF!+AT69*#REF!)</f>
        <v>#REF!</v>
      </c>
      <c r="AX71" s="516" t="s">
        <v>614</v>
      </c>
      <c r="AY71" s="474"/>
      <c r="AZ71" s="475" t="e">
        <f>IF($L$71="Choosing Supplier 1", AZ70*#REF!+AZ69*#REF!,AZ70*#REF!+AZ69*#REF!)</f>
        <v>#REF!</v>
      </c>
      <c r="BA71" s="475" t="e">
        <f>IF($L$71="Choosing Supplier 1", BA70*#REF!+BA69*#REF!,BA70*#REF!+BA69*#REF!)</f>
        <v>#REF!</v>
      </c>
      <c r="BB71" s="475" t="e">
        <f>IF($L$71="Choosing Supplier 1", BB70*#REF!+BB69*#REF!,BB70*#REF!+BB69*#REF!)</f>
        <v>#REF!</v>
      </c>
      <c r="BC71" s="475" t="e">
        <f>IF($L$71="Choosing Supplier 1", BC70*#REF!+BC69*#REF!,BC70*#REF!+BC69*#REF!)</f>
        <v>#REF!</v>
      </c>
      <c r="BD71" s="475" t="e">
        <f>IF($L$71="Choosing Supplier 1", BD70*#REF!+BD69*#REF!,BD70*#REF!+BD69*#REF!)</f>
        <v>#REF!</v>
      </c>
      <c r="BE71" s="475" t="e">
        <f>IF($L$71="Choosing Supplier 1", BE70*#REF!+BE69*#REF!,BE70*#REF!+BE69*#REF!)</f>
        <v>#REF!</v>
      </c>
      <c r="BF71" s="475" t="e">
        <f>IF($L$71="Choosing Supplier 1", BF70*#REF!+BF69*#REF!,BF70*#REF!+BF69*#REF!)</f>
        <v>#REF!</v>
      </c>
      <c r="BG71" s="475" t="e">
        <f>IF($L$71="Choosing Supplier 1", BG70*#REF!+BG69*#REF!,BG70*#REF!+BG69*#REF!)</f>
        <v>#REF!</v>
      </c>
      <c r="BH71" s="475" t="e">
        <f>IF($L$71="Choosing Supplier 1", BH70*#REF!+BH69*#REF!,BH70*#REF!+BH69*#REF!)</f>
        <v>#REF!</v>
      </c>
    </row>
    <row r="72" spans="2:60" x14ac:dyDescent="0.3">
      <c r="C72" s="326" t="s">
        <v>740</v>
      </c>
      <c r="D72" s="799"/>
      <c r="E72" s="799">
        <f>IF(E68&gt;0, IF(E68&lt;=$D$5, 1, IF(E68&lt;=2*$D$5,2,3)),0 )</f>
        <v>1</v>
      </c>
      <c r="F72" s="799">
        <f t="shared" ref="F72:K72" si="138">IF(F68&gt;0, IF(F68&lt;=$D$5, 1, IF(F68&lt;=2*$D$5,2,3)),0 )</f>
        <v>0</v>
      </c>
      <c r="G72" s="799">
        <f t="shared" si="138"/>
        <v>0</v>
      </c>
      <c r="H72" s="799">
        <f t="shared" si="138"/>
        <v>1</v>
      </c>
      <c r="I72" s="799">
        <f t="shared" si="138"/>
        <v>0</v>
      </c>
      <c r="J72" s="799">
        <f t="shared" si="138"/>
        <v>0</v>
      </c>
      <c r="K72" s="799">
        <f t="shared" si="138"/>
        <v>0</v>
      </c>
      <c r="O72" s="326" t="s">
        <v>740</v>
      </c>
      <c r="P72" s="799"/>
      <c r="Q72" s="799">
        <f>IF(Q68&gt;0, IF(Q68&lt;=$D$5, 1, IF(Q68&lt;=2*$D$5,2,3)),0 )</f>
        <v>0</v>
      </c>
      <c r="R72" s="799">
        <f t="shared" ref="R72:W72" si="139">IF(R68&gt;0, IF(R68&lt;=$D$5, 1, IF(R68&lt;=2*$D$5,2,3)),0 )</f>
        <v>0</v>
      </c>
      <c r="S72" s="799">
        <f t="shared" si="139"/>
        <v>1</v>
      </c>
      <c r="T72" s="799">
        <f t="shared" si="139"/>
        <v>0</v>
      </c>
      <c r="U72" s="799">
        <f t="shared" si="139"/>
        <v>0</v>
      </c>
      <c r="V72" s="799">
        <f t="shared" si="139"/>
        <v>0</v>
      </c>
      <c r="W72" s="799">
        <f t="shared" si="139"/>
        <v>0</v>
      </c>
      <c r="Z72" s="326" t="s">
        <v>740</v>
      </c>
      <c r="AA72" s="799"/>
      <c r="AB72" s="799">
        <f>IF(AB68&gt;0, IF(AB68&lt;=$D$5, 1, IF(AB68&lt;=2*$D$5,2,3)),0 )</f>
        <v>0</v>
      </c>
      <c r="AC72" s="799">
        <f t="shared" ref="AC72:AH72" si="140">IF(AC68&gt;0, IF(AC68&lt;=$D$5, 1, IF(AC68&lt;=2*$D$5,2,3)),0 )</f>
        <v>0</v>
      </c>
      <c r="AD72" s="799">
        <f t="shared" si="140"/>
        <v>1</v>
      </c>
      <c r="AE72" s="799">
        <f t="shared" si="140"/>
        <v>1</v>
      </c>
      <c r="AF72" s="799">
        <f t="shared" si="140"/>
        <v>0</v>
      </c>
      <c r="AG72" s="799">
        <f t="shared" si="140"/>
        <v>0</v>
      </c>
      <c r="AH72" s="799">
        <f t="shared" si="140"/>
        <v>0</v>
      </c>
      <c r="AL72" s="326" t="s">
        <v>740</v>
      </c>
      <c r="AM72" s="799"/>
      <c r="AN72" s="799">
        <f>IF(AN68&gt;0, IF(AN68&lt;=$D$5, 1, IF(AN68&lt;=2*$D$5,2,3)),0 )</f>
        <v>1</v>
      </c>
      <c r="AO72" s="799">
        <f t="shared" ref="AO72:AT72" si="141">IF(AO68&gt;0, IF(AO68&lt;=$D$5, 1, IF(AO68&lt;=2*$D$5,2,3)),0 )</f>
        <v>0</v>
      </c>
      <c r="AP72" s="799">
        <f t="shared" si="141"/>
        <v>0</v>
      </c>
      <c r="AQ72" s="799">
        <f t="shared" si="141"/>
        <v>1</v>
      </c>
      <c r="AR72" s="799">
        <f t="shared" si="141"/>
        <v>0</v>
      </c>
      <c r="AS72" s="799">
        <f t="shared" si="141"/>
        <v>0</v>
      </c>
      <c r="AT72" s="799">
        <f t="shared" si="141"/>
        <v>0</v>
      </c>
      <c r="AX72" s="326" t="s">
        <v>740</v>
      </c>
      <c r="AY72" s="799"/>
      <c r="AZ72" s="799">
        <f>IF(AZ68&gt;0, IF(AZ68&lt;=$D$5, 1, IF(AZ68&lt;=2*$D$5,2,3)),0 )</f>
        <v>0</v>
      </c>
      <c r="BA72" s="799">
        <f t="shared" ref="BA72:BF72" si="142">IF(BA68&gt;0, IF(BA68&lt;=$D$5, 1, IF(BA68&lt;=2*$D$5,2,3)),0 )</f>
        <v>0</v>
      </c>
      <c r="BB72" s="799">
        <f t="shared" si="142"/>
        <v>0</v>
      </c>
      <c r="BC72" s="799">
        <f t="shared" si="142"/>
        <v>0</v>
      </c>
      <c r="BD72" s="799">
        <f t="shared" si="142"/>
        <v>0</v>
      </c>
      <c r="BE72" s="799">
        <f t="shared" si="142"/>
        <v>1</v>
      </c>
      <c r="BF72" s="799">
        <f t="shared" si="142"/>
        <v>0</v>
      </c>
      <c r="BG72" s="799">
        <f t="shared" ref="BG72:BH72" si="143">IF(BG68&gt;0, IF(BG68&lt;=$D$5, 1, IF(BG68&lt;=2*$D$5,2,3)),0 )</f>
        <v>0</v>
      </c>
      <c r="BH72" s="799">
        <f t="shared" si="143"/>
        <v>0</v>
      </c>
    </row>
    <row r="73" spans="2:60" hidden="1" x14ac:dyDescent="0.3">
      <c r="C73" s="519" t="s">
        <v>337</v>
      </c>
      <c r="D73" s="774"/>
      <c r="M73" s="460"/>
      <c r="O73" s="519" t="s">
        <v>337</v>
      </c>
      <c r="P73" s="774"/>
      <c r="Z73" s="519" t="s">
        <v>337</v>
      </c>
      <c r="AA73" s="774"/>
      <c r="AL73" s="519" t="s">
        <v>337</v>
      </c>
      <c r="AM73" s="774"/>
      <c r="AX73" s="519" t="s">
        <v>337</v>
      </c>
      <c r="AY73" s="774"/>
    </row>
    <row r="74" spans="2:60" hidden="1" x14ac:dyDescent="0.3">
      <c r="C74" s="437" t="s">
        <v>600</v>
      </c>
      <c r="D74" s="479" t="str">
        <f>[1]DC3!C2</f>
        <v>Value</v>
      </c>
      <c r="M74" s="460"/>
      <c r="O74" s="437" t="s">
        <v>600</v>
      </c>
      <c r="P74" s="479">
        <f>[1]DC3!O2</f>
        <v>0</v>
      </c>
      <c r="Z74" s="437" t="s">
        <v>600</v>
      </c>
      <c r="AA74" s="479">
        <f>[1]DC3!Z2</f>
        <v>0</v>
      </c>
      <c r="AL74" s="437" t="s">
        <v>600</v>
      </c>
      <c r="AM74" s="479">
        <f>[1]DC3!AB2</f>
        <v>0</v>
      </c>
      <c r="AX74" s="437" t="s">
        <v>600</v>
      </c>
      <c r="AY74" s="479">
        <f>[1]DC3!AN2</f>
        <v>0</v>
      </c>
    </row>
    <row r="75" spans="2:60" ht="14.4" hidden="1" customHeight="1" x14ac:dyDescent="0.3">
      <c r="C75" s="437" t="s">
        <v>601</v>
      </c>
      <c r="D75" s="479">
        <f>[1]DC3!C3</f>
        <v>20</v>
      </c>
      <c r="O75" s="437" t="s">
        <v>601</v>
      </c>
      <c r="P75" s="479">
        <f>[1]DC3!O3</f>
        <v>0</v>
      </c>
      <c r="Z75" s="437" t="s">
        <v>601</v>
      </c>
      <c r="AA75" s="479">
        <f>[1]DC3!Z3</f>
        <v>0</v>
      </c>
      <c r="AL75" s="437" t="s">
        <v>601</v>
      </c>
      <c r="AM75" s="479">
        <f>[1]DC3!AB3</f>
        <v>0</v>
      </c>
      <c r="AX75" s="437" t="s">
        <v>601</v>
      </c>
      <c r="AY75" s="479">
        <f>[1]DC3!AN3</f>
        <v>0</v>
      </c>
    </row>
    <row r="76" spans="2:60" ht="14.4" hidden="1" customHeight="1" x14ac:dyDescent="0.3">
      <c r="C76" s="438" t="s">
        <v>602</v>
      </c>
      <c r="D76" s="480">
        <f>[1]DC3!C4</f>
        <v>10</v>
      </c>
      <c r="O76" s="438" t="s">
        <v>602</v>
      </c>
      <c r="P76" s="480">
        <f>[1]DC3!O4</f>
        <v>0</v>
      </c>
      <c r="Z76" s="438" t="s">
        <v>602</v>
      </c>
      <c r="AA76" s="480">
        <f>[1]DC3!Z4</f>
        <v>0</v>
      </c>
      <c r="AL76" s="438" t="s">
        <v>602</v>
      </c>
      <c r="AM76" s="480">
        <f>[1]DC3!AB4</f>
        <v>0</v>
      </c>
      <c r="AX76" s="438" t="s">
        <v>602</v>
      </c>
      <c r="AY76" s="480">
        <f>[1]DC3!AN4</f>
        <v>0</v>
      </c>
    </row>
    <row r="77" spans="2:60" ht="14.4" hidden="1" customHeight="1" x14ac:dyDescent="0.3">
      <c r="C77" s="438" t="s">
        <v>603</v>
      </c>
      <c r="D77" s="480">
        <f>[1]DC3!C5</f>
        <v>20</v>
      </c>
      <c r="O77" s="438" t="s">
        <v>603</v>
      </c>
      <c r="P77" s="480">
        <f>[1]DC3!O5</f>
        <v>0</v>
      </c>
      <c r="Z77" s="438" t="s">
        <v>603</v>
      </c>
      <c r="AA77" s="480">
        <f>[1]DC3!Z5</f>
        <v>0</v>
      </c>
      <c r="AL77" s="438" t="s">
        <v>603</v>
      </c>
      <c r="AM77" s="480">
        <f>[1]DC3!AB5</f>
        <v>0</v>
      </c>
      <c r="AX77" s="438" t="s">
        <v>603</v>
      </c>
      <c r="AY77" s="480">
        <f>[1]DC3!AN5</f>
        <v>0</v>
      </c>
    </row>
    <row r="78" spans="2:60" ht="14.4" hidden="1" customHeight="1" x14ac:dyDescent="0.3">
      <c r="C78" s="437" t="s">
        <v>644</v>
      </c>
      <c r="D78" s="446">
        <v>0</v>
      </c>
      <c r="O78" s="437" t="s">
        <v>644</v>
      </c>
      <c r="P78" s="446">
        <v>0</v>
      </c>
      <c r="Z78" s="437" t="s">
        <v>644</v>
      </c>
      <c r="AA78" s="446">
        <v>0</v>
      </c>
      <c r="AL78" s="437" t="s">
        <v>644</v>
      </c>
      <c r="AM78" s="446">
        <v>0</v>
      </c>
      <c r="AX78" s="437" t="s">
        <v>644</v>
      </c>
      <c r="AY78" s="446">
        <v>0</v>
      </c>
    </row>
    <row r="79" spans="2:60" ht="14.4" hidden="1" customHeight="1" x14ac:dyDescent="0.3">
      <c r="C79" s="437" t="s">
        <v>604</v>
      </c>
      <c r="D79" s="446">
        <v>10</v>
      </c>
      <c r="O79" s="437" t="s">
        <v>604</v>
      </c>
      <c r="P79" s="446">
        <v>10</v>
      </c>
      <c r="Z79" s="437" t="s">
        <v>604</v>
      </c>
      <c r="AA79" s="446">
        <v>10</v>
      </c>
      <c r="AL79" s="437" t="s">
        <v>604</v>
      </c>
      <c r="AM79" s="446">
        <v>10</v>
      </c>
      <c r="AX79" s="437" t="s">
        <v>604</v>
      </c>
      <c r="AY79" s="446">
        <v>10</v>
      </c>
    </row>
    <row r="80" spans="2:60" ht="15" hidden="1" customHeight="1" x14ac:dyDescent="0.3">
      <c r="C80" s="437" t="s">
        <v>605</v>
      </c>
      <c r="D80" s="446">
        <v>5</v>
      </c>
      <c r="O80" s="437" t="s">
        <v>605</v>
      </c>
      <c r="P80" s="446">
        <v>5</v>
      </c>
      <c r="Z80" s="437" t="s">
        <v>605</v>
      </c>
      <c r="AA80" s="446">
        <v>5</v>
      </c>
      <c r="AL80" s="437" t="s">
        <v>605</v>
      </c>
      <c r="AM80" s="446">
        <v>5</v>
      </c>
      <c r="AX80" s="437" t="s">
        <v>605</v>
      </c>
      <c r="AY80" s="446">
        <v>5</v>
      </c>
    </row>
    <row r="81" spans="2:60" ht="15" hidden="1" customHeight="1" x14ac:dyDescent="0.3">
      <c r="C81" s="437" t="s">
        <v>638</v>
      </c>
      <c r="D81" s="446">
        <v>69</v>
      </c>
      <c r="O81" s="437" t="s">
        <v>638</v>
      </c>
      <c r="P81" s="446">
        <v>69</v>
      </c>
      <c r="Z81" s="437" t="s">
        <v>638</v>
      </c>
      <c r="AA81" s="446">
        <v>69</v>
      </c>
      <c r="AL81" s="437" t="s">
        <v>638</v>
      </c>
      <c r="AM81" s="446">
        <v>69</v>
      </c>
      <c r="AX81" s="437" t="s">
        <v>638</v>
      </c>
      <c r="AY81" s="446">
        <v>69</v>
      </c>
    </row>
    <row r="82" spans="2:60" ht="15" hidden="1" customHeight="1" x14ac:dyDescent="0.3">
      <c r="E82" s="952" t="s">
        <v>25</v>
      </c>
      <c r="F82" s="953"/>
      <c r="G82" s="952" t="s">
        <v>248</v>
      </c>
      <c r="H82" s="954"/>
      <c r="I82" s="954"/>
      <c r="J82" s="953"/>
      <c r="K82" s="775" t="s">
        <v>249</v>
      </c>
      <c r="Q82" s="952" t="s">
        <v>25</v>
      </c>
      <c r="R82" s="953"/>
      <c r="S82" s="952" t="s">
        <v>248</v>
      </c>
      <c r="T82" s="954"/>
      <c r="U82" s="954"/>
      <c r="V82" s="953"/>
      <c r="W82" s="775" t="s">
        <v>249</v>
      </c>
      <c r="AB82" s="952" t="s">
        <v>25</v>
      </c>
      <c r="AC82" s="953"/>
      <c r="AD82" s="952" t="s">
        <v>248</v>
      </c>
      <c r="AE82" s="954"/>
      <c r="AF82" s="954"/>
      <c r="AG82" s="953"/>
      <c r="AH82" s="775" t="s">
        <v>249</v>
      </c>
      <c r="AN82" s="952" t="s">
        <v>25</v>
      </c>
      <c r="AO82" s="953"/>
      <c r="AP82" s="952" t="s">
        <v>248</v>
      </c>
      <c r="AQ82" s="954"/>
      <c r="AR82" s="954"/>
      <c r="AS82" s="953"/>
      <c r="AT82" s="775" t="s">
        <v>249</v>
      </c>
      <c r="AZ82" s="952" t="s">
        <v>25</v>
      </c>
      <c r="BA82" s="953"/>
      <c r="BB82" s="952" t="s">
        <v>248</v>
      </c>
      <c r="BC82" s="954"/>
      <c r="BD82" s="954"/>
      <c r="BE82" s="953"/>
      <c r="BF82" s="775" t="s">
        <v>249</v>
      </c>
      <c r="BG82" s="779" t="s">
        <v>249</v>
      </c>
      <c r="BH82" s="779" t="s">
        <v>249</v>
      </c>
    </row>
    <row r="83" spans="2:60" ht="15" hidden="1" thickBot="1" x14ac:dyDescent="0.35">
      <c r="D83" s="608" t="s">
        <v>606</v>
      </c>
      <c r="E83" s="777" t="s">
        <v>220</v>
      </c>
      <c r="F83" s="776" t="s">
        <v>109</v>
      </c>
      <c r="G83" s="555" t="s">
        <v>110</v>
      </c>
      <c r="H83" s="558" t="s">
        <v>111</v>
      </c>
      <c r="I83" s="558" t="s">
        <v>112</v>
      </c>
      <c r="J83" s="557" t="s">
        <v>113</v>
      </c>
      <c r="K83" s="555" t="s">
        <v>114</v>
      </c>
      <c r="P83" s="608" t="s">
        <v>606</v>
      </c>
      <c r="Q83" s="777" t="s">
        <v>220</v>
      </c>
      <c r="R83" s="776" t="s">
        <v>109</v>
      </c>
      <c r="S83" s="555" t="s">
        <v>110</v>
      </c>
      <c r="T83" s="558" t="s">
        <v>111</v>
      </c>
      <c r="U83" s="558" t="s">
        <v>112</v>
      </c>
      <c r="V83" s="557" t="s">
        <v>113</v>
      </c>
      <c r="W83" s="555" t="s">
        <v>114</v>
      </c>
      <c r="AA83" s="608" t="s">
        <v>606</v>
      </c>
      <c r="AB83" s="777" t="s">
        <v>220</v>
      </c>
      <c r="AC83" s="776" t="s">
        <v>109</v>
      </c>
      <c r="AD83" s="555" t="s">
        <v>110</v>
      </c>
      <c r="AE83" s="558" t="s">
        <v>111</v>
      </c>
      <c r="AF83" s="558" t="s">
        <v>112</v>
      </c>
      <c r="AG83" s="557" t="s">
        <v>113</v>
      </c>
      <c r="AH83" s="555" t="s">
        <v>114</v>
      </c>
      <c r="AM83" s="608" t="s">
        <v>606</v>
      </c>
      <c r="AN83" s="777" t="s">
        <v>220</v>
      </c>
      <c r="AO83" s="776" t="s">
        <v>109</v>
      </c>
      <c r="AP83" s="555" t="s">
        <v>110</v>
      </c>
      <c r="AQ83" s="558" t="s">
        <v>111</v>
      </c>
      <c r="AR83" s="558" t="s">
        <v>112</v>
      </c>
      <c r="AS83" s="557" t="s">
        <v>113</v>
      </c>
      <c r="AT83" s="555" t="s">
        <v>114</v>
      </c>
      <c r="AY83" s="608" t="s">
        <v>606</v>
      </c>
      <c r="AZ83" s="777" t="s">
        <v>220</v>
      </c>
      <c r="BA83" s="776" t="s">
        <v>109</v>
      </c>
      <c r="BB83" s="555" t="s">
        <v>110</v>
      </c>
      <c r="BC83" s="558" t="s">
        <v>111</v>
      </c>
      <c r="BD83" s="558" t="s">
        <v>112</v>
      </c>
      <c r="BE83" s="557" t="s">
        <v>113</v>
      </c>
      <c r="BF83" s="555" t="s">
        <v>114</v>
      </c>
      <c r="BG83" s="555" t="s">
        <v>114</v>
      </c>
      <c r="BH83" s="555" t="s">
        <v>114</v>
      </c>
    </row>
    <row r="84" spans="2:60" hidden="1" x14ac:dyDescent="0.3">
      <c r="C84" s="514" t="s">
        <v>641</v>
      </c>
      <c r="D84" s="444"/>
      <c r="E84" s="453">
        <v>0</v>
      </c>
      <c r="F84" s="567">
        <v>0</v>
      </c>
      <c r="G84" s="570">
        <v>0</v>
      </c>
      <c r="H84" s="453">
        <v>0</v>
      </c>
      <c r="I84" s="453">
        <v>0</v>
      </c>
      <c r="J84" s="567">
        <v>0</v>
      </c>
      <c r="K84" s="570">
        <v>0</v>
      </c>
      <c r="O84" s="514" t="s">
        <v>641</v>
      </c>
      <c r="P84" s="444"/>
      <c r="Q84" s="453">
        <v>0</v>
      </c>
      <c r="R84" s="567">
        <v>0</v>
      </c>
      <c r="S84" s="570">
        <v>0</v>
      </c>
      <c r="T84" s="453">
        <v>0</v>
      </c>
      <c r="U84" s="453">
        <v>0</v>
      </c>
      <c r="V84" s="567">
        <v>0</v>
      </c>
      <c r="W84" s="570">
        <v>0</v>
      </c>
      <c r="Z84" s="514" t="s">
        <v>641</v>
      </c>
      <c r="AA84" s="444"/>
      <c r="AB84" s="453">
        <v>0</v>
      </c>
      <c r="AC84" s="567">
        <v>0</v>
      </c>
      <c r="AD84" s="570">
        <v>0</v>
      </c>
      <c r="AE84" s="453">
        <v>0</v>
      </c>
      <c r="AF84" s="453">
        <v>0</v>
      </c>
      <c r="AG84" s="567">
        <v>0</v>
      </c>
      <c r="AH84" s="570">
        <v>0</v>
      </c>
      <c r="AL84" s="514" t="s">
        <v>641</v>
      </c>
      <c r="AM84" s="444"/>
      <c r="AN84" s="453">
        <v>0</v>
      </c>
      <c r="AO84" s="567">
        <v>0</v>
      </c>
      <c r="AP84" s="570">
        <v>0</v>
      </c>
      <c r="AQ84" s="453">
        <v>0</v>
      </c>
      <c r="AR84" s="453">
        <v>0</v>
      </c>
      <c r="AS84" s="567">
        <v>0</v>
      </c>
      <c r="AT84" s="570">
        <v>0</v>
      </c>
      <c r="AX84" s="514" t="s">
        <v>641</v>
      </c>
      <c r="AY84" s="444"/>
      <c r="AZ84" s="453">
        <v>0</v>
      </c>
      <c r="BA84" s="567">
        <v>0</v>
      </c>
      <c r="BB84" s="570">
        <v>0</v>
      </c>
      <c r="BC84" s="453">
        <v>0</v>
      </c>
      <c r="BD84" s="453">
        <v>0</v>
      </c>
      <c r="BE84" s="567">
        <v>0</v>
      </c>
      <c r="BF84" s="570">
        <v>0</v>
      </c>
      <c r="BG84" s="570">
        <v>0</v>
      </c>
      <c r="BH84" s="570">
        <v>0</v>
      </c>
    </row>
    <row r="85" spans="2:60" ht="15" hidden="1" thickBot="1" x14ac:dyDescent="0.35">
      <c r="C85" s="447" t="s">
        <v>643</v>
      </c>
      <c r="D85" s="486"/>
      <c r="E85" s="487">
        <f t="shared" ref="E85:K85" si="144">SUM(E84:E84)</f>
        <v>0</v>
      </c>
      <c r="F85" s="568">
        <f t="shared" si="144"/>
        <v>0</v>
      </c>
      <c r="G85" s="486">
        <f t="shared" si="144"/>
        <v>0</v>
      </c>
      <c r="H85" s="487">
        <f t="shared" si="144"/>
        <v>0</v>
      </c>
      <c r="I85" s="487">
        <f t="shared" si="144"/>
        <v>0</v>
      </c>
      <c r="J85" s="488">
        <f t="shared" si="144"/>
        <v>0</v>
      </c>
      <c r="K85" s="486">
        <f t="shared" si="144"/>
        <v>0</v>
      </c>
      <c r="O85" s="447" t="s">
        <v>643</v>
      </c>
      <c r="P85" s="486"/>
      <c r="Q85" s="487">
        <f t="shared" ref="Q85:W85" si="145">SUM(Q84:Q84)</f>
        <v>0</v>
      </c>
      <c r="R85" s="568">
        <f t="shared" si="145"/>
        <v>0</v>
      </c>
      <c r="S85" s="486">
        <f t="shared" si="145"/>
        <v>0</v>
      </c>
      <c r="T85" s="487">
        <f t="shared" si="145"/>
        <v>0</v>
      </c>
      <c r="U85" s="487">
        <f t="shared" si="145"/>
        <v>0</v>
      </c>
      <c r="V85" s="488">
        <f t="shared" si="145"/>
        <v>0</v>
      </c>
      <c r="W85" s="486">
        <f t="shared" si="145"/>
        <v>0</v>
      </c>
      <c r="Z85" s="447" t="s">
        <v>643</v>
      </c>
      <c r="AA85" s="486"/>
      <c r="AB85" s="487">
        <f t="shared" ref="AB85:AH85" si="146">SUM(AB84:AB84)</f>
        <v>0</v>
      </c>
      <c r="AC85" s="568">
        <f t="shared" si="146"/>
        <v>0</v>
      </c>
      <c r="AD85" s="486">
        <f t="shared" si="146"/>
        <v>0</v>
      </c>
      <c r="AE85" s="487">
        <f t="shared" si="146"/>
        <v>0</v>
      </c>
      <c r="AF85" s="487">
        <f t="shared" si="146"/>
        <v>0</v>
      </c>
      <c r="AG85" s="488">
        <f t="shared" si="146"/>
        <v>0</v>
      </c>
      <c r="AH85" s="486">
        <f t="shared" si="146"/>
        <v>0</v>
      </c>
      <c r="AL85" s="447" t="s">
        <v>643</v>
      </c>
      <c r="AM85" s="486"/>
      <c r="AN85" s="487">
        <f t="shared" ref="AN85:AT85" si="147">SUM(AN84:AN84)</f>
        <v>0</v>
      </c>
      <c r="AO85" s="568">
        <f t="shared" si="147"/>
        <v>0</v>
      </c>
      <c r="AP85" s="486">
        <f t="shared" si="147"/>
        <v>0</v>
      </c>
      <c r="AQ85" s="487">
        <f t="shared" si="147"/>
        <v>0</v>
      </c>
      <c r="AR85" s="487">
        <f t="shared" si="147"/>
        <v>0</v>
      </c>
      <c r="AS85" s="488">
        <f t="shared" si="147"/>
        <v>0</v>
      </c>
      <c r="AT85" s="486">
        <f t="shared" si="147"/>
        <v>0</v>
      </c>
      <c r="AX85" s="447" t="s">
        <v>643</v>
      </c>
      <c r="AY85" s="486"/>
      <c r="AZ85" s="487">
        <f t="shared" ref="AZ85:BF85" si="148">SUM(AZ84:AZ84)</f>
        <v>0</v>
      </c>
      <c r="BA85" s="568">
        <f t="shared" si="148"/>
        <v>0</v>
      </c>
      <c r="BB85" s="486">
        <f t="shared" si="148"/>
        <v>0</v>
      </c>
      <c r="BC85" s="487">
        <f t="shared" si="148"/>
        <v>0</v>
      </c>
      <c r="BD85" s="487">
        <f t="shared" si="148"/>
        <v>0</v>
      </c>
      <c r="BE85" s="488">
        <f t="shared" si="148"/>
        <v>0</v>
      </c>
      <c r="BF85" s="486">
        <f t="shared" si="148"/>
        <v>0</v>
      </c>
      <c r="BG85" s="486">
        <f t="shared" ref="BG85:BH85" si="149">SUM(BG84:BG84)</f>
        <v>0</v>
      </c>
      <c r="BH85" s="486">
        <f t="shared" si="149"/>
        <v>0</v>
      </c>
    </row>
    <row r="86" spans="2:60" hidden="1" x14ac:dyDescent="0.3">
      <c r="C86" s="489" t="s">
        <v>651</v>
      </c>
      <c r="D86" s="452"/>
      <c r="E86" s="629">
        <v>10</v>
      </c>
      <c r="F86" s="629">
        <v>40</v>
      </c>
      <c r="G86" s="573"/>
      <c r="H86" s="490"/>
      <c r="I86" s="490"/>
      <c r="J86" s="491"/>
      <c r="K86" s="509"/>
      <c r="O86" s="489" t="s">
        <v>651</v>
      </c>
      <c r="P86" s="452"/>
      <c r="Q86" s="629">
        <v>10</v>
      </c>
      <c r="R86" s="629">
        <v>40</v>
      </c>
      <c r="S86" s="573"/>
      <c r="T86" s="490"/>
      <c r="U86" s="490"/>
      <c r="V86" s="491"/>
      <c r="W86" s="509"/>
      <c r="Z86" s="489" t="s">
        <v>651</v>
      </c>
      <c r="AA86" s="452"/>
      <c r="AB86" s="629">
        <v>10</v>
      </c>
      <c r="AC86" s="629">
        <v>40</v>
      </c>
      <c r="AD86" s="573"/>
      <c r="AE86" s="490"/>
      <c r="AF86" s="490"/>
      <c r="AG86" s="491"/>
      <c r="AH86" s="509"/>
      <c r="AL86" s="489" t="s">
        <v>651</v>
      </c>
      <c r="AM86" s="452"/>
      <c r="AN86" s="629">
        <v>10</v>
      </c>
      <c r="AO86" s="629">
        <v>40</v>
      </c>
      <c r="AP86" s="573"/>
      <c r="AQ86" s="490"/>
      <c r="AR86" s="490"/>
      <c r="AS86" s="491"/>
      <c r="AT86" s="509"/>
      <c r="AX86" s="489" t="s">
        <v>651</v>
      </c>
      <c r="AY86" s="452"/>
      <c r="AZ86" s="629">
        <v>10</v>
      </c>
      <c r="BA86" s="629">
        <v>40</v>
      </c>
      <c r="BB86" s="573"/>
      <c r="BC86" s="490"/>
      <c r="BD86" s="490"/>
      <c r="BE86" s="491"/>
      <c r="BF86" s="509"/>
      <c r="BG86" s="509"/>
      <c r="BH86" s="509"/>
    </row>
    <row r="87" spans="2:60" hidden="1" x14ac:dyDescent="0.3">
      <c r="C87" s="492" t="s">
        <v>617</v>
      </c>
      <c r="D87" s="457">
        <v>30</v>
      </c>
      <c r="E87" s="494">
        <f t="shared" ref="E87:K87" si="150">D87+E86+E89-E85</f>
        <v>40</v>
      </c>
      <c r="F87" s="494">
        <f t="shared" si="150"/>
        <v>80</v>
      </c>
      <c r="G87" s="574">
        <f t="shared" si="150"/>
        <v>80</v>
      </c>
      <c r="H87" s="493">
        <f t="shared" si="150"/>
        <v>80</v>
      </c>
      <c r="I87" s="493">
        <f t="shared" si="150"/>
        <v>80</v>
      </c>
      <c r="J87" s="493">
        <f t="shared" si="150"/>
        <v>80</v>
      </c>
      <c r="K87" s="493">
        <f t="shared" si="150"/>
        <v>80</v>
      </c>
      <c r="M87" s="460"/>
      <c r="O87" s="492" t="s">
        <v>617</v>
      </c>
      <c r="P87" s="457">
        <v>30</v>
      </c>
      <c r="Q87" s="494">
        <f t="shared" ref="Q87:W87" si="151">P87+Q86+Q89-Q85</f>
        <v>40</v>
      </c>
      <c r="R87" s="494">
        <f t="shared" si="151"/>
        <v>80</v>
      </c>
      <c r="S87" s="574">
        <f t="shared" si="151"/>
        <v>80</v>
      </c>
      <c r="T87" s="493">
        <f t="shared" si="151"/>
        <v>80</v>
      </c>
      <c r="U87" s="493">
        <f t="shared" si="151"/>
        <v>80</v>
      </c>
      <c r="V87" s="493">
        <f t="shared" si="151"/>
        <v>80</v>
      </c>
      <c r="W87" s="493">
        <f t="shared" si="151"/>
        <v>80</v>
      </c>
      <c r="Z87" s="492" t="s">
        <v>617</v>
      </c>
      <c r="AA87" s="457">
        <v>30</v>
      </c>
      <c r="AB87" s="494">
        <f t="shared" ref="AB87:AH87" si="152">AA87+AB86+AB89-AB85</f>
        <v>40</v>
      </c>
      <c r="AC87" s="494">
        <f t="shared" si="152"/>
        <v>80</v>
      </c>
      <c r="AD87" s="574">
        <f t="shared" si="152"/>
        <v>80</v>
      </c>
      <c r="AE87" s="493">
        <f t="shared" si="152"/>
        <v>80</v>
      </c>
      <c r="AF87" s="493">
        <f t="shared" si="152"/>
        <v>80</v>
      </c>
      <c r="AG87" s="493">
        <f t="shared" si="152"/>
        <v>80</v>
      </c>
      <c r="AH87" s="493">
        <f t="shared" si="152"/>
        <v>80</v>
      </c>
      <c r="AL87" s="492" t="s">
        <v>617</v>
      </c>
      <c r="AM87" s="457">
        <v>30</v>
      </c>
      <c r="AN87" s="494">
        <f t="shared" ref="AN87:AT87" si="153">AM87+AN86+AN89-AN85</f>
        <v>40</v>
      </c>
      <c r="AO87" s="494">
        <f t="shared" si="153"/>
        <v>80</v>
      </c>
      <c r="AP87" s="574">
        <f t="shared" si="153"/>
        <v>80</v>
      </c>
      <c r="AQ87" s="493">
        <f t="shared" si="153"/>
        <v>80</v>
      </c>
      <c r="AR87" s="493">
        <f t="shared" si="153"/>
        <v>80</v>
      </c>
      <c r="AS87" s="493">
        <f t="shared" si="153"/>
        <v>80</v>
      </c>
      <c r="AT87" s="493">
        <f t="shared" si="153"/>
        <v>80</v>
      </c>
      <c r="AX87" s="492" t="s">
        <v>617</v>
      </c>
      <c r="AY87" s="457">
        <v>30</v>
      </c>
      <c r="AZ87" s="494">
        <f t="shared" ref="AZ87:BE87" si="154">AY87+AZ86+AZ89-AZ85</f>
        <v>40</v>
      </c>
      <c r="BA87" s="494">
        <f t="shared" si="154"/>
        <v>80</v>
      </c>
      <c r="BB87" s="574">
        <f t="shared" si="154"/>
        <v>80</v>
      </c>
      <c r="BC87" s="493">
        <f t="shared" si="154"/>
        <v>80</v>
      </c>
      <c r="BD87" s="493">
        <f t="shared" si="154"/>
        <v>80</v>
      </c>
      <c r="BE87" s="493">
        <f t="shared" si="154"/>
        <v>80</v>
      </c>
      <c r="BF87" s="493">
        <f>BE87+BF86+BF89-BF85</f>
        <v>80</v>
      </c>
      <c r="BG87" s="493">
        <f>BF87+BG86+BG89-BG85</f>
        <v>80</v>
      </c>
      <c r="BH87" s="493">
        <f>BG87+BH86+BH89-BH85</f>
        <v>80</v>
      </c>
    </row>
    <row r="88" spans="2:60" hidden="1" x14ac:dyDescent="0.3">
      <c r="C88" s="492" t="s">
        <v>642</v>
      </c>
      <c r="D88" s="495"/>
      <c r="E88" s="459">
        <f t="shared" ref="E88:K88" si="155">IF(D87-E85+E86&lt;=$D$80, E85-E86-D87+$D$80,0)</f>
        <v>0</v>
      </c>
      <c r="F88" s="459">
        <f t="shared" si="155"/>
        <v>0</v>
      </c>
      <c r="G88" s="548">
        <f t="shared" si="155"/>
        <v>0</v>
      </c>
      <c r="H88" s="458">
        <f t="shared" si="155"/>
        <v>0</v>
      </c>
      <c r="I88" s="458">
        <f t="shared" si="155"/>
        <v>0</v>
      </c>
      <c r="J88" s="459">
        <f t="shared" si="155"/>
        <v>0</v>
      </c>
      <c r="K88" s="461">
        <f t="shared" si="155"/>
        <v>0</v>
      </c>
      <c r="M88" s="460"/>
      <c r="O88" s="492" t="s">
        <v>642</v>
      </c>
      <c r="P88" s="495"/>
      <c r="Q88" s="459">
        <f t="shared" ref="Q88:W88" si="156">IF(P87-Q85+Q86&lt;=$D$80, Q85-Q86-P87+$D$80,0)</f>
        <v>0</v>
      </c>
      <c r="R88" s="459">
        <f t="shared" si="156"/>
        <v>0</v>
      </c>
      <c r="S88" s="548">
        <f t="shared" si="156"/>
        <v>0</v>
      </c>
      <c r="T88" s="458">
        <f t="shared" si="156"/>
        <v>0</v>
      </c>
      <c r="U88" s="458">
        <f t="shared" si="156"/>
        <v>0</v>
      </c>
      <c r="V88" s="459">
        <f t="shared" si="156"/>
        <v>0</v>
      </c>
      <c r="W88" s="461">
        <f t="shared" si="156"/>
        <v>0</v>
      </c>
      <c r="Z88" s="492" t="s">
        <v>642</v>
      </c>
      <c r="AA88" s="495"/>
      <c r="AB88" s="459">
        <f t="shared" ref="AB88:AH88" si="157">IF(AA87-AB85+AB86&lt;=$D$80, AB85-AB86-AA87+$D$80,0)</f>
        <v>0</v>
      </c>
      <c r="AC88" s="459">
        <f t="shared" si="157"/>
        <v>0</v>
      </c>
      <c r="AD88" s="548">
        <f t="shared" si="157"/>
        <v>0</v>
      </c>
      <c r="AE88" s="458">
        <f t="shared" si="157"/>
        <v>0</v>
      </c>
      <c r="AF88" s="458">
        <f t="shared" si="157"/>
        <v>0</v>
      </c>
      <c r="AG88" s="459">
        <f t="shared" si="157"/>
        <v>0</v>
      </c>
      <c r="AH88" s="461">
        <f t="shared" si="157"/>
        <v>0</v>
      </c>
      <c r="AL88" s="492" t="s">
        <v>642</v>
      </c>
      <c r="AM88" s="495"/>
      <c r="AN88" s="459">
        <f t="shared" ref="AN88:AT88" si="158">IF(AM87-AN85+AN86&lt;=$D$80, AN85-AN86-AM87+$D$80,0)</f>
        <v>0</v>
      </c>
      <c r="AO88" s="459">
        <f t="shared" si="158"/>
        <v>0</v>
      </c>
      <c r="AP88" s="548">
        <f t="shared" si="158"/>
        <v>0</v>
      </c>
      <c r="AQ88" s="458">
        <f t="shared" si="158"/>
        <v>0</v>
      </c>
      <c r="AR88" s="458">
        <f t="shared" si="158"/>
        <v>0</v>
      </c>
      <c r="AS88" s="459">
        <f t="shared" si="158"/>
        <v>0</v>
      </c>
      <c r="AT88" s="461">
        <f t="shared" si="158"/>
        <v>0</v>
      </c>
      <c r="AX88" s="492" t="s">
        <v>642</v>
      </c>
      <c r="AY88" s="495"/>
      <c r="AZ88" s="459">
        <f t="shared" ref="AZ88:BE88" si="159">IF(AY87-AZ85+AZ86&lt;=$D$80, AZ85-AZ86-AY87+$D$80,0)</f>
        <v>0</v>
      </c>
      <c r="BA88" s="459">
        <f t="shared" si="159"/>
        <v>0</v>
      </c>
      <c r="BB88" s="548">
        <f t="shared" si="159"/>
        <v>0</v>
      </c>
      <c r="BC88" s="458">
        <f t="shared" si="159"/>
        <v>0</v>
      </c>
      <c r="BD88" s="458">
        <f t="shared" si="159"/>
        <v>0</v>
      </c>
      <c r="BE88" s="459">
        <f t="shared" si="159"/>
        <v>0</v>
      </c>
      <c r="BF88" s="461">
        <f>IF(BE87-BF85+BF86&lt;=$D$80, BF85-BF86-BE87+$D$80,0)</f>
        <v>0</v>
      </c>
      <c r="BG88" s="461">
        <f>IF(BF87-BG85+BG86&lt;=$D$80, BG85-BG86-BF87+$D$80,0)</f>
        <v>0</v>
      </c>
      <c r="BH88" s="461">
        <f>IF(BG87-BH85+BH86&lt;=$D$80, BH85-BH86-BG87+$D$80,0)</f>
        <v>0</v>
      </c>
    </row>
    <row r="89" spans="2:60" hidden="1" x14ac:dyDescent="0.3">
      <c r="C89" s="496" t="s">
        <v>647</v>
      </c>
      <c r="D89" s="495"/>
      <c r="E89" s="494">
        <f t="shared" ref="E89:K89" si="160" xml:space="preserve"> CEILING(E88/$D$79,1)*$D$79</f>
        <v>0</v>
      </c>
      <c r="F89" s="494">
        <f t="shared" si="160"/>
        <v>0</v>
      </c>
      <c r="G89" s="574">
        <f t="shared" si="160"/>
        <v>0</v>
      </c>
      <c r="H89" s="493">
        <f t="shared" si="160"/>
        <v>0</v>
      </c>
      <c r="I89" s="493">
        <f t="shared" si="160"/>
        <v>0</v>
      </c>
      <c r="J89" s="494">
        <f t="shared" si="160"/>
        <v>0</v>
      </c>
      <c r="K89" s="495">
        <f t="shared" si="160"/>
        <v>0</v>
      </c>
      <c r="O89" s="496" t="s">
        <v>647</v>
      </c>
      <c r="P89" s="495"/>
      <c r="Q89" s="494">
        <f t="shared" ref="Q89:W89" si="161" xml:space="preserve"> CEILING(Q88/$D$79,1)*$D$79</f>
        <v>0</v>
      </c>
      <c r="R89" s="494">
        <f t="shared" si="161"/>
        <v>0</v>
      </c>
      <c r="S89" s="574">
        <f t="shared" si="161"/>
        <v>0</v>
      </c>
      <c r="T89" s="493">
        <f t="shared" si="161"/>
        <v>0</v>
      </c>
      <c r="U89" s="493">
        <f t="shared" si="161"/>
        <v>0</v>
      </c>
      <c r="V89" s="494">
        <f t="shared" si="161"/>
        <v>0</v>
      </c>
      <c r="W89" s="495">
        <f t="shared" si="161"/>
        <v>0</v>
      </c>
      <c r="Z89" s="496" t="s">
        <v>647</v>
      </c>
      <c r="AA89" s="495"/>
      <c r="AB89" s="494">
        <f t="shared" ref="AB89:AH89" si="162" xml:space="preserve"> CEILING(AB88/$D$79,1)*$D$79</f>
        <v>0</v>
      </c>
      <c r="AC89" s="494">
        <f t="shared" si="162"/>
        <v>0</v>
      </c>
      <c r="AD89" s="574">
        <f t="shared" si="162"/>
        <v>0</v>
      </c>
      <c r="AE89" s="493">
        <f t="shared" si="162"/>
        <v>0</v>
      </c>
      <c r="AF89" s="493">
        <f t="shared" si="162"/>
        <v>0</v>
      </c>
      <c r="AG89" s="494">
        <f t="shared" si="162"/>
        <v>0</v>
      </c>
      <c r="AH89" s="495">
        <f t="shared" si="162"/>
        <v>0</v>
      </c>
      <c r="AL89" s="496" t="s">
        <v>647</v>
      </c>
      <c r="AM89" s="495"/>
      <c r="AN89" s="494">
        <f t="shared" ref="AN89:AT89" si="163" xml:space="preserve"> CEILING(AN88/$D$79,1)*$D$79</f>
        <v>0</v>
      </c>
      <c r="AO89" s="494">
        <f t="shared" si="163"/>
        <v>0</v>
      </c>
      <c r="AP89" s="574">
        <f t="shared" si="163"/>
        <v>0</v>
      </c>
      <c r="AQ89" s="493">
        <f t="shared" si="163"/>
        <v>0</v>
      </c>
      <c r="AR89" s="493">
        <f t="shared" si="163"/>
        <v>0</v>
      </c>
      <c r="AS89" s="494">
        <f t="shared" si="163"/>
        <v>0</v>
      </c>
      <c r="AT89" s="495">
        <f t="shared" si="163"/>
        <v>0</v>
      </c>
      <c r="AX89" s="496" t="s">
        <v>647</v>
      </c>
      <c r="AY89" s="495"/>
      <c r="AZ89" s="494">
        <f t="shared" ref="AZ89:BF89" si="164" xml:space="preserve"> CEILING(AZ88/$D$79,1)*$D$79</f>
        <v>0</v>
      </c>
      <c r="BA89" s="494">
        <f t="shared" si="164"/>
        <v>0</v>
      </c>
      <c r="BB89" s="574">
        <f t="shared" si="164"/>
        <v>0</v>
      </c>
      <c r="BC89" s="493">
        <f t="shared" si="164"/>
        <v>0</v>
      </c>
      <c r="BD89" s="493">
        <f t="shared" si="164"/>
        <v>0</v>
      </c>
      <c r="BE89" s="494">
        <f t="shared" si="164"/>
        <v>0</v>
      </c>
      <c r="BF89" s="495">
        <f t="shared" si="164"/>
        <v>0</v>
      </c>
      <c r="BG89" s="495">
        <f t="shared" ref="BG89:BH89" si="165" xml:space="preserve"> CEILING(BG88/$D$79,1)*$D$79</f>
        <v>0</v>
      </c>
      <c r="BH89" s="495">
        <f t="shared" si="165"/>
        <v>0</v>
      </c>
    </row>
    <row r="90" spans="2:60" ht="15" hidden="1" thickBot="1" x14ac:dyDescent="0.35">
      <c r="C90" s="571" t="s">
        <v>652</v>
      </c>
      <c r="D90" s="463"/>
      <c r="E90" s="464">
        <f t="shared" ref="E90:K90" si="166">E89</f>
        <v>0</v>
      </c>
      <c r="F90" s="465">
        <f t="shared" si="166"/>
        <v>0</v>
      </c>
      <c r="G90" s="549">
        <f t="shared" si="166"/>
        <v>0</v>
      </c>
      <c r="H90" s="464">
        <f t="shared" si="166"/>
        <v>0</v>
      </c>
      <c r="I90" s="464">
        <f t="shared" si="166"/>
        <v>0</v>
      </c>
      <c r="J90" s="465">
        <f t="shared" si="166"/>
        <v>0</v>
      </c>
      <c r="K90" s="463">
        <f t="shared" si="166"/>
        <v>0</v>
      </c>
      <c r="O90" s="571" t="s">
        <v>652</v>
      </c>
      <c r="P90" s="463"/>
      <c r="Q90" s="464">
        <f t="shared" ref="Q90:W90" si="167">Q89</f>
        <v>0</v>
      </c>
      <c r="R90" s="465">
        <f t="shared" si="167"/>
        <v>0</v>
      </c>
      <c r="S90" s="549">
        <f t="shared" si="167"/>
        <v>0</v>
      </c>
      <c r="T90" s="464">
        <f t="shared" si="167"/>
        <v>0</v>
      </c>
      <c r="U90" s="464">
        <f t="shared" si="167"/>
        <v>0</v>
      </c>
      <c r="V90" s="465">
        <f t="shared" si="167"/>
        <v>0</v>
      </c>
      <c r="W90" s="463">
        <f t="shared" si="167"/>
        <v>0</v>
      </c>
      <c r="Z90" s="571" t="s">
        <v>652</v>
      </c>
      <c r="AA90" s="463"/>
      <c r="AB90" s="464">
        <f t="shared" ref="AB90:AH90" si="168">AB89</f>
        <v>0</v>
      </c>
      <c r="AC90" s="465">
        <f t="shared" si="168"/>
        <v>0</v>
      </c>
      <c r="AD90" s="549">
        <f t="shared" si="168"/>
        <v>0</v>
      </c>
      <c r="AE90" s="464">
        <f t="shared" si="168"/>
        <v>0</v>
      </c>
      <c r="AF90" s="464">
        <f t="shared" si="168"/>
        <v>0</v>
      </c>
      <c r="AG90" s="465">
        <f t="shared" si="168"/>
        <v>0</v>
      </c>
      <c r="AH90" s="463">
        <f t="shared" si="168"/>
        <v>0</v>
      </c>
      <c r="AL90" s="571" t="s">
        <v>652</v>
      </c>
      <c r="AM90" s="463"/>
      <c r="AN90" s="464">
        <f t="shared" ref="AN90:AT90" si="169">AN89</f>
        <v>0</v>
      </c>
      <c r="AO90" s="465">
        <f t="shared" si="169"/>
        <v>0</v>
      </c>
      <c r="AP90" s="549">
        <f t="shared" si="169"/>
        <v>0</v>
      </c>
      <c r="AQ90" s="464">
        <f t="shared" si="169"/>
        <v>0</v>
      </c>
      <c r="AR90" s="464">
        <f t="shared" si="169"/>
        <v>0</v>
      </c>
      <c r="AS90" s="465">
        <f t="shared" si="169"/>
        <v>0</v>
      </c>
      <c r="AT90" s="463">
        <f t="shared" si="169"/>
        <v>0</v>
      </c>
      <c r="AX90" s="571" t="s">
        <v>652</v>
      </c>
      <c r="AY90" s="463"/>
      <c r="AZ90" s="464">
        <f t="shared" ref="AZ90:BF90" si="170">AZ89</f>
        <v>0</v>
      </c>
      <c r="BA90" s="465">
        <f t="shared" si="170"/>
        <v>0</v>
      </c>
      <c r="BB90" s="549">
        <f t="shared" si="170"/>
        <v>0</v>
      </c>
      <c r="BC90" s="464">
        <f t="shared" si="170"/>
        <v>0</v>
      </c>
      <c r="BD90" s="464">
        <f t="shared" si="170"/>
        <v>0</v>
      </c>
      <c r="BE90" s="465">
        <f t="shared" si="170"/>
        <v>0</v>
      </c>
      <c r="BF90" s="463">
        <f t="shared" si="170"/>
        <v>0</v>
      </c>
      <c r="BG90" s="463">
        <f t="shared" ref="BG90:BH90" si="171">BG89</f>
        <v>0</v>
      </c>
      <c r="BH90" s="463">
        <f t="shared" si="171"/>
        <v>0</v>
      </c>
    </row>
    <row r="91" spans="2:60" hidden="1" x14ac:dyDescent="0.3">
      <c r="C91" s="478" t="s">
        <v>612</v>
      </c>
      <c r="D91" s="467"/>
      <c r="E91" s="468">
        <f>QUOTIENT(MOD(E90+$D$53-1,$D$52),$D$53)</f>
        <v>0</v>
      </c>
      <c r="F91" s="468">
        <f t="shared" ref="F91:K91" si="172">QUOTIENT(MOD(F90+$D$53-1,$D$52),$D$53)</f>
        <v>0</v>
      </c>
      <c r="G91" s="468">
        <f t="shared" si="172"/>
        <v>0</v>
      </c>
      <c r="H91" s="468">
        <f t="shared" si="172"/>
        <v>0</v>
      </c>
      <c r="I91" s="468">
        <f t="shared" si="172"/>
        <v>0</v>
      </c>
      <c r="J91" s="468">
        <f t="shared" si="172"/>
        <v>0</v>
      </c>
      <c r="K91" s="468">
        <f t="shared" si="172"/>
        <v>0</v>
      </c>
      <c r="O91" s="478" t="s">
        <v>612</v>
      </c>
      <c r="P91" s="467"/>
      <c r="Q91" s="468">
        <f>QUOTIENT(MOD(Q90+$D$53-1,$D$52),$D$53)</f>
        <v>0</v>
      </c>
      <c r="R91" s="468">
        <f t="shared" ref="R91:W91" si="173">QUOTIENT(MOD(R90+$D$53-1,$D$52),$D$53)</f>
        <v>0</v>
      </c>
      <c r="S91" s="468">
        <f t="shared" si="173"/>
        <v>0</v>
      </c>
      <c r="T91" s="468">
        <f t="shared" si="173"/>
        <v>0</v>
      </c>
      <c r="U91" s="468">
        <f t="shared" si="173"/>
        <v>0</v>
      </c>
      <c r="V91" s="468">
        <f t="shared" si="173"/>
        <v>0</v>
      </c>
      <c r="W91" s="468">
        <f t="shared" si="173"/>
        <v>0</v>
      </c>
      <c r="Z91" s="478" t="s">
        <v>612</v>
      </c>
      <c r="AA91" s="467"/>
      <c r="AB91" s="468">
        <f>QUOTIENT(MOD(AB90+$D$53-1,$D$52),$D$53)</f>
        <v>0</v>
      </c>
      <c r="AC91" s="468">
        <f t="shared" ref="AC91:AH91" si="174">QUOTIENT(MOD(AC90+$D$53-1,$D$52),$D$53)</f>
        <v>0</v>
      </c>
      <c r="AD91" s="468">
        <f t="shared" si="174"/>
        <v>0</v>
      </c>
      <c r="AE91" s="468">
        <f t="shared" si="174"/>
        <v>0</v>
      </c>
      <c r="AF91" s="468">
        <f t="shared" si="174"/>
        <v>0</v>
      </c>
      <c r="AG91" s="468">
        <f t="shared" si="174"/>
        <v>0</v>
      </c>
      <c r="AH91" s="468">
        <f t="shared" si="174"/>
        <v>0</v>
      </c>
      <c r="AL91" s="478" t="s">
        <v>612</v>
      </c>
      <c r="AM91" s="467"/>
      <c r="AN91" s="468">
        <f>QUOTIENT(MOD(AN90+$D$53-1,$D$52),$D$53)</f>
        <v>0</v>
      </c>
      <c r="AO91" s="468">
        <f t="shared" ref="AO91:AT91" si="175">QUOTIENT(MOD(AO90+$D$53-1,$D$52),$D$53)</f>
        <v>0</v>
      </c>
      <c r="AP91" s="468">
        <f t="shared" si="175"/>
        <v>0</v>
      </c>
      <c r="AQ91" s="468">
        <f t="shared" si="175"/>
        <v>0</v>
      </c>
      <c r="AR91" s="468">
        <f t="shared" si="175"/>
        <v>0</v>
      </c>
      <c r="AS91" s="468">
        <f t="shared" si="175"/>
        <v>0</v>
      </c>
      <c r="AT91" s="468">
        <f t="shared" si="175"/>
        <v>0</v>
      </c>
      <c r="AX91" s="478" t="s">
        <v>612</v>
      </c>
      <c r="AY91" s="467"/>
      <c r="AZ91" s="468">
        <f>QUOTIENT(MOD(AZ90+$D$53-1,$D$52),$D$53)</f>
        <v>0</v>
      </c>
      <c r="BA91" s="468">
        <f t="shared" ref="BA91:BF91" si="176">QUOTIENT(MOD(BA90+$D$53-1,$D$52),$D$53)</f>
        <v>0</v>
      </c>
      <c r="BB91" s="468">
        <f t="shared" si="176"/>
        <v>0</v>
      </c>
      <c r="BC91" s="468">
        <f t="shared" si="176"/>
        <v>0</v>
      </c>
      <c r="BD91" s="468">
        <f t="shared" si="176"/>
        <v>0</v>
      </c>
      <c r="BE91" s="468">
        <f t="shared" si="176"/>
        <v>0</v>
      </c>
      <c r="BF91" s="468">
        <f t="shared" si="176"/>
        <v>0</v>
      </c>
      <c r="BG91" s="468">
        <f t="shared" ref="BG91:BH91" si="177">QUOTIENT(MOD(BG90+$D$53-1,$D$52),$D$53)</f>
        <v>0</v>
      </c>
      <c r="BH91" s="468">
        <f t="shared" si="177"/>
        <v>0</v>
      </c>
    </row>
    <row r="92" spans="2:60" hidden="1" x14ac:dyDescent="0.3">
      <c r="B92" s="40"/>
      <c r="C92" s="497" t="s">
        <v>613</v>
      </c>
      <c r="D92" s="482"/>
      <c r="E92" s="472">
        <f t="shared" ref="E92:K92" si="178">QUOTIENT(E90+$D$53-1,$D$52)</f>
        <v>0</v>
      </c>
      <c r="F92" s="472">
        <f t="shared" si="178"/>
        <v>0</v>
      </c>
      <c r="G92" s="472">
        <f t="shared" si="178"/>
        <v>0</v>
      </c>
      <c r="H92" s="472">
        <f t="shared" si="178"/>
        <v>0</v>
      </c>
      <c r="I92" s="472">
        <f t="shared" si="178"/>
        <v>0</v>
      </c>
      <c r="J92" s="472">
        <f t="shared" si="178"/>
        <v>0</v>
      </c>
      <c r="K92" s="472">
        <f t="shared" si="178"/>
        <v>0</v>
      </c>
      <c r="N92" s="40"/>
      <c r="O92" s="497" t="s">
        <v>613</v>
      </c>
      <c r="P92" s="482"/>
      <c r="Q92" s="472">
        <f t="shared" ref="Q92:W92" si="179">QUOTIENT(Q90+$D$53-1,$D$52)</f>
        <v>0</v>
      </c>
      <c r="R92" s="472">
        <f t="shared" si="179"/>
        <v>0</v>
      </c>
      <c r="S92" s="472">
        <f t="shared" si="179"/>
        <v>0</v>
      </c>
      <c r="T92" s="472">
        <f t="shared" si="179"/>
        <v>0</v>
      </c>
      <c r="U92" s="472">
        <f t="shared" si="179"/>
        <v>0</v>
      </c>
      <c r="V92" s="472">
        <f t="shared" si="179"/>
        <v>0</v>
      </c>
      <c r="W92" s="472">
        <f t="shared" si="179"/>
        <v>0</v>
      </c>
      <c r="Y92" s="40"/>
      <c r="Z92" s="497" t="s">
        <v>613</v>
      </c>
      <c r="AA92" s="482"/>
      <c r="AB92" s="472">
        <f t="shared" ref="AB92:AH92" si="180">QUOTIENT(AB90+$D$53-1,$D$52)</f>
        <v>0</v>
      </c>
      <c r="AC92" s="472">
        <f t="shared" si="180"/>
        <v>0</v>
      </c>
      <c r="AD92" s="472">
        <f t="shared" si="180"/>
        <v>0</v>
      </c>
      <c r="AE92" s="472">
        <f t="shared" si="180"/>
        <v>0</v>
      </c>
      <c r="AF92" s="472">
        <f t="shared" si="180"/>
        <v>0</v>
      </c>
      <c r="AG92" s="472">
        <f t="shared" si="180"/>
        <v>0</v>
      </c>
      <c r="AH92" s="472">
        <f t="shared" si="180"/>
        <v>0</v>
      </c>
      <c r="AK92" s="40"/>
      <c r="AL92" s="497" t="s">
        <v>613</v>
      </c>
      <c r="AM92" s="482"/>
      <c r="AN92" s="472">
        <f t="shared" ref="AN92:AT92" si="181">QUOTIENT(AN90+$D$53-1,$D$52)</f>
        <v>0</v>
      </c>
      <c r="AO92" s="472">
        <f t="shared" si="181"/>
        <v>0</v>
      </c>
      <c r="AP92" s="472">
        <f t="shared" si="181"/>
        <v>0</v>
      </c>
      <c r="AQ92" s="472">
        <f t="shared" si="181"/>
        <v>0</v>
      </c>
      <c r="AR92" s="472">
        <f t="shared" si="181"/>
        <v>0</v>
      </c>
      <c r="AS92" s="472">
        <f t="shared" si="181"/>
        <v>0</v>
      </c>
      <c r="AT92" s="472">
        <f t="shared" si="181"/>
        <v>0</v>
      </c>
      <c r="AW92" s="40"/>
      <c r="AX92" s="497" t="s">
        <v>613</v>
      </c>
      <c r="AY92" s="482"/>
      <c r="AZ92" s="472">
        <f t="shared" ref="AZ92:BF92" si="182">QUOTIENT(AZ90+$D$53-1,$D$52)</f>
        <v>0</v>
      </c>
      <c r="BA92" s="472">
        <f t="shared" si="182"/>
        <v>0</v>
      </c>
      <c r="BB92" s="472">
        <f t="shared" si="182"/>
        <v>0</v>
      </c>
      <c r="BC92" s="472">
        <f t="shared" si="182"/>
        <v>0</v>
      </c>
      <c r="BD92" s="472">
        <f t="shared" si="182"/>
        <v>0</v>
      </c>
      <c r="BE92" s="472">
        <f t="shared" si="182"/>
        <v>0</v>
      </c>
      <c r="BF92" s="472">
        <f t="shared" si="182"/>
        <v>0</v>
      </c>
      <c r="BG92" s="472">
        <f t="shared" ref="BG92:BH92" si="183">QUOTIENT(BG90+$D$53-1,$D$52)</f>
        <v>0</v>
      </c>
      <c r="BH92" s="472">
        <f t="shared" si="183"/>
        <v>0</v>
      </c>
    </row>
    <row r="93" spans="2:60" ht="15" hidden="1" thickBot="1" x14ac:dyDescent="0.35">
      <c r="C93" s="516" t="s">
        <v>614</v>
      </c>
      <c r="D93" s="474"/>
      <c r="E93" s="475" t="e">
        <f>IF($L$71="Choosing Supplier 1", E92*#REF!+E91*#REF!,E92*#REF!+E91*#REF!)</f>
        <v>#REF!</v>
      </c>
      <c r="F93" s="475" t="e">
        <f>IF($L$71="Choosing Supplier 1", F92*#REF!+F91*#REF!,F92*#REF!+F91*#REF!)</f>
        <v>#REF!</v>
      </c>
      <c r="G93" s="475" t="e">
        <f>IF($L$71="Choosing Supplier 1", G92*#REF!+G91*#REF!,G92*#REF!+G91*#REF!)</f>
        <v>#REF!</v>
      </c>
      <c r="H93" s="475" t="e">
        <f>IF($L$71="Choosing Supplier 1", H92*#REF!+H91*#REF!,H92*#REF!+H91*#REF!)</f>
        <v>#REF!</v>
      </c>
      <c r="I93" s="475" t="e">
        <f>IF($L$71="Choosing Supplier 1", I92*#REF!+I91*#REF!,I92*#REF!+I91*#REF!)</f>
        <v>#REF!</v>
      </c>
      <c r="J93" s="475" t="e">
        <f>IF($L$71="Choosing Supplier 1", J92*#REF!+J91*#REF!,J92*#REF!+J91*#REF!)</f>
        <v>#REF!</v>
      </c>
      <c r="K93" s="475" t="e">
        <f>IF($L$71="Choosing Supplier 1", K92*#REF!+K91*#REF!,K92*#REF!+K91*#REF!)</f>
        <v>#REF!</v>
      </c>
      <c r="L93" s="477" t="e">
        <f>IF(#REF!&lt;#REF!,IF($D$145="Yes","Choosing Supplier 1","Choosing Supplier 2"),IF(#REF!="Yes","Choosing Supplier 2","Choosing Supplier 1"))</f>
        <v>#REF!</v>
      </c>
      <c r="M93" t="s">
        <v>615</v>
      </c>
      <c r="O93" s="516" t="s">
        <v>614</v>
      </c>
      <c r="P93" s="474"/>
      <c r="Q93" s="475" t="e">
        <f>IF($L$71="Choosing Supplier 1", Q92*#REF!+Q91*#REF!,Q92*#REF!+Q91*#REF!)</f>
        <v>#REF!</v>
      </c>
      <c r="R93" s="475" t="e">
        <f>IF($L$71="Choosing Supplier 1", R92*#REF!+R91*#REF!,R92*#REF!+R91*#REF!)</f>
        <v>#REF!</v>
      </c>
      <c r="S93" s="475" t="e">
        <f>IF($L$71="Choosing Supplier 1", S92*#REF!+S91*#REF!,S92*#REF!+S91*#REF!)</f>
        <v>#REF!</v>
      </c>
      <c r="T93" s="475" t="e">
        <f>IF($L$71="Choosing Supplier 1", T92*#REF!+T91*#REF!,T92*#REF!+T91*#REF!)</f>
        <v>#REF!</v>
      </c>
      <c r="U93" s="475" t="e">
        <f>IF($L$71="Choosing Supplier 1", U92*#REF!+U91*#REF!,U92*#REF!+U91*#REF!)</f>
        <v>#REF!</v>
      </c>
      <c r="V93" s="475" t="e">
        <f>IF($L$71="Choosing Supplier 1", V92*#REF!+V91*#REF!,V92*#REF!+V91*#REF!)</f>
        <v>#REF!</v>
      </c>
      <c r="W93" s="475" t="e">
        <f>IF($L$71="Choosing Supplier 1", W92*#REF!+W91*#REF!,W92*#REF!+W91*#REF!)</f>
        <v>#REF!</v>
      </c>
      <c r="Z93" s="516" t="s">
        <v>614</v>
      </c>
      <c r="AA93" s="474"/>
      <c r="AB93" s="475" t="e">
        <f>IF($L$71="Choosing Supplier 1", AB92*#REF!+AB91*#REF!,AB92*#REF!+AB91*#REF!)</f>
        <v>#REF!</v>
      </c>
      <c r="AC93" s="475" t="e">
        <f>IF($L$71="Choosing Supplier 1", AC92*#REF!+AC91*#REF!,AC92*#REF!+AC91*#REF!)</f>
        <v>#REF!</v>
      </c>
      <c r="AD93" s="475" t="e">
        <f>IF($L$71="Choosing Supplier 1", AD92*#REF!+AD91*#REF!,AD92*#REF!+AD91*#REF!)</f>
        <v>#REF!</v>
      </c>
      <c r="AE93" s="475" t="e">
        <f>IF($L$71="Choosing Supplier 1", AE92*#REF!+AE91*#REF!,AE92*#REF!+AE91*#REF!)</f>
        <v>#REF!</v>
      </c>
      <c r="AF93" s="475" t="e">
        <f>IF($L$71="Choosing Supplier 1", AF92*#REF!+AF91*#REF!,AF92*#REF!+AF91*#REF!)</f>
        <v>#REF!</v>
      </c>
      <c r="AG93" s="475" t="e">
        <f>IF($L$71="Choosing Supplier 1", AG92*#REF!+AG91*#REF!,AG92*#REF!+AG91*#REF!)</f>
        <v>#REF!</v>
      </c>
      <c r="AH93" s="475" t="e">
        <f>IF($L$71="Choosing Supplier 1", AH92*#REF!+AH91*#REF!,AH92*#REF!+AH91*#REF!)</f>
        <v>#REF!</v>
      </c>
      <c r="AL93" s="516" t="s">
        <v>614</v>
      </c>
      <c r="AM93" s="474"/>
      <c r="AN93" s="475" t="e">
        <f>IF($L$71="Choosing Supplier 1", AN92*#REF!+AN91*#REF!,AN92*#REF!+AN91*#REF!)</f>
        <v>#REF!</v>
      </c>
      <c r="AO93" s="475" t="e">
        <f>IF($L$71="Choosing Supplier 1", AO92*#REF!+AO91*#REF!,AO92*#REF!+AO91*#REF!)</f>
        <v>#REF!</v>
      </c>
      <c r="AP93" s="475" t="e">
        <f>IF($L$71="Choosing Supplier 1", AP92*#REF!+AP91*#REF!,AP92*#REF!+AP91*#REF!)</f>
        <v>#REF!</v>
      </c>
      <c r="AQ93" s="475" t="e">
        <f>IF($L$71="Choosing Supplier 1", AQ92*#REF!+AQ91*#REF!,AQ92*#REF!+AQ91*#REF!)</f>
        <v>#REF!</v>
      </c>
      <c r="AR93" s="475" t="e">
        <f>IF($L$71="Choosing Supplier 1", AR92*#REF!+AR91*#REF!,AR92*#REF!+AR91*#REF!)</f>
        <v>#REF!</v>
      </c>
      <c r="AS93" s="475" t="e">
        <f>IF($L$71="Choosing Supplier 1", AS92*#REF!+AS91*#REF!,AS92*#REF!+AS91*#REF!)</f>
        <v>#REF!</v>
      </c>
      <c r="AT93" s="475" t="e">
        <f>IF($L$71="Choosing Supplier 1", AT92*#REF!+AT91*#REF!,AT92*#REF!+AT91*#REF!)</f>
        <v>#REF!</v>
      </c>
      <c r="AX93" s="516" t="s">
        <v>614</v>
      </c>
      <c r="AY93" s="474"/>
      <c r="AZ93" s="475" t="e">
        <f>IF($L$71="Choosing Supplier 1", AZ92*#REF!+AZ91*#REF!,AZ92*#REF!+AZ91*#REF!)</f>
        <v>#REF!</v>
      </c>
      <c r="BA93" s="475" t="e">
        <f>IF($L$71="Choosing Supplier 1", BA92*#REF!+BA91*#REF!,BA92*#REF!+BA91*#REF!)</f>
        <v>#REF!</v>
      </c>
      <c r="BB93" s="475" t="e">
        <f>IF($L$71="Choosing Supplier 1", BB92*#REF!+BB91*#REF!,BB92*#REF!+BB91*#REF!)</f>
        <v>#REF!</v>
      </c>
      <c r="BC93" s="475" t="e">
        <f>IF($L$71="Choosing Supplier 1", BC92*#REF!+BC91*#REF!,BC92*#REF!+BC91*#REF!)</f>
        <v>#REF!</v>
      </c>
      <c r="BD93" s="475" t="e">
        <f>IF($L$71="Choosing Supplier 1", BD92*#REF!+BD91*#REF!,BD92*#REF!+BD91*#REF!)</f>
        <v>#REF!</v>
      </c>
      <c r="BE93" s="475" t="e">
        <f>IF($L$71="Choosing Supplier 1", BE92*#REF!+BE91*#REF!,BE92*#REF!+BE91*#REF!)</f>
        <v>#REF!</v>
      </c>
      <c r="BF93" s="475" t="e">
        <f>IF($L$71="Choosing Supplier 1", BF92*#REF!+BF91*#REF!,BF92*#REF!+BF91*#REF!)</f>
        <v>#REF!</v>
      </c>
      <c r="BG93" s="475" t="e">
        <f>IF($L$71="Choosing Supplier 1", BG92*#REF!+BG91*#REF!,BG92*#REF!+BG91*#REF!)</f>
        <v>#REF!</v>
      </c>
      <c r="BH93" s="475" t="e">
        <f>IF($L$71="Choosing Supplier 1", BH92*#REF!+BH91*#REF!,BH92*#REF!+BH91*#REF!)</f>
        <v>#REF!</v>
      </c>
    </row>
    <row r="94" spans="2:60" hidden="1" x14ac:dyDescent="0.3">
      <c r="C94" s="498"/>
      <c r="D94" s="483"/>
      <c r="E94" s="484"/>
      <c r="F94" s="484"/>
      <c r="G94" s="484"/>
      <c r="H94" s="484"/>
      <c r="I94" s="484"/>
      <c r="J94" s="484"/>
      <c r="K94" s="484"/>
      <c r="O94" s="498"/>
      <c r="P94" s="483"/>
      <c r="Q94" s="484"/>
      <c r="R94" s="484"/>
      <c r="S94" s="484"/>
      <c r="T94" s="484"/>
      <c r="U94" s="484"/>
      <c r="V94" s="484"/>
      <c r="W94" s="484"/>
      <c r="Z94" s="498"/>
      <c r="AA94" s="483"/>
      <c r="AB94" s="484"/>
      <c r="AC94" s="484"/>
      <c r="AD94" s="484"/>
      <c r="AE94" s="484"/>
      <c r="AF94" s="484"/>
      <c r="AG94" s="484"/>
      <c r="AH94" s="484"/>
      <c r="AL94" s="498"/>
      <c r="AM94" s="483"/>
      <c r="AN94" s="484"/>
      <c r="AO94" s="484"/>
      <c r="AP94" s="484"/>
      <c r="AQ94" s="484"/>
      <c r="AR94" s="484"/>
      <c r="AS94" s="484"/>
      <c r="AT94" s="484"/>
      <c r="AX94" s="498"/>
      <c r="AY94" s="483"/>
      <c r="AZ94" s="484"/>
      <c r="BA94" s="484"/>
      <c r="BB94" s="484"/>
      <c r="BC94" s="484"/>
      <c r="BD94" s="484"/>
      <c r="BE94" s="484"/>
      <c r="BF94" s="484"/>
      <c r="BG94" s="484"/>
      <c r="BH94" s="484"/>
    </row>
    <row r="95" spans="2:60" hidden="1" x14ac:dyDescent="0.3">
      <c r="C95" s="519" t="s">
        <v>632</v>
      </c>
      <c r="D95" s="774"/>
      <c r="M95" s="460"/>
      <c r="O95" s="519" t="s">
        <v>632</v>
      </c>
      <c r="P95" s="774"/>
      <c r="Z95" s="519" t="s">
        <v>632</v>
      </c>
      <c r="AA95" s="774"/>
      <c r="AL95" s="519" t="s">
        <v>632</v>
      </c>
      <c r="AM95" s="774"/>
      <c r="AX95" s="519" t="s">
        <v>632</v>
      </c>
      <c r="AY95" s="774"/>
    </row>
    <row r="96" spans="2:60" hidden="1" x14ac:dyDescent="0.3">
      <c r="C96" s="437" t="s">
        <v>600</v>
      </c>
      <c r="D96" s="479">
        <f>[1]DC3!C23</f>
        <v>0</v>
      </c>
      <c r="M96" s="460"/>
      <c r="O96" s="437" t="s">
        <v>600</v>
      </c>
      <c r="P96" s="479">
        <f>[1]DC3!O23</f>
        <v>0</v>
      </c>
      <c r="Z96" s="437" t="s">
        <v>600</v>
      </c>
      <c r="AA96" s="479">
        <f>[1]DC3!Z23</f>
        <v>0</v>
      </c>
      <c r="AL96" s="437" t="s">
        <v>600</v>
      </c>
      <c r="AM96" s="479">
        <f>[1]DC3!AB23</f>
        <v>0</v>
      </c>
      <c r="AX96" s="437" t="s">
        <v>600</v>
      </c>
      <c r="AY96" s="479">
        <f>[1]DC3!AN23</f>
        <v>0</v>
      </c>
    </row>
    <row r="97" spans="3:60" ht="14.4" hidden="1" customHeight="1" x14ac:dyDescent="0.3">
      <c r="C97" s="437" t="s">
        <v>601</v>
      </c>
      <c r="D97" s="479">
        <f>[1]DC3!C24</f>
        <v>0</v>
      </c>
      <c r="O97" s="437" t="s">
        <v>601</v>
      </c>
      <c r="P97" s="479">
        <f>[1]DC3!O24</f>
        <v>0</v>
      </c>
      <c r="Z97" s="437" t="s">
        <v>601</v>
      </c>
      <c r="AA97" s="479">
        <f>[1]DC3!Z24</f>
        <v>0</v>
      </c>
      <c r="AL97" s="437" t="s">
        <v>601</v>
      </c>
      <c r="AM97" s="479">
        <f>[1]DC3!AB24</f>
        <v>0</v>
      </c>
      <c r="AX97" s="437" t="s">
        <v>601</v>
      </c>
      <c r="AY97" s="479">
        <f>[1]DC3!AN24</f>
        <v>0</v>
      </c>
    </row>
    <row r="98" spans="3:60" ht="14.4" hidden="1" customHeight="1" x14ac:dyDescent="0.3">
      <c r="C98" s="438" t="s">
        <v>602</v>
      </c>
      <c r="D98" s="480">
        <f>[1]DC3!C25</f>
        <v>0</v>
      </c>
      <c r="O98" s="438" t="s">
        <v>602</v>
      </c>
      <c r="P98" s="480">
        <f>[1]DC3!O25</f>
        <v>0</v>
      </c>
      <c r="Z98" s="438" t="s">
        <v>602</v>
      </c>
      <c r="AA98" s="480">
        <f>[1]DC3!Z25</f>
        <v>0</v>
      </c>
      <c r="AL98" s="438" t="s">
        <v>602</v>
      </c>
      <c r="AM98" s="480">
        <f>[1]DC3!AB25</f>
        <v>0</v>
      </c>
      <c r="AX98" s="438" t="s">
        <v>602</v>
      </c>
      <c r="AY98" s="480">
        <f>[1]DC3!AN25</f>
        <v>0</v>
      </c>
    </row>
    <row r="99" spans="3:60" ht="14.4" hidden="1" customHeight="1" x14ac:dyDescent="0.3">
      <c r="C99" s="438" t="s">
        <v>603</v>
      </c>
      <c r="D99" s="480">
        <f>[1]DC3!C26</f>
        <v>0</v>
      </c>
      <c r="O99" s="438" t="s">
        <v>603</v>
      </c>
      <c r="P99" s="480">
        <f>[1]DC3!O26</f>
        <v>0</v>
      </c>
      <c r="Z99" s="438" t="s">
        <v>603</v>
      </c>
      <c r="AA99" s="480">
        <f>[1]DC3!Z26</f>
        <v>0</v>
      </c>
      <c r="AL99" s="438" t="s">
        <v>603</v>
      </c>
      <c r="AM99" s="480">
        <f>[1]DC3!AB26</f>
        <v>0</v>
      </c>
      <c r="AX99" s="438" t="s">
        <v>603</v>
      </c>
      <c r="AY99" s="480">
        <f>[1]DC3!AN26</f>
        <v>0</v>
      </c>
    </row>
    <row r="100" spans="3:60" ht="14.4" hidden="1" customHeight="1" x14ac:dyDescent="0.3">
      <c r="C100" s="437" t="s">
        <v>644</v>
      </c>
      <c r="D100" s="446">
        <v>0</v>
      </c>
      <c r="O100" s="437" t="s">
        <v>644</v>
      </c>
      <c r="P100" s="446">
        <v>0</v>
      </c>
      <c r="Z100" s="437" t="s">
        <v>644</v>
      </c>
      <c r="AA100" s="446">
        <v>0</v>
      </c>
      <c r="AL100" s="437" t="s">
        <v>644</v>
      </c>
      <c r="AM100" s="446">
        <v>0</v>
      </c>
      <c r="AX100" s="437" t="s">
        <v>644</v>
      </c>
      <c r="AY100" s="446">
        <v>0</v>
      </c>
    </row>
    <row r="101" spans="3:60" ht="14.4" hidden="1" customHeight="1" x14ac:dyDescent="0.3">
      <c r="C101" s="437" t="s">
        <v>604</v>
      </c>
      <c r="D101" s="446">
        <v>10</v>
      </c>
      <c r="O101" s="437" t="s">
        <v>604</v>
      </c>
      <c r="P101" s="446">
        <v>10</v>
      </c>
      <c r="Z101" s="437" t="s">
        <v>604</v>
      </c>
      <c r="AA101" s="446">
        <v>10</v>
      </c>
      <c r="AL101" s="437" t="s">
        <v>604</v>
      </c>
      <c r="AM101" s="446">
        <v>10</v>
      </c>
      <c r="AX101" s="437" t="s">
        <v>604</v>
      </c>
      <c r="AY101" s="446">
        <v>10</v>
      </c>
    </row>
    <row r="102" spans="3:60" ht="15" hidden="1" customHeight="1" x14ac:dyDescent="0.3">
      <c r="C102" s="437" t="s">
        <v>605</v>
      </c>
      <c r="D102" s="446">
        <v>5</v>
      </c>
      <c r="O102" s="437" t="s">
        <v>605</v>
      </c>
      <c r="P102" s="446">
        <v>5</v>
      </c>
      <c r="Z102" s="437" t="s">
        <v>605</v>
      </c>
      <c r="AA102" s="446">
        <v>5</v>
      </c>
      <c r="AL102" s="437" t="s">
        <v>605</v>
      </c>
      <c r="AM102" s="446">
        <v>5</v>
      </c>
      <c r="AX102" s="437" t="s">
        <v>605</v>
      </c>
      <c r="AY102" s="446">
        <v>5</v>
      </c>
    </row>
    <row r="103" spans="3:60" ht="15" hidden="1" customHeight="1" x14ac:dyDescent="0.3">
      <c r="C103" s="437" t="s">
        <v>638</v>
      </c>
      <c r="D103" s="446">
        <v>69</v>
      </c>
      <c r="O103" s="437" t="s">
        <v>638</v>
      </c>
      <c r="P103" s="446">
        <v>69</v>
      </c>
      <c r="Z103" s="437" t="s">
        <v>638</v>
      </c>
      <c r="AA103" s="446">
        <v>69</v>
      </c>
      <c r="AL103" s="437" t="s">
        <v>638</v>
      </c>
      <c r="AM103" s="446">
        <v>69</v>
      </c>
      <c r="AX103" s="437" t="s">
        <v>638</v>
      </c>
      <c r="AY103" s="446">
        <v>69</v>
      </c>
    </row>
    <row r="104" spans="3:60" ht="15" hidden="1" customHeight="1" x14ac:dyDescent="0.3">
      <c r="E104" s="952" t="s">
        <v>25</v>
      </c>
      <c r="F104" s="953"/>
      <c r="G104" s="952" t="s">
        <v>248</v>
      </c>
      <c r="H104" s="954"/>
      <c r="I104" s="954"/>
      <c r="J104" s="953"/>
      <c r="K104" s="775" t="s">
        <v>249</v>
      </c>
      <c r="Q104" s="952" t="s">
        <v>25</v>
      </c>
      <c r="R104" s="953"/>
      <c r="S104" s="952" t="s">
        <v>248</v>
      </c>
      <c r="T104" s="954"/>
      <c r="U104" s="954"/>
      <c r="V104" s="953"/>
      <c r="W104" s="775" t="s">
        <v>249</v>
      </c>
      <c r="AB104" s="952" t="s">
        <v>25</v>
      </c>
      <c r="AC104" s="953"/>
      <c r="AD104" s="952" t="s">
        <v>248</v>
      </c>
      <c r="AE104" s="954"/>
      <c r="AF104" s="954"/>
      <c r="AG104" s="953"/>
      <c r="AH104" s="775" t="s">
        <v>249</v>
      </c>
      <c r="AN104" s="952" t="s">
        <v>25</v>
      </c>
      <c r="AO104" s="953"/>
      <c r="AP104" s="952" t="s">
        <v>248</v>
      </c>
      <c r="AQ104" s="954"/>
      <c r="AR104" s="954"/>
      <c r="AS104" s="953"/>
      <c r="AT104" s="775" t="s">
        <v>249</v>
      </c>
      <c r="AZ104" s="952" t="s">
        <v>25</v>
      </c>
      <c r="BA104" s="953"/>
      <c r="BB104" s="952" t="s">
        <v>248</v>
      </c>
      <c r="BC104" s="954"/>
      <c r="BD104" s="954"/>
      <c r="BE104" s="953"/>
      <c r="BF104" s="775" t="s">
        <v>249</v>
      </c>
      <c r="BG104" s="779" t="s">
        <v>249</v>
      </c>
      <c r="BH104" s="779" t="s">
        <v>249</v>
      </c>
    </row>
    <row r="105" spans="3:60" ht="15" hidden="1" thickBot="1" x14ac:dyDescent="0.35">
      <c r="D105" s="608" t="s">
        <v>606</v>
      </c>
      <c r="E105" s="777" t="s">
        <v>220</v>
      </c>
      <c r="F105" s="776" t="s">
        <v>109</v>
      </c>
      <c r="G105" s="555" t="s">
        <v>110</v>
      </c>
      <c r="H105" s="558" t="s">
        <v>111</v>
      </c>
      <c r="I105" s="558" t="s">
        <v>112</v>
      </c>
      <c r="J105" s="557" t="s">
        <v>113</v>
      </c>
      <c r="K105" s="555" t="s">
        <v>114</v>
      </c>
      <c r="P105" s="608" t="s">
        <v>606</v>
      </c>
      <c r="Q105" s="777" t="s">
        <v>220</v>
      </c>
      <c r="R105" s="776" t="s">
        <v>109</v>
      </c>
      <c r="S105" s="555" t="s">
        <v>110</v>
      </c>
      <c r="T105" s="558" t="s">
        <v>111</v>
      </c>
      <c r="U105" s="558" t="s">
        <v>112</v>
      </c>
      <c r="V105" s="557" t="s">
        <v>113</v>
      </c>
      <c r="W105" s="555" t="s">
        <v>114</v>
      </c>
      <c r="AA105" s="608" t="s">
        <v>606</v>
      </c>
      <c r="AB105" s="777" t="s">
        <v>220</v>
      </c>
      <c r="AC105" s="776" t="s">
        <v>109</v>
      </c>
      <c r="AD105" s="555" t="s">
        <v>110</v>
      </c>
      <c r="AE105" s="558" t="s">
        <v>111</v>
      </c>
      <c r="AF105" s="558" t="s">
        <v>112</v>
      </c>
      <c r="AG105" s="557" t="s">
        <v>113</v>
      </c>
      <c r="AH105" s="555" t="s">
        <v>114</v>
      </c>
      <c r="AM105" s="608" t="s">
        <v>606</v>
      </c>
      <c r="AN105" s="777" t="s">
        <v>220</v>
      </c>
      <c r="AO105" s="776" t="s">
        <v>109</v>
      </c>
      <c r="AP105" s="555" t="s">
        <v>110</v>
      </c>
      <c r="AQ105" s="558" t="s">
        <v>111</v>
      </c>
      <c r="AR105" s="558" t="s">
        <v>112</v>
      </c>
      <c r="AS105" s="557" t="s">
        <v>113</v>
      </c>
      <c r="AT105" s="555" t="s">
        <v>114</v>
      </c>
      <c r="AY105" s="608" t="s">
        <v>606</v>
      </c>
      <c r="AZ105" s="777" t="s">
        <v>220</v>
      </c>
      <c r="BA105" s="776" t="s">
        <v>109</v>
      </c>
      <c r="BB105" s="555" t="s">
        <v>110</v>
      </c>
      <c r="BC105" s="558" t="s">
        <v>111</v>
      </c>
      <c r="BD105" s="558" t="s">
        <v>112</v>
      </c>
      <c r="BE105" s="557" t="s">
        <v>113</v>
      </c>
      <c r="BF105" s="555" t="s">
        <v>114</v>
      </c>
      <c r="BG105" s="555" t="s">
        <v>114</v>
      </c>
      <c r="BH105" s="555" t="s">
        <v>114</v>
      </c>
    </row>
    <row r="106" spans="3:60" hidden="1" x14ac:dyDescent="0.3">
      <c r="C106" s="514" t="s">
        <v>641</v>
      </c>
      <c r="D106" s="444"/>
      <c r="E106" s="453">
        <v>0</v>
      </c>
      <c r="F106" s="567">
        <v>0</v>
      </c>
      <c r="G106" s="570">
        <v>0</v>
      </c>
      <c r="H106" s="453">
        <v>0</v>
      </c>
      <c r="I106" s="453">
        <v>0</v>
      </c>
      <c r="J106" s="485">
        <v>0</v>
      </c>
      <c r="K106" s="570">
        <v>0</v>
      </c>
      <c r="O106" s="514" t="s">
        <v>641</v>
      </c>
      <c r="P106" s="444"/>
      <c r="Q106" s="453">
        <v>0</v>
      </c>
      <c r="R106" s="567">
        <v>0</v>
      </c>
      <c r="S106" s="570">
        <v>0</v>
      </c>
      <c r="T106" s="453">
        <v>0</v>
      </c>
      <c r="U106" s="453">
        <v>0</v>
      </c>
      <c r="V106" s="485">
        <v>0</v>
      </c>
      <c r="W106" s="570">
        <v>0</v>
      </c>
      <c r="Z106" s="514" t="s">
        <v>641</v>
      </c>
      <c r="AA106" s="444"/>
      <c r="AB106" s="453">
        <v>0</v>
      </c>
      <c r="AC106" s="567">
        <v>0</v>
      </c>
      <c r="AD106" s="570">
        <v>0</v>
      </c>
      <c r="AE106" s="453">
        <v>0</v>
      </c>
      <c r="AF106" s="453">
        <v>0</v>
      </c>
      <c r="AG106" s="485">
        <v>0</v>
      </c>
      <c r="AH106" s="570">
        <v>0</v>
      </c>
      <c r="AL106" s="514" t="s">
        <v>641</v>
      </c>
      <c r="AM106" s="444"/>
      <c r="AN106" s="453">
        <v>0</v>
      </c>
      <c r="AO106" s="567">
        <v>0</v>
      </c>
      <c r="AP106" s="570">
        <v>0</v>
      </c>
      <c r="AQ106" s="453">
        <v>0</v>
      </c>
      <c r="AR106" s="453">
        <v>0</v>
      </c>
      <c r="AS106" s="485">
        <v>0</v>
      </c>
      <c r="AT106" s="570">
        <v>0</v>
      </c>
      <c r="AX106" s="514" t="s">
        <v>641</v>
      </c>
      <c r="AY106" s="444"/>
      <c r="AZ106" s="453">
        <v>0</v>
      </c>
      <c r="BA106" s="567">
        <v>0</v>
      </c>
      <c r="BB106" s="570">
        <v>0</v>
      </c>
      <c r="BC106" s="453">
        <v>0</v>
      </c>
      <c r="BD106" s="453">
        <v>0</v>
      </c>
      <c r="BE106" s="485">
        <v>0</v>
      </c>
      <c r="BF106" s="570">
        <v>0</v>
      </c>
      <c r="BG106" s="570">
        <v>0</v>
      </c>
      <c r="BH106" s="570">
        <v>0</v>
      </c>
    </row>
    <row r="107" spans="3:60" ht="15" hidden="1" thickBot="1" x14ac:dyDescent="0.35">
      <c r="C107" s="447" t="s">
        <v>608</v>
      </c>
      <c r="D107" s="486"/>
      <c r="E107" s="487">
        <f t="shared" ref="E107:K107" si="184">SUM(E106:E106)</f>
        <v>0</v>
      </c>
      <c r="F107" s="568">
        <f t="shared" si="184"/>
        <v>0</v>
      </c>
      <c r="G107" s="486">
        <f t="shared" si="184"/>
        <v>0</v>
      </c>
      <c r="H107" s="487">
        <f t="shared" si="184"/>
        <v>0</v>
      </c>
      <c r="I107" s="487">
        <f t="shared" si="184"/>
        <v>0</v>
      </c>
      <c r="J107" s="488">
        <f t="shared" si="184"/>
        <v>0</v>
      </c>
      <c r="K107" s="486">
        <f t="shared" si="184"/>
        <v>0</v>
      </c>
      <c r="O107" s="447" t="s">
        <v>608</v>
      </c>
      <c r="P107" s="486"/>
      <c r="Q107" s="487">
        <f t="shared" ref="Q107:W107" si="185">SUM(Q106:Q106)</f>
        <v>0</v>
      </c>
      <c r="R107" s="568">
        <f t="shared" si="185"/>
        <v>0</v>
      </c>
      <c r="S107" s="486">
        <f t="shared" si="185"/>
        <v>0</v>
      </c>
      <c r="T107" s="487">
        <f t="shared" si="185"/>
        <v>0</v>
      </c>
      <c r="U107" s="487">
        <f t="shared" si="185"/>
        <v>0</v>
      </c>
      <c r="V107" s="488">
        <f t="shared" si="185"/>
        <v>0</v>
      </c>
      <c r="W107" s="486">
        <f t="shared" si="185"/>
        <v>0</v>
      </c>
      <c r="Z107" s="447" t="s">
        <v>608</v>
      </c>
      <c r="AA107" s="486"/>
      <c r="AB107" s="487">
        <f t="shared" ref="AB107:AH107" si="186">SUM(AB106:AB106)</f>
        <v>0</v>
      </c>
      <c r="AC107" s="568">
        <f t="shared" si="186"/>
        <v>0</v>
      </c>
      <c r="AD107" s="486">
        <f t="shared" si="186"/>
        <v>0</v>
      </c>
      <c r="AE107" s="487">
        <f t="shared" si="186"/>
        <v>0</v>
      </c>
      <c r="AF107" s="487">
        <f t="shared" si="186"/>
        <v>0</v>
      </c>
      <c r="AG107" s="488">
        <f t="shared" si="186"/>
        <v>0</v>
      </c>
      <c r="AH107" s="486">
        <f t="shared" si="186"/>
        <v>0</v>
      </c>
      <c r="AL107" s="447" t="s">
        <v>608</v>
      </c>
      <c r="AM107" s="486"/>
      <c r="AN107" s="487">
        <f t="shared" ref="AN107:AT107" si="187">SUM(AN106:AN106)</f>
        <v>0</v>
      </c>
      <c r="AO107" s="568">
        <f t="shared" si="187"/>
        <v>0</v>
      </c>
      <c r="AP107" s="486">
        <f t="shared" si="187"/>
        <v>0</v>
      </c>
      <c r="AQ107" s="487">
        <f t="shared" si="187"/>
        <v>0</v>
      </c>
      <c r="AR107" s="487">
        <f t="shared" si="187"/>
        <v>0</v>
      </c>
      <c r="AS107" s="488">
        <f t="shared" si="187"/>
        <v>0</v>
      </c>
      <c r="AT107" s="486">
        <f t="shared" si="187"/>
        <v>0</v>
      </c>
      <c r="AX107" s="447" t="s">
        <v>608</v>
      </c>
      <c r="AY107" s="486"/>
      <c r="AZ107" s="487">
        <f t="shared" ref="AZ107:BF107" si="188">SUM(AZ106:AZ106)</f>
        <v>0</v>
      </c>
      <c r="BA107" s="568">
        <f t="shared" si="188"/>
        <v>0</v>
      </c>
      <c r="BB107" s="486">
        <f t="shared" si="188"/>
        <v>0</v>
      </c>
      <c r="BC107" s="487">
        <f t="shared" si="188"/>
        <v>0</v>
      </c>
      <c r="BD107" s="487">
        <f t="shared" si="188"/>
        <v>0</v>
      </c>
      <c r="BE107" s="488">
        <f t="shared" si="188"/>
        <v>0</v>
      </c>
      <c r="BF107" s="486">
        <f t="shared" si="188"/>
        <v>0</v>
      </c>
      <c r="BG107" s="486">
        <f t="shared" ref="BG107:BH107" si="189">SUM(BG106:BG106)</f>
        <v>0</v>
      </c>
      <c r="BH107" s="486">
        <f t="shared" si="189"/>
        <v>0</v>
      </c>
    </row>
    <row r="108" spans="3:60" hidden="1" x14ac:dyDescent="0.3">
      <c r="C108" s="489" t="s">
        <v>651</v>
      </c>
      <c r="D108" s="452"/>
      <c r="E108" s="453">
        <v>10</v>
      </c>
      <c r="F108" s="453">
        <v>40</v>
      </c>
      <c r="G108" s="509"/>
      <c r="H108" s="490"/>
      <c r="I108" s="490"/>
      <c r="J108" s="491"/>
      <c r="K108" s="509"/>
      <c r="O108" s="489" t="s">
        <v>651</v>
      </c>
      <c r="P108" s="452"/>
      <c r="Q108" s="453">
        <v>10</v>
      </c>
      <c r="R108" s="453">
        <v>40</v>
      </c>
      <c r="S108" s="509"/>
      <c r="T108" s="490"/>
      <c r="U108" s="490"/>
      <c r="V108" s="491"/>
      <c r="W108" s="509"/>
      <c r="Z108" s="489" t="s">
        <v>651</v>
      </c>
      <c r="AA108" s="452"/>
      <c r="AB108" s="453">
        <v>10</v>
      </c>
      <c r="AC108" s="453">
        <v>40</v>
      </c>
      <c r="AD108" s="509"/>
      <c r="AE108" s="490"/>
      <c r="AF108" s="490"/>
      <c r="AG108" s="491"/>
      <c r="AH108" s="509"/>
      <c r="AL108" s="489" t="s">
        <v>651</v>
      </c>
      <c r="AM108" s="452"/>
      <c r="AN108" s="453">
        <v>10</v>
      </c>
      <c r="AO108" s="453">
        <v>40</v>
      </c>
      <c r="AP108" s="509"/>
      <c r="AQ108" s="490"/>
      <c r="AR108" s="490"/>
      <c r="AS108" s="491"/>
      <c r="AT108" s="509"/>
      <c r="AX108" s="489" t="s">
        <v>651</v>
      </c>
      <c r="AY108" s="452"/>
      <c r="AZ108" s="453">
        <v>10</v>
      </c>
      <c r="BA108" s="453">
        <v>40</v>
      </c>
      <c r="BB108" s="509"/>
      <c r="BC108" s="490"/>
      <c r="BD108" s="490"/>
      <c r="BE108" s="491"/>
      <c r="BF108" s="509"/>
      <c r="BG108" s="509"/>
      <c r="BH108" s="509"/>
    </row>
    <row r="109" spans="3:60" hidden="1" x14ac:dyDescent="0.3">
      <c r="C109" s="492" t="s">
        <v>617</v>
      </c>
      <c r="D109" s="457">
        <v>30</v>
      </c>
      <c r="E109" s="493">
        <f t="shared" ref="E109:K109" si="190">D109+E108+E111-E107</f>
        <v>40</v>
      </c>
      <c r="F109" s="493">
        <f t="shared" si="190"/>
        <v>80</v>
      </c>
      <c r="G109" s="493">
        <f t="shared" si="190"/>
        <v>80</v>
      </c>
      <c r="H109" s="493">
        <f t="shared" si="190"/>
        <v>80</v>
      </c>
      <c r="I109" s="493">
        <f t="shared" si="190"/>
        <v>80</v>
      </c>
      <c r="J109" s="493">
        <f t="shared" si="190"/>
        <v>80</v>
      </c>
      <c r="K109" s="493">
        <f t="shared" si="190"/>
        <v>80</v>
      </c>
      <c r="M109" s="460"/>
      <c r="O109" s="492" t="s">
        <v>617</v>
      </c>
      <c r="P109" s="457">
        <v>30</v>
      </c>
      <c r="Q109" s="493">
        <f t="shared" ref="Q109:W109" si="191">P109+Q108+Q111-Q107</f>
        <v>40</v>
      </c>
      <c r="R109" s="493">
        <f t="shared" si="191"/>
        <v>80</v>
      </c>
      <c r="S109" s="493">
        <f t="shared" si="191"/>
        <v>80</v>
      </c>
      <c r="T109" s="493">
        <f t="shared" si="191"/>
        <v>80</v>
      </c>
      <c r="U109" s="493">
        <f t="shared" si="191"/>
        <v>80</v>
      </c>
      <c r="V109" s="493">
        <f t="shared" si="191"/>
        <v>80</v>
      </c>
      <c r="W109" s="493">
        <f t="shared" si="191"/>
        <v>80</v>
      </c>
      <c r="Z109" s="492" t="s">
        <v>617</v>
      </c>
      <c r="AA109" s="457">
        <v>30</v>
      </c>
      <c r="AB109" s="493">
        <f t="shared" ref="AB109:AH109" si="192">AA109+AB108+AB111-AB107</f>
        <v>40</v>
      </c>
      <c r="AC109" s="493">
        <f t="shared" si="192"/>
        <v>80</v>
      </c>
      <c r="AD109" s="493">
        <f t="shared" si="192"/>
        <v>80</v>
      </c>
      <c r="AE109" s="493">
        <f t="shared" si="192"/>
        <v>80</v>
      </c>
      <c r="AF109" s="493">
        <f t="shared" si="192"/>
        <v>80</v>
      </c>
      <c r="AG109" s="493">
        <f t="shared" si="192"/>
        <v>80</v>
      </c>
      <c r="AH109" s="493">
        <f t="shared" si="192"/>
        <v>80</v>
      </c>
      <c r="AL109" s="492" t="s">
        <v>617</v>
      </c>
      <c r="AM109" s="457">
        <v>30</v>
      </c>
      <c r="AN109" s="493">
        <f t="shared" ref="AN109:AT109" si="193">AM109+AN108+AN111-AN107</f>
        <v>40</v>
      </c>
      <c r="AO109" s="493">
        <f t="shared" si="193"/>
        <v>80</v>
      </c>
      <c r="AP109" s="493">
        <f t="shared" si="193"/>
        <v>80</v>
      </c>
      <c r="AQ109" s="493">
        <f t="shared" si="193"/>
        <v>80</v>
      </c>
      <c r="AR109" s="493">
        <f t="shared" si="193"/>
        <v>80</v>
      </c>
      <c r="AS109" s="493">
        <f t="shared" si="193"/>
        <v>80</v>
      </c>
      <c r="AT109" s="493">
        <f t="shared" si="193"/>
        <v>80</v>
      </c>
      <c r="AX109" s="492" t="s">
        <v>617</v>
      </c>
      <c r="AY109" s="457">
        <v>30</v>
      </c>
      <c r="AZ109" s="493">
        <f t="shared" ref="AZ109:BE109" si="194">AY109+AZ108+AZ111-AZ107</f>
        <v>40</v>
      </c>
      <c r="BA109" s="493">
        <f t="shared" si="194"/>
        <v>80</v>
      </c>
      <c r="BB109" s="493">
        <f t="shared" si="194"/>
        <v>80</v>
      </c>
      <c r="BC109" s="493">
        <f t="shared" si="194"/>
        <v>80</v>
      </c>
      <c r="BD109" s="493">
        <f t="shared" si="194"/>
        <v>80</v>
      </c>
      <c r="BE109" s="493">
        <f t="shared" si="194"/>
        <v>80</v>
      </c>
      <c r="BF109" s="493">
        <f>BE109+BF108+BF111-BF107</f>
        <v>80</v>
      </c>
      <c r="BG109" s="493">
        <f>BF109+BG108+BG111-BG107</f>
        <v>80</v>
      </c>
      <c r="BH109" s="493">
        <f>BG109+BH108+BH111-BH107</f>
        <v>80</v>
      </c>
    </row>
    <row r="110" spans="3:60" hidden="1" x14ac:dyDescent="0.3">
      <c r="C110" s="492" t="s">
        <v>642</v>
      </c>
      <c r="D110" s="495"/>
      <c r="E110" s="528">
        <f t="shared" ref="E110:K110" si="195">IF(D109-E107+E108&lt;=$D$102, E107-E108-D109+$D$102,0)</f>
        <v>0</v>
      </c>
      <c r="F110" s="528">
        <f t="shared" si="195"/>
        <v>0</v>
      </c>
      <c r="G110" s="461">
        <f t="shared" si="195"/>
        <v>0</v>
      </c>
      <c r="H110" s="458">
        <f t="shared" si="195"/>
        <v>0</v>
      </c>
      <c r="I110" s="458">
        <f t="shared" si="195"/>
        <v>0</v>
      </c>
      <c r="J110" s="459">
        <f t="shared" si="195"/>
        <v>0</v>
      </c>
      <c r="K110" s="461">
        <f t="shared" si="195"/>
        <v>0</v>
      </c>
      <c r="M110" s="460"/>
      <c r="O110" s="492" t="s">
        <v>642</v>
      </c>
      <c r="P110" s="495"/>
      <c r="Q110" s="528">
        <f t="shared" ref="Q110:W110" si="196">IF(P109-Q107+Q108&lt;=$D$102, Q107-Q108-P109+$D$102,0)</f>
        <v>0</v>
      </c>
      <c r="R110" s="528">
        <f t="shared" si="196"/>
        <v>0</v>
      </c>
      <c r="S110" s="461">
        <f t="shared" si="196"/>
        <v>0</v>
      </c>
      <c r="T110" s="458">
        <f t="shared" si="196"/>
        <v>0</v>
      </c>
      <c r="U110" s="458">
        <f t="shared" si="196"/>
        <v>0</v>
      </c>
      <c r="V110" s="459">
        <f t="shared" si="196"/>
        <v>0</v>
      </c>
      <c r="W110" s="461">
        <f t="shared" si="196"/>
        <v>0</v>
      </c>
      <c r="Z110" s="492" t="s">
        <v>642</v>
      </c>
      <c r="AA110" s="495"/>
      <c r="AB110" s="528">
        <f t="shared" ref="AB110:AH110" si="197">IF(AA109-AB107+AB108&lt;=$D$102, AB107-AB108-AA109+$D$102,0)</f>
        <v>0</v>
      </c>
      <c r="AC110" s="528">
        <f t="shared" si="197"/>
        <v>0</v>
      </c>
      <c r="AD110" s="461">
        <f t="shared" si="197"/>
        <v>0</v>
      </c>
      <c r="AE110" s="458">
        <f t="shared" si="197"/>
        <v>0</v>
      </c>
      <c r="AF110" s="458">
        <f t="shared" si="197"/>
        <v>0</v>
      </c>
      <c r="AG110" s="459">
        <f t="shared" si="197"/>
        <v>0</v>
      </c>
      <c r="AH110" s="461">
        <f t="shared" si="197"/>
        <v>0</v>
      </c>
      <c r="AL110" s="492" t="s">
        <v>642</v>
      </c>
      <c r="AM110" s="495"/>
      <c r="AN110" s="528">
        <f t="shared" ref="AN110:AT110" si="198">IF(AM109-AN107+AN108&lt;=$D$102, AN107-AN108-AM109+$D$102,0)</f>
        <v>0</v>
      </c>
      <c r="AO110" s="528">
        <f t="shared" si="198"/>
        <v>0</v>
      </c>
      <c r="AP110" s="461">
        <f t="shared" si="198"/>
        <v>0</v>
      </c>
      <c r="AQ110" s="458">
        <f t="shared" si="198"/>
        <v>0</v>
      </c>
      <c r="AR110" s="458">
        <f t="shared" si="198"/>
        <v>0</v>
      </c>
      <c r="AS110" s="459">
        <f t="shared" si="198"/>
        <v>0</v>
      </c>
      <c r="AT110" s="461">
        <f t="shared" si="198"/>
        <v>0</v>
      </c>
      <c r="AX110" s="492" t="s">
        <v>642</v>
      </c>
      <c r="AY110" s="495"/>
      <c r="AZ110" s="528">
        <f t="shared" ref="AZ110:BE110" si="199">IF(AY109-AZ107+AZ108&lt;=$D$102, AZ107-AZ108-AY109+$D$102,0)</f>
        <v>0</v>
      </c>
      <c r="BA110" s="528">
        <f t="shared" si="199"/>
        <v>0</v>
      </c>
      <c r="BB110" s="461">
        <f t="shared" si="199"/>
        <v>0</v>
      </c>
      <c r="BC110" s="458">
        <f t="shared" si="199"/>
        <v>0</v>
      </c>
      <c r="BD110" s="458">
        <f t="shared" si="199"/>
        <v>0</v>
      </c>
      <c r="BE110" s="459">
        <f t="shared" si="199"/>
        <v>0</v>
      </c>
      <c r="BF110" s="461">
        <f>IF(BE109-BF107+BF108&lt;=$D$102, BF107-BF108-BE109+$D$102,0)</f>
        <v>0</v>
      </c>
      <c r="BG110" s="461">
        <f>IF(BF109-BG107+BG108&lt;=$D$102, BG107-BG108-BF109+$D$102,0)</f>
        <v>0</v>
      </c>
      <c r="BH110" s="461">
        <f>IF(BG109-BH107+BH108&lt;=$D$102, BH107-BH108-BG109+$D$102,0)</f>
        <v>0</v>
      </c>
    </row>
    <row r="111" spans="3:60" hidden="1" x14ac:dyDescent="0.3">
      <c r="C111" s="496" t="s">
        <v>647</v>
      </c>
      <c r="D111" s="495"/>
      <c r="E111" s="563">
        <f t="shared" ref="E111:K111" si="200" xml:space="preserve"> CEILING(E110/$D$101,1)*$D$101</f>
        <v>0</v>
      </c>
      <c r="F111" s="563">
        <f t="shared" si="200"/>
        <v>0</v>
      </c>
      <c r="G111" s="495">
        <f t="shared" si="200"/>
        <v>0</v>
      </c>
      <c r="H111" s="493">
        <f t="shared" si="200"/>
        <v>0</v>
      </c>
      <c r="I111" s="493">
        <f t="shared" si="200"/>
        <v>0</v>
      </c>
      <c r="J111" s="494">
        <f t="shared" si="200"/>
        <v>0</v>
      </c>
      <c r="K111" s="495">
        <f t="shared" si="200"/>
        <v>0</v>
      </c>
      <c r="O111" s="496" t="s">
        <v>647</v>
      </c>
      <c r="P111" s="495"/>
      <c r="Q111" s="563">
        <f t="shared" ref="Q111:W111" si="201" xml:space="preserve"> CEILING(Q110/$D$101,1)*$D$101</f>
        <v>0</v>
      </c>
      <c r="R111" s="563">
        <f t="shared" si="201"/>
        <v>0</v>
      </c>
      <c r="S111" s="495">
        <f t="shared" si="201"/>
        <v>0</v>
      </c>
      <c r="T111" s="493">
        <f t="shared" si="201"/>
        <v>0</v>
      </c>
      <c r="U111" s="493">
        <f t="shared" si="201"/>
        <v>0</v>
      </c>
      <c r="V111" s="494">
        <f t="shared" si="201"/>
        <v>0</v>
      </c>
      <c r="W111" s="495">
        <f t="shared" si="201"/>
        <v>0</v>
      </c>
      <c r="Z111" s="496" t="s">
        <v>647</v>
      </c>
      <c r="AA111" s="495"/>
      <c r="AB111" s="563">
        <f t="shared" ref="AB111:AH111" si="202" xml:space="preserve"> CEILING(AB110/$D$101,1)*$D$101</f>
        <v>0</v>
      </c>
      <c r="AC111" s="563">
        <f t="shared" si="202"/>
        <v>0</v>
      </c>
      <c r="AD111" s="495">
        <f t="shared" si="202"/>
        <v>0</v>
      </c>
      <c r="AE111" s="493">
        <f t="shared" si="202"/>
        <v>0</v>
      </c>
      <c r="AF111" s="493">
        <f t="shared" si="202"/>
        <v>0</v>
      </c>
      <c r="AG111" s="494">
        <f t="shared" si="202"/>
        <v>0</v>
      </c>
      <c r="AH111" s="495">
        <f t="shared" si="202"/>
        <v>0</v>
      </c>
      <c r="AL111" s="496" t="s">
        <v>647</v>
      </c>
      <c r="AM111" s="495"/>
      <c r="AN111" s="563">
        <f t="shared" ref="AN111:AT111" si="203" xml:space="preserve"> CEILING(AN110/$D$101,1)*$D$101</f>
        <v>0</v>
      </c>
      <c r="AO111" s="563">
        <f t="shared" si="203"/>
        <v>0</v>
      </c>
      <c r="AP111" s="495">
        <f t="shared" si="203"/>
        <v>0</v>
      </c>
      <c r="AQ111" s="493">
        <f t="shared" si="203"/>
        <v>0</v>
      </c>
      <c r="AR111" s="493">
        <f t="shared" si="203"/>
        <v>0</v>
      </c>
      <c r="AS111" s="494">
        <f t="shared" si="203"/>
        <v>0</v>
      </c>
      <c r="AT111" s="495">
        <f t="shared" si="203"/>
        <v>0</v>
      </c>
      <c r="AX111" s="496" t="s">
        <v>647</v>
      </c>
      <c r="AY111" s="495"/>
      <c r="AZ111" s="563">
        <f t="shared" ref="AZ111:BF111" si="204" xml:space="preserve"> CEILING(AZ110/$D$101,1)*$D$101</f>
        <v>0</v>
      </c>
      <c r="BA111" s="563">
        <f t="shared" si="204"/>
        <v>0</v>
      </c>
      <c r="BB111" s="495">
        <f t="shared" si="204"/>
        <v>0</v>
      </c>
      <c r="BC111" s="493">
        <f t="shared" si="204"/>
        <v>0</v>
      </c>
      <c r="BD111" s="493">
        <f t="shared" si="204"/>
        <v>0</v>
      </c>
      <c r="BE111" s="494">
        <f t="shared" si="204"/>
        <v>0</v>
      </c>
      <c r="BF111" s="495">
        <f t="shared" si="204"/>
        <v>0</v>
      </c>
      <c r="BG111" s="495">
        <f t="shared" ref="BG111:BH111" si="205" xml:space="preserve"> CEILING(BG110/$D$101,1)*$D$101</f>
        <v>0</v>
      </c>
      <c r="BH111" s="495">
        <f t="shared" si="205"/>
        <v>0</v>
      </c>
    </row>
    <row r="112" spans="3:60" ht="15" hidden="1" thickBot="1" x14ac:dyDescent="0.35">
      <c r="C112" s="571" t="s">
        <v>652</v>
      </c>
      <c r="D112" s="463"/>
      <c r="E112" s="464">
        <f t="shared" ref="E112:K112" si="206">E111</f>
        <v>0</v>
      </c>
      <c r="F112" s="541">
        <f t="shared" si="206"/>
        <v>0</v>
      </c>
      <c r="G112" s="463">
        <f t="shared" si="206"/>
        <v>0</v>
      </c>
      <c r="H112" s="464">
        <f t="shared" si="206"/>
        <v>0</v>
      </c>
      <c r="I112" s="464">
        <f>I111</f>
        <v>0</v>
      </c>
      <c r="J112" s="465">
        <f t="shared" si="206"/>
        <v>0</v>
      </c>
      <c r="K112" s="463">
        <f t="shared" si="206"/>
        <v>0</v>
      </c>
      <c r="O112" s="571" t="s">
        <v>652</v>
      </c>
      <c r="P112" s="463"/>
      <c r="Q112" s="464">
        <f t="shared" ref="Q112:T112" si="207">Q111</f>
        <v>0</v>
      </c>
      <c r="R112" s="541">
        <f t="shared" si="207"/>
        <v>0</v>
      </c>
      <c r="S112" s="463">
        <f t="shared" si="207"/>
        <v>0</v>
      </c>
      <c r="T112" s="464">
        <f t="shared" si="207"/>
        <v>0</v>
      </c>
      <c r="U112" s="464">
        <f>U111</f>
        <v>0</v>
      </c>
      <c r="V112" s="465">
        <f t="shared" ref="V112:W112" si="208">V111</f>
        <v>0</v>
      </c>
      <c r="W112" s="463">
        <f t="shared" si="208"/>
        <v>0</v>
      </c>
      <c r="Z112" s="571" t="s">
        <v>652</v>
      </c>
      <c r="AA112" s="463"/>
      <c r="AB112" s="464">
        <f t="shared" ref="AB112:AE112" si="209">AB111</f>
        <v>0</v>
      </c>
      <c r="AC112" s="541">
        <f t="shared" si="209"/>
        <v>0</v>
      </c>
      <c r="AD112" s="463">
        <f t="shared" si="209"/>
        <v>0</v>
      </c>
      <c r="AE112" s="464">
        <f t="shared" si="209"/>
        <v>0</v>
      </c>
      <c r="AF112" s="464">
        <f>AF111</f>
        <v>0</v>
      </c>
      <c r="AG112" s="465">
        <f t="shared" ref="AG112:AH112" si="210">AG111</f>
        <v>0</v>
      </c>
      <c r="AH112" s="463">
        <f t="shared" si="210"/>
        <v>0</v>
      </c>
      <c r="AL112" s="571" t="s">
        <v>652</v>
      </c>
      <c r="AM112" s="463"/>
      <c r="AN112" s="464">
        <f t="shared" ref="AN112:AQ112" si="211">AN111</f>
        <v>0</v>
      </c>
      <c r="AO112" s="541">
        <f t="shared" si="211"/>
        <v>0</v>
      </c>
      <c r="AP112" s="463">
        <f t="shared" si="211"/>
        <v>0</v>
      </c>
      <c r="AQ112" s="464">
        <f t="shared" si="211"/>
        <v>0</v>
      </c>
      <c r="AR112" s="464">
        <f>AR111</f>
        <v>0</v>
      </c>
      <c r="AS112" s="465">
        <f t="shared" ref="AS112:AT112" si="212">AS111</f>
        <v>0</v>
      </c>
      <c r="AT112" s="463">
        <f t="shared" si="212"/>
        <v>0</v>
      </c>
      <c r="AX112" s="571" t="s">
        <v>652</v>
      </c>
      <c r="AY112" s="463"/>
      <c r="AZ112" s="464">
        <f t="shared" ref="AZ112:BC112" si="213">AZ111</f>
        <v>0</v>
      </c>
      <c r="BA112" s="541">
        <f t="shared" si="213"/>
        <v>0</v>
      </c>
      <c r="BB112" s="463">
        <f t="shared" si="213"/>
        <v>0</v>
      </c>
      <c r="BC112" s="464">
        <f t="shared" si="213"/>
        <v>0</v>
      </c>
      <c r="BD112" s="464">
        <f>BD111</f>
        <v>0</v>
      </c>
      <c r="BE112" s="465">
        <f t="shared" ref="BE112:BF112" si="214">BE111</f>
        <v>0</v>
      </c>
      <c r="BF112" s="463">
        <f t="shared" si="214"/>
        <v>0</v>
      </c>
      <c r="BG112" s="463">
        <f t="shared" ref="BG112:BH112" si="215">BG111</f>
        <v>0</v>
      </c>
      <c r="BH112" s="463">
        <f t="shared" si="215"/>
        <v>0</v>
      </c>
    </row>
    <row r="113" spans="2:60" hidden="1" x14ac:dyDescent="0.3">
      <c r="C113" s="478" t="s">
        <v>612</v>
      </c>
      <c r="D113" s="467"/>
      <c r="E113" s="468">
        <f>QUOTIENT(MOD(E112+$D$53-1,$D$52),$D$53)</f>
        <v>0</v>
      </c>
      <c r="F113" s="468">
        <f t="shared" ref="F113:K113" si="216">QUOTIENT(MOD(F112+$D$53-1,$D$52),$D$53)</f>
        <v>0</v>
      </c>
      <c r="G113" s="468">
        <f t="shared" si="216"/>
        <v>0</v>
      </c>
      <c r="H113" s="468">
        <f t="shared" si="216"/>
        <v>0</v>
      </c>
      <c r="I113" s="468">
        <f t="shared" si="216"/>
        <v>0</v>
      </c>
      <c r="J113" s="468">
        <f t="shared" si="216"/>
        <v>0</v>
      </c>
      <c r="K113" s="468">
        <f t="shared" si="216"/>
        <v>0</v>
      </c>
      <c r="O113" s="478" t="s">
        <v>612</v>
      </c>
      <c r="P113" s="467"/>
      <c r="Q113" s="468">
        <f>QUOTIENT(MOD(Q112+$D$53-1,$D$52),$D$53)</f>
        <v>0</v>
      </c>
      <c r="R113" s="468">
        <f t="shared" ref="R113:W113" si="217">QUOTIENT(MOD(R112+$D$53-1,$D$52),$D$53)</f>
        <v>0</v>
      </c>
      <c r="S113" s="468">
        <f t="shared" si="217"/>
        <v>0</v>
      </c>
      <c r="T113" s="468">
        <f t="shared" si="217"/>
        <v>0</v>
      </c>
      <c r="U113" s="468">
        <f t="shared" si="217"/>
        <v>0</v>
      </c>
      <c r="V113" s="468">
        <f t="shared" si="217"/>
        <v>0</v>
      </c>
      <c r="W113" s="468">
        <f t="shared" si="217"/>
        <v>0</v>
      </c>
      <c r="Z113" s="478" t="s">
        <v>612</v>
      </c>
      <c r="AA113" s="467"/>
      <c r="AB113" s="468">
        <f>QUOTIENT(MOD(AB112+$D$53-1,$D$52),$D$53)</f>
        <v>0</v>
      </c>
      <c r="AC113" s="468">
        <f t="shared" ref="AC113:AH113" si="218">QUOTIENT(MOD(AC112+$D$53-1,$D$52),$D$53)</f>
        <v>0</v>
      </c>
      <c r="AD113" s="468">
        <f t="shared" si="218"/>
        <v>0</v>
      </c>
      <c r="AE113" s="468">
        <f t="shared" si="218"/>
        <v>0</v>
      </c>
      <c r="AF113" s="468">
        <f t="shared" si="218"/>
        <v>0</v>
      </c>
      <c r="AG113" s="468">
        <f t="shared" si="218"/>
        <v>0</v>
      </c>
      <c r="AH113" s="468">
        <f t="shared" si="218"/>
        <v>0</v>
      </c>
      <c r="AL113" s="478" t="s">
        <v>612</v>
      </c>
      <c r="AM113" s="467"/>
      <c r="AN113" s="468">
        <f>QUOTIENT(MOD(AN112+$D$53-1,$D$52),$D$53)</f>
        <v>0</v>
      </c>
      <c r="AO113" s="468">
        <f t="shared" ref="AO113:AT113" si="219">QUOTIENT(MOD(AO112+$D$53-1,$D$52),$D$53)</f>
        <v>0</v>
      </c>
      <c r="AP113" s="468">
        <f t="shared" si="219"/>
        <v>0</v>
      </c>
      <c r="AQ113" s="468">
        <f t="shared" si="219"/>
        <v>0</v>
      </c>
      <c r="AR113" s="468">
        <f t="shared" si="219"/>
        <v>0</v>
      </c>
      <c r="AS113" s="468">
        <f t="shared" si="219"/>
        <v>0</v>
      </c>
      <c r="AT113" s="468">
        <f t="shared" si="219"/>
        <v>0</v>
      </c>
      <c r="AX113" s="478" t="s">
        <v>612</v>
      </c>
      <c r="AY113" s="467"/>
      <c r="AZ113" s="468">
        <f>QUOTIENT(MOD(AZ112+$D$53-1,$D$52),$D$53)</f>
        <v>0</v>
      </c>
      <c r="BA113" s="468">
        <f t="shared" ref="BA113:BF113" si="220">QUOTIENT(MOD(BA112+$D$53-1,$D$52),$D$53)</f>
        <v>0</v>
      </c>
      <c r="BB113" s="468">
        <f t="shared" si="220"/>
        <v>0</v>
      </c>
      <c r="BC113" s="468">
        <f t="shared" si="220"/>
        <v>0</v>
      </c>
      <c r="BD113" s="468">
        <f t="shared" si="220"/>
        <v>0</v>
      </c>
      <c r="BE113" s="468">
        <f t="shared" si="220"/>
        <v>0</v>
      </c>
      <c r="BF113" s="468">
        <f t="shared" si="220"/>
        <v>0</v>
      </c>
      <c r="BG113" s="468">
        <f t="shared" ref="BG113:BH113" si="221">QUOTIENT(MOD(BG112+$D$53-1,$D$52),$D$53)</f>
        <v>0</v>
      </c>
      <c r="BH113" s="468">
        <f t="shared" si="221"/>
        <v>0</v>
      </c>
    </row>
    <row r="114" spans="2:60" hidden="1" x14ac:dyDescent="0.3">
      <c r="B114" s="40"/>
      <c r="C114" s="497" t="s">
        <v>613</v>
      </c>
      <c r="D114" s="482"/>
      <c r="E114" s="472">
        <f t="shared" ref="E114:K114" si="222">QUOTIENT(E112+$D$53-1,$D$52)</f>
        <v>0</v>
      </c>
      <c r="F114" s="472">
        <f t="shared" si="222"/>
        <v>0</v>
      </c>
      <c r="G114" s="472">
        <f t="shared" si="222"/>
        <v>0</v>
      </c>
      <c r="H114" s="472">
        <f t="shared" si="222"/>
        <v>0</v>
      </c>
      <c r="I114" s="472">
        <f t="shared" si="222"/>
        <v>0</v>
      </c>
      <c r="J114" s="472">
        <f t="shared" si="222"/>
        <v>0</v>
      </c>
      <c r="K114" s="472">
        <f t="shared" si="222"/>
        <v>0</v>
      </c>
      <c r="N114" s="40"/>
      <c r="O114" s="497" t="s">
        <v>613</v>
      </c>
      <c r="P114" s="482"/>
      <c r="Q114" s="472">
        <f t="shared" ref="Q114:W114" si="223">QUOTIENT(Q112+$D$53-1,$D$52)</f>
        <v>0</v>
      </c>
      <c r="R114" s="472">
        <f t="shared" si="223"/>
        <v>0</v>
      </c>
      <c r="S114" s="472">
        <f t="shared" si="223"/>
        <v>0</v>
      </c>
      <c r="T114" s="472">
        <f t="shared" si="223"/>
        <v>0</v>
      </c>
      <c r="U114" s="472">
        <f t="shared" si="223"/>
        <v>0</v>
      </c>
      <c r="V114" s="472">
        <f t="shared" si="223"/>
        <v>0</v>
      </c>
      <c r="W114" s="472">
        <f t="shared" si="223"/>
        <v>0</v>
      </c>
      <c r="Y114" s="40"/>
      <c r="Z114" s="497" t="s">
        <v>613</v>
      </c>
      <c r="AA114" s="482"/>
      <c r="AB114" s="472">
        <f t="shared" ref="AB114:AH114" si="224">QUOTIENT(AB112+$D$53-1,$D$52)</f>
        <v>0</v>
      </c>
      <c r="AC114" s="472">
        <f t="shared" si="224"/>
        <v>0</v>
      </c>
      <c r="AD114" s="472">
        <f t="shared" si="224"/>
        <v>0</v>
      </c>
      <c r="AE114" s="472">
        <f t="shared" si="224"/>
        <v>0</v>
      </c>
      <c r="AF114" s="472">
        <f t="shared" si="224"/>
        <v>0</v>
      </c>
      <c r="AG114" s="472">
        <f t="shared" si="224"/>
        <v>0</v>
      </c>
      <c r="AH114" s="472">
        <f t="shared" si="224"/>
        <v>0</v>
      </c>
      <c r="AK114" s="40"/>
      <c r="AL114" s="497" t="s">
        <v>613</v>
      </c>
      <c r="AM114" s="482"/>
      <c r="AN114" s="472">
        <f t="shared" ref="AN114:AT114" si="225">QUOTIENT(AN112+$D$53-1,$D$52)</f>
        <v>0</v>
      </c>
      <c r="AO114" s="472">
        <f t="shared" si="225"/>
        <v>0</v>
      </c>
      <c r="AP114" s="472">
        <f t="shared" si="225"/>
        <v>0</v>
      </c>
      <c r="AQ114" s="472">
        <f t="shared" si="225"/>
        <v>0</v>
      </c>
      <c r="AR114" s="472">
        <f t="shared" si="225"/>
        <v>0</v>
      </c>
      <c r="AS114" s="472">
        <f t="shared" si="225"/>
        <v>0</v>
      </c>
      <c r="AT114" s="472">
        <f t="shared" si="225"/>
        <v>0</v>
      </c>
      <c r="AW114" s="40"/>
      <c r="AX114" s="497" t="s">
        <v>613</v>
      </c>
      <c r="AY114" s="482"/>
      <c r="AZ114" s="472">
        <f t="shared" ref="AZ114:BF114" si="226">QUOTIENT(AZ112+$D$53-1,$D$52)</f>
        <v>0</v>
      </c>
      <c r="BA114" s="472">
        <f t="shared" si="226"/>
        <v>0</v>
      </c>
      <c r="BB114" s="472">
        <f t="shared" si="226"/>
        <v>0</v>
      </c>
      <c r="BC114" s="472">
        <f t="shared" si="226"/>
        <v>0</v>
      </c>
      <c r="BD114" s="472">
        <f t="shared" si="226"/>
        <v>0</v>
      </c>
      <c r="BE114" s="472">
        <f t="shared" si="226"/>
        <v>0</v>
      </c>
      <c r="BF114" s="472">
        <f t="shared" si="226"/>
        <v>0</v>
      </c>
      <c r="BG114" s="472">
        <f t="shared" ref="BG114:BH114" si="227">QUOTIENT(BG112+$D$53-1,$D$52)</f>
        <v>0</v>
      </c>
      <c r="BH114" s="472">
        <f t="shared" si="227"/>
        <v>0</v>
      </c>
    </row>
    <row r="115" spans="2:60" ht="15" hidden="1" thickBot="1" x14ac:dyDescent="0.35">
      <c r="C115" s="516" t="s">
        <v>614</v>
      </c>
      <c r="D115" s="474"/>
      <c r="E115" s="475" t="e">
        <f>IF($L$71="Choosing Supplier 1", E114*#REF!+E113*#REF!,E114*#REF!+E113*#REF!)</f>
        <v>#REF!</v>
      </c>
      <c r="F115" s="475" t="e">
        <f>IF($L$71="Choosing Supplier 1", F114*#REF!+F113*#REF!,F114*#REF!+F113*#REF!)</f>
        <v>#REF!</v>
      </c>
      <c r="G115" s="475" t="e">
        <f>IF($L$71="Choosing Supplier 1", G114*#REF!+G113*#REF!,G114*#REF!+G113*#REF!)</f>
        <v>#REF!</v>
      </c>
      <c r="H115" s="475" t="e">
        <f>IF($L$71="Choosing Supplier 1", H114*#REF!+H113*#REF!,H114*#REF!+H113*#REF!)</f>
        <v>#REF!</v>
      </c>
      <c r="I115" s="475" t="e">
        <f>IF($L$71="Choosing Supplier 1", I114*#REF!+I113*#REF!,I114*#REF!+I113*#REF!)</f>
        <v>#REF!</v>
      </c>
      <c r="J115" s="475" t="e">
        <f>IF($L$71="Choosing Supplier 1", J114*#REF!+J113*#REF!,J114*#REF!+J113*#REF!)</f>
        <v>#REF!</v>
      </c>
      <c r="K115" s="475" t="e">
        <f>IF($L$71="Choosing Supplier 1", K114*#REF!+K113*#REF!,K114*#REF!+K113*#REF!)</f>
        <v>#REF!</v>
      </c>
      <c r="L115" s="477" t="e">
        <f>IF(#REF!&lt;#REF!,IF($D$145="Yes","Choosing Supplier 1","Choosing Supplier 2"),IF(#REF!="Yes","Choosing Supplier 2","Choosing Supplier 1"))</f>
        <v>#REF!</v>
      </c>
      <c r="M115" t="s">
        <v>615</v>
      </c>
      <c r="O115" s="516" t="s">
        <v>614</v>
      </c>
      <c r="P115" s="474"/>
      <c r="Q115" s="475" t="e">
        <f>IF($L$71="Choosing Supplier 1", Q114*#REF!+Q113*#REF!,Q114*#REF!+Q113*#REF!)</f>
        <v>#REF!</v>
      </c>
      <c r="R115" s="475" t="e">
        <f>IF($L$71="Choosing Supplier 1", R114*#REF!+R113*#REF!,R114*#REF!+R113*#REF!)</f>
        <v>#REF!</v>
      </c>
      <c r="S115" s="475" t="e">
        <f>IF($L$71="Choosing Supplier 1", S114*#REF!+S113*#REF!,S114*#REF!+S113*#REF!)</f>
        <v>#REF!</v>
      </c>
      <c r="T115" s="475" t="e">
        <f>IF($L$71="Choosing Supplier 1", T114*#REF!+T113*#REF!,T114*#REF!+T113*#REF!)</f>
        <v>#REF!</v>
      </c>
      <c r="U115" s="475" t="e">
        <f>IF($L$71="Choosing Supplier 1", U114*#REF!+U113*#REF!,U114*#REF!+U113*#REF!)</f>
        <v>#REF!</v>
      </c>
      <c r="V115" s="475" t="e">
        <f>IF($L$71="Choosing Supplier 1", V114*#REF!+V113*#REF!,V114*#REF!+V113*#REF!)</f>
        <v>#REF!</v>
      </c>
      <c r="W115" s="475" t="e">
        <f>IF($L$71="Choosing Supplier 1", W114*#REF!+W113*#REF!,W114*#REF!+W113*#REF!)</f>
        <v>#REF!</v>
      </c>
      <c r="Z115" s="516" t="s">
        <v>614</v>
      </c>
      <c r="AA115" s="474"/>
      <c r="AB115" s="475" t="e">
        <f>IF($L$71="Choosing Supplier 1", AB114*#REF!+AB113*#REF!,AB114*#REF!+AB113*#REF!)</f>
        <v>#REF!</v>
      </c>
      <c r="AC115" s="475" t="e">
        <f>IF($L$71="Choosing Supplier 1", AC114*#REF!+AC113*#REF!,AC114*#REF!+AC113*#REF!)</f>
        <v>#REF!</v>
      </c>
      <c r="AD115" s="475" t="e">
        <f>IF($L$71="Choosing Supplier 1", AD114*#REF!+AD113*#REF!,AD114*#REF!+AD113*#REF!)</f>
        <v>#REF!</v>
      </c>
      <c r="AE115" s="475" t="e">
        <f>IF($L$71="Choosing Supplier 1", AE114*#REF!+AE113*#REF!,AE114*#REF!+AE113*#REF!)</f>
        <v>#REF!</v>
      </c>
      <c r="AF115" s="475" t="e">
        <f>IF($L$71="Choosing Supplier 1", AF114*#REF!+AF113*#REF!,AF114*#REF!+AF113*#REF!)</f>
        <v>#REF!</v>
      </c>
      <c r="AG115" s="475" t="e">
        <f>IF($L$71="Choosing Supplier 1", AG114*#REF!+AG113*#REF!,AG114*#REF!+AG113*#REF!)</f>
        <v>#REF!</v>
      </c>
      <c r="AH115" s="475" t="e">
        <f>IF($L$71="Choosing Supplier 1", AH114*#REF!+AH113*#REF!,AH114*#REF!+AH113*#REF!)</f>
        <v>#REF!</v>
      </c>
      <c r="AL115" s="516" t="s">
        <v>614</v>
      </c>
      <c r="AM115" s="474"/>
      <c r="AN115" s="475" t="e">
        <f>IF($L$71="Choosing Supplier 1", AN114*#REF!+AN113*#REF!,AN114*#REF!+AN113*#REF!)</f>
        <v>#REF!</v>
      </c>
      <c r="AO115" s="475" t="e">
        <f>IF($L$71="Choosing Supplier 1", AO114*#REF!+AO113*#REF!,AO114*#REF!+AO113*#REF!)</f>
        <v>#REF!</v>
      </c>
      <c r="AP115" s="475" t="e">
        <f>IF($L$71="Choosing Supplier 1", AP114*#REF!+AP113*#REF!,AP114*#REF!+AP113*#REF!)</f>
        <v>#REF!</v>
      </c>
      <c r="AQ115" s="475" t="e">
        <f>IF($L$71="Choosing Supplier 1", AQ114*#REF!+AQ113*#REF!,AQ114*#REF!+AQ113*#REF!)</f>
        <v>#REF!</v>
      </c>
      <c r="AR115" s="475" t="e">
        <f>IF($L$71="Choosing Supplier 1", AR114*#REF!+AR113*#REF!,AR114*#REF!+AR113*#REF!)</f>
        <v>#REF!</v>
      </c>
      <c r="AS115" s="475" t="e">
        <f>IF($L$71="Choosing Supplier 1", AS114*#REF!+AS113*#REF!,AS114*#REF!+AS113*#REF!)</f>
        <v>#REF!</v>
      </c>
      <c r="AT115" s="475" t="e">
        <f>IF($L$71="Choosing Supplier 1", AT114*#REF!+AT113*#REF!,AT114*#REF!+AT113*#REF!)</f>
        <v>#REF!</v>
      </c>
      <c r="AX115" s="516" t="s">
        <v>614</v>
      </c>
      <c r="AY115" s="474"/>
      <c r="AZ115" s="475" t="e">
        <f>IF($L$71="Choosing Supplier 1", AZ114*#REF!+AZ113*#REF!,AZ114*#REF!+AZ113*#REF!)</f>
        <v>#REF!</v>
      </c>
      <c r="BA115" s="475" t="e">
        <f>IF($L$71="Choosing Supplier 1", BA114*#REF!+BA113*#REF!,BA114*#REF!+BA113*#REF!)</f>
        <v>#REF!</v>
      </c>
      <c r="BB115" s="475" t="e">
        <f>IF($L$71="Choosing Supplier 1", BB114*#REF!+BB113*#REF!,BB114*#REF!+BB113*#REF!)</f>
        <v>#REF!</v>
      </c>
      <c r="BC115" s="475" t="e">
        <f>IF($L$71="Choosing Supplier 1", BC114*#REF!+BC113*#REF!,BC114*#REF!+BC113*#REF!)</f>
        <v>#REF!</v>
      </c>
      <c r="BD115" s="475" t="e">
        <f>IF($L$71="Choosing Supplier 1", BD114*#REF!+BD113*#REF!,BD114*#REF!+BD113*#REF!)</f>
        <v>#REF!</v>
      </c>
      <c r="BE115" s="475" t="e">
        <f>IF($L$71="Choosing Supplier 1", BE114*#REF!+BE113*#REF!,BE114*#REF!+BE113*#REF!)</f>
        <v>#REF!</v>
      </c>
      <c r="BF115" s="475" t="e">
        <f>IF($L$71="Choosing Supplier 1", BF114*#REF!+BF113*#REF!,BF114*#REF!+BF113*#REF!)</f>
        <v>#REF!</v>
      </c>
      <c r="BG115" s="475" t="e">
        <f>IF($L$71="Choosing Supplier 1", BG114*#REF!+BG113*#REF!,BG114*#REF!+BG113*#REF!)</f>
        <v>#REF!</v>
      </c>
      <c r="BH115" s="475" t="e">
        <f>IF($L$71="Choosing Supplier 1", BH114*#REF!+BH113*#REF!,BH114*#REF!+BH113*#REF!)</f>
        <v>#REF!</v>
      </c>
    </row>
    <row r="116" spans="2:60" hidden="1" x14ac:dyDescent="0.3">
      <c r="C116" s="498"/>
      <c r="D116" s="483"/>
      <c r="E116" s="484"/>
      <c r="F116" s="484"/>
      <c r="G116" s="484"/>
      <c r="H116" s="484"/>
      <c r="I116" s="484"/>
      <c r="J116" s="484"/>
      <c r="K116" s="484"/>
      <c r="O116" s="498"/>
      <c r="P116" s="483"/>
      <c r="Q116" s="484"/>
      <c r="R116" s="484"/>
      <c r="S116" s="484"/>
      <c r="T116" s="484"/>
      <c r="U116" s="484"/>
      <c r="V116" s="484"/>
      <c r="W116" s="484"/>
      <c r="Z116" s="498"/>
      <c r="AA116" s="483"/>
      <c r="AB116" s="484"/>
      <c r="AC116" s="484"/>
      <c r="AD116" s="484"/>
      <c r="AE116" s="484"/>
      <c r="AF116" s="484"/>
      <c r="AG116" s="484"/>
      <c r="AH116" s="484"/>
      <c r="AL116" s="498"/>
      <c r="AM116" s="483"/>
      <c r="AN116" s="484"/>
      <c r="AO116" s="484"/>
      <c r="AP116" s="484"/>
      <c r="AQ116" s="484"/>
      <c r="AR116" s="484"/>
      <c r="AS116" s="484"/>
      <c r="AT116" s="484"/>
      <c r="AX116" s="498"/>
      <c r="AY116" s="483"/>
      <c r="AZ116" s="484"/>
      <c r="BA116" s="484"/>
      <c r="BB116" s="484"/>
      <c r="BC116" s="484"/>
      <c r="BD116" s="484"/>
      <c r="BE116" s="484"/>
      <c r="BF116" s="484"/>
      <c r="BG116" s="484"/>
      <c r="BH116" s="484"/>
    </row>
    <row r="117" spans="2:60" hidden="1" x14ac:dyDescent="0.3">
      <c r="C117" s="498"/>
      <c r="D117" s="483"/>
      <c r="E117" s="484"/>
      <c r="F117" s="484"/>
      <c r="G117" s="484"/>
      <c r="H117" s="484"/>
      <c r="I117" s="484"/>
      <c r="J117" s="484"/>
      <c r="K117" s="484"/>
      <c r="O117" s="498"/>
      <c r="P117" s="483"/>
      <c r="Q117" s="484"/>
      <c r="R117" s="484"/>
      <c r="S117" s="484"/>
      <c r="T117" s="484"/>
      <c r="U117" s="484"/>
      <c r="V117" s="484"/>
      <c r="W117" s="484"/>
      <c r="Z117" s="498"/>
      <c r="AA117" s="483"/>
      <c r="AB117" s="484"/>
      <c r="AC117" s="484"/>
      <c r="AD117" s="484"/>
      <c r="AE117" s="484"/>
      <c r="AF117" s="484"/>
      <c r="AG117" s="484"/>
      <c r="AH117" s="484"/>
      <c r="AL117" s="498"/>
      <c r="AM117" s="483"/>
      <c r="AN117" s="484"/>
      <c r="AO117" s="484"/>
      <c r="AP117" s="484"/>
      <c r="AQ117" s="484"/>
      <c r="AR117" s="484"/>
      <c r="AS117" s="484"/>
      <c r="AT117" s="484"/>
      <c r="AX117" s="498"/>
      <c r="AY117" s="483"/>
      <c r="AZ117" s="484"/>
      <c r="BA117" s="484"/>
      <c r="BB117" s="484"/>
      <c r="BC117" s="484"/>
      <c r="BD117" s="484"/>
      <c r="BE117" s="484"/>
      <c r="BF117" s="484"/>
      <c r="BG117" s="484"/>
      <c r="BH117" s="484"/>
    </row>
    <row r="118" spans="2:60" ht="18" hidden="1" x14ac:dyDescent="0.35">
      <c r="B118" s="517" t="s">
        <v>645</v>
      </c>
      <c r="D118" s="774"/>
      <c r="M118" s="460"/>
      <c r="N118" s="517" t="s">
        <v>645</v>
      </c>
      <c r="P118" s="774"/>
      <c r="Y118" s="517" t="s">
        <v>645</v>
      </c>
      <c r="AA118" s="774"/>
      <c r="AK118" s="517" t="s">
        <v>645</v>
      </c>
      <c r="AM118" s="774"/>
      <c r="AW118" s="517" t="s">
        <v>645</v>
      </c>
      <c r="AY118" s="774"/>
    </row>
    <row r="119" spans="2:60" hidden="1" x14ac:dyDescent="0.3">
      <c r="C119" s="437" t="s">
        <v>600</v>
      </c>
      <c r="D119" s="479">
        <f>[1]DC3!C24</f>
        <v>0</v>
      </c>
      <c r="M119" s="460"/>
      <c r="O119" s="437" t="s">
        <v>600</v>
      </c>
      <c r="P119" s="479">
        <f>[1]DC3!O24</f>
        <v>0</v>
      </c>
      <c r="Z119" s="437" t="s">
        <v>600</v>
      </c>
      <c r="AA119" s="479">
        <f>[1]DC3!Z24</f>
        <v>0</v>
      </c>
      <c r="AL119" s="437" t="s">
        <v>600</v>
      </c>
      <c r="AM119" s="479">
        <f>[1]DC3!AB24</f>
        <v>0</v>
      </c>
      <c r="AX119" s="437" t="s">
        <v>600</v>
      </c>
      <c r="AY119" s="479">
        <f>[1]DC3!AN24</f>
        <v>0</v>
      </c>
    </row>
    <row r="120" spans="2:60" ht="14.4" hidden="1" customHeight="1" x14ac:dyDescent="0.3">
      <c r="C120" s="437" t="s">
        <v>601</v>
      </c>
      <c r="D120" s="479">
        <f>[1]DC3!C25</f>
        <v>0</v>
      </c>
      <c r="O120" s="437" t="s">
        <v>601</v>
      </c>
      <c r="P120" s="479">
        <f>[1]DC3!O25</f>
        <v>0</v>
      </c>
      <c r="Z120" s="437" t="s">
        <v>601</v>
      </c>
      <c r="AA120" s="479">
        <f>[1]DC3!Z25</f>
        <v>0</v>
      </c>
      <c r="AL120" s="437" t="s">
        <v>601</v>
      </c>
      <c r="AM120" s="479">
        <f>[1]DC3!AB25</f>
        <v>0</v>
      </c>
      <c r="AX120" s="437" t="s">
        <v>601</v>
      </c>
      <c r="AY120" s="479">
        <f>[1]DC3!AN25</f>
        <v>0</v>
      </c>
    </row>
    <row r="121" spans="2:60" ht="14.4" hidden="1" customHeight="1" x14ac:dyDescent="0.3">
      <c r="C121" s="438" t="s">
        <v>602</v>
      </c>
      <c r="D121" s="480">
        <f>[1]DC3!C26</f>
        <v>0</v>
      </c>
      <c r="O121" s="438" t="s">
        <v>602</v>
      </c>
      <c r="P121" s="480">
        <f>[1]DC3!O26</f>
        <v>0</v>
      </c>
      <c r="Z121" s="438" t="s">
        <v>602</v>
      </c>
      <c r="AA121" s="480">
        <f>[1]DC3!Z26</f>
        <v>0</v>
      </c>
      <c r="AL121" s="438" t="s">
        <v>602</v>
      </c>
      <c r="AM121" s="480">
        <f>[1]DC3!AB26</f>
        <v>0</v>
      </c>
      <c r="AX121" s="438" t="s">
        <v>602</v>
      </c>
      <c r="AY121" s="480">
        <f>[1]DC3!AN26</f>
        <v>0</v>
      </c>
    </row>
    <row r="122" spans="2:60" ht="14.4" hidden="1" customHeight="1" x14ac:dyDescent="0.3">
      <c r="C122" s="438" t="s">
        <v>603</v>
      </c>
      <c r="D122" s="480">
        <f>[1]DC3!C27</f>
        <v>0</v>
      </c>
      <c r="O122" s="438" t="s">
        <v>603</v>
      </c>
      <c r="P122" s="480">
        <f>[1]DC3!O27</f>
        <v>0</v>
      </c>
      <c r="Z122" s="438" t="s">
        <v>603</v>
      </c>
      <c r="AA122" s="480">
        <f>[1]DC3!Z27</f>
        <v>0</v>
      </c>
      <c r="AL122" s="438" t="s">
        <v>603</v>
      </c>
      <c r="AM122" s="480">
        <f>[1]DC3!AB27</f>
        <v>0</v>
      </c>
      <c r="AX122" s="438" t="s">
        <v>603</v>
      </c>
      <c r="AY122" s="480">
        <f>[1]DC3!AN27</f>
        <v>0</v>
      </c>
    </row>
    <row r="123" spans="2:60" ht="14.4" hidden="1" customHeight="1" x14ac:dyDescent="0.3">
      <c r="C123" s="437" t="s">
        <v>644</v>
      </c>
      <c r="D123" s="446">
        <v>2</v>
      </c>
      <c r="O123" s="437" t="s">
        <v>644</v>
      </c>
      <c r="P123" s="446">
        <v>2</v>
      </c>
      <c r="Z123" s="437" t="s">
        <v>644</v>
      </c>
      <c r="AA123" s="446">
        <v>2</v>
      </c>
      <c r="AL123" s="437" t="s">
        <v>644</v>
      </c>
      <c r="AM123" s="446">
        <v>2</v>
      </c>
      <c r="AX123" s="437" t="s">
        <v>644</v>
      </c>
      <c r="AY123" s="446">
        <v>2</v>
      </c>
    </row>
    <row r="124" spans="2:60" ht="14.4" hidden="1" customHeight="1" x14ac:dyDescent="0.3">
      <c r="C124" s="437" t="s">
        <v>604</v>
      </c>
      <c r="D124" s="446">
        <v>10</v>
      </c>
      <c r="O124" s="437" t="s">
        <v>604</v>
      </c>
      <c r="P124" s="446">
        <v>10</v>
      </c>
      <c r="Z124" s="437" t="s">
        <v>604</v>
      </c>
      <c r="AA124" s="446">
        <v>10</v>
      </c>
      <c r="AL124" s="437" t="s">
        <v>604</v>
      </c>
      <c r="AM124" s="446">
        <v>10</v>
      </c>
      <c r="AX124" s="437" t="s">
        <v>604</v>
      </c>
      <c r="AY124" s="446">
        <v>10</v>
      </c>
    </row>
    <row r="125" spans="2:60" ht="15" hidden="1" customHeight="1" x14ac:dyDescent="0.3">
      <c r="C125" s="437" t="s">
        <v>605</v>
      </c>
      <c r="D125" s="446">
        <f>[2]Scheduling!C29</f>
        <v>5</v>
      </c>
      <c r="O125" s="437" t="s">
        <v>605</v>
      </c>
      <c r="P125" s="446">
        <f>[2]Scheduling!O29</f>
        <v>0</v>
      </c>
      <c r="Z125" s="437" t="s">
        <v>605</v>
      </c>
      <c r="AA125" s="446">
        <f>[2]Scheduling!Z29</f>
        <v>0</v>
      </c>
      <c r="AL125" s="437" t="s">
        <v>605</v>
      </c>
      <c r="AM125" s="446">
        <f>[2]Scheduling!AB29</f>
        <v>0</v>
      </c>
      <c r="AX125" s="437" t="s">
        <v>605</v>
      </c>
      <c r="AY125" s="446">
        <f>[2]Scheduling!AN29</f>
        <v>0</v>
      </c>
    </row>
    <row r="126" spans="2:60" ht="15" hidden="1" customHeight="1" x14ac:dyDescent="0.3">
      <c r="C126" s="437" t="s">
        <v>638</v>
      </c>
      <c r="D126" s="446">
        <f>[2]Scheduling!C28</f>
        <v>69</v>
      </c>
      <c r="O126" s="437" t="s">
        <v>638</v>
      </c>
      <c r="P126" s="446">
        <f>[2]Scheduling!O28</f>
        <v>16</v>
      </c>
      <c r="Z126" s="437" t="s">
        <v>638</v>
      </c>
      <c r="AA126" s="446">
        <f>[2]Scheduling!Z28</f>
        <v>0</v>
      </c>
      <c r="AL126" s="437" t="s">
        <v>638</v>
      </c>
      <c r="AM126" s="446">
        <f>[2]Scheduling!AB28</f>
        <v>0</v>
      </c>
      <c r="AX126" s="437" t="s">
        <v>638</v>
      </c>
      <c r="AY126" s="446">
        <f>[2]Scheduling!AN28</f>
        <v>0</v>
      </c>
    </row>
    <row r="127" spans="2:60" ht="15" hidden="1" customHeight="1" x14ac:dyDescent="0.3">
      <c r="E127" s="947" t="s">
        <v>319</v>
      </c>
      <c r="F127" s="948"/>
      <c r="G127" s="948"/>
      <c r="H127" s="948"/>
      <c r="I127" s="948"/>
      <c r="J127" s="948"/>
      <c r="K127" s="949"/>
      <c r="Q127" s="947" t="s">
        <v>319</v>
      </c>
      <c r="R127" s="948"/>
      <c r="S127" s="948"/>
      <c r="T127" s="948"/>
      <c r="U127" s="948"/>
      <c r="V127" s="948"/>
      <c r="W127" s="949"/>
      <c r="AB127" s="947" t="s">
        <v>319</v>
      </c>
      <c r="AC127" s="948"/>
      <c r="AD127" s="948"/>
      <c r="AE127" s="948"/>
      <c r="AF127" s="948"/>
      <c r="AG127" s="948"/>
      <c r="AH127" s="949"/>
      <c r="AN127" s="947" t="s">
        <v>319</v>
      </c>
      <c r="AO127" s="948"/>
      <c r="AP127" s="948"/>
      <c r="AQ127" s="948"/>
      <c r="AR127" s="948"/>
      <c r="AS127" s="948"/>
      <c r="AT127" s="949"/>
      <c r="AZ127" s="947" t="s">
        <v>319</v>
      </c>
      <c r="BA127" s="948"/>
      <c r="BB127" s="948"/>
      <c r="BC127" s="948"/>
      <c r="BD127" s="948"/>
      <c r="BE127" s="948"/>
      <c r="BF127" s="949"/>
      <c r="BG127"/>
      <c r="BH127"/>
    </row>
    <row r="128" spans="2:60" ht="15" hidden="1" thickBot="1" x14ac:dyDescent="0.35">
      <c r="D128" s="608" t="s">
        <v>606</v>
      </c>
      <c r="E128" s="782" t="s">
        <v>49</v>
      </c>
      <c r="F128" s="783" t="s">
        <v>50</v>
      </c>
      <c r="G128" s="783" t="s">
        <v>51</v>
      </c>
      <c r="H128" s="783" t="s">
        <v>308</v>
      </c>
      <c r="I128" s="783" t="s">
        <v>309</v>
      </c>
      <c r="J128" s="783" t="s">
        <v>310</v>
      </c>
      <c r="K128" s="784" t="s">
        <v>311</v>
      </c>
      <c r="P128" s="608" t="s">
        <v>606</v>
      </c>
      <c r="Q128" s="782" t="s">
        <v>49</v>
      </c>
      <c r="R128" s="783" t="s">
        <v>50</v>
      </c>
      <c r="S128" s="783" t="s">
        <v>51</v>
      </c>
      <c r="T128" s="783" t="s">
        <v>308</v>
      </c>
      <c r="U128" s="783" t="s">
        <v>309</v>
      </c>
      <c r="V128" s="783" t="s">
        <v>310</v>
      </c>
      <c r="W128" s="784" t="s">
        <v>311</v>
      </c>
      <c r="AA128" s="608" t="s">
        <v>606</v>
      </c>
      <c r="AB128" s="782" t="s">
        <v>49</v>
      </c>
      <c r="AC128" s="783" t="s">
        <v>50</v>
      </c>
      <c r="AD128" s="783" t="s">
        <v>51</v>
      </c>
      <c r="AE128" s="783" t="s">
        <v>308</v>
      </c>
      <c r="AF128" s="783" t="s">
        <v>309</v>
      </c>
      <c r="AG128" s="783" t="s">
        <v>310</v>
      </c>
      <c r="AH128" s="784" t="s">
        <v>311</v>
      </c>
      <c r="AM128" s="608" t="s">
        <v>606</v>
      </c>
      <c r="AN128" s="782" t="s">
        <v>49</v>
      </c>
      <c r="AO128" s="783" t="s">
        <v>50</v>
      </c>
      <c r="AP128" s="783" t="s">
        <v>51</v>
      </c>
      <c r="AQ128" s="783" t="s">
        <v>308</v>
      </c>
      <c r="AR128" s="783" t="s">
        <v>309</v>
      </c>
      <c r="AS128" s="783" t="s">
        <v>310</v>
      </c>
      <c r="AT128" s="784" t="s">
        <v>311</v>
      </c>
      <c r="AY128" s="608" t="s">
        <v>606</v>
      </c>
      <c r="AZ128" s="782" t="s">
        <v>49</v>
      </c>
      <c r="BA128" s="783" t="s">
        <v>50</v>
      </c>
      <c r="BB128" s="783" t="s">
        <v>51</v>
      </c>
      <c r="BC128" s="783" t="s">
        <v>308</v>
      </c>
      <c r="BD128" s="783" t="s">
        <v>309</v>
      </c>
      <c r="BE128" s="783" t="s">
        <v>310</v>
      </c>
      <c r="BF128" s="784" t="s">
        <v>311</v>
      </c>
      <c r="BG128" s="784" t="s">
        <v>311</v>
      </c>
      <c r="BH128" s="784" t="s">
        <v>311</v>
      </c>
    </row>
    <row r="129" spans="2:60" hidden="1" x14ac:dyDescent="0.3">
      <c r="C129" s="566" t="s">
        <v>337</v>
      </c>
      <c r="D129" s="575"/>
      <c r="E129" s="504">
        <f t="shared" ref="E129:K129" si="228">E90</f>
        <v>0</v>
      </c>
      <c r="F129" s="526">
        <f t="shared" si="228"/>
        <v>0</v>
      </c>
      <c r="G129" s="503">
        <f t="shared" si="228"/>
        <v>0</v>
      </c>
      <c r="H129" s="504">
        <f t="shared" si="228"/>
        <v>0</v>
      </c>
      <c r="I129" s="504">
        <f t="shared" si="228"/>
        <v>0</v>
      </c>
      <c r="J129" s="505">
        <f t="shared" si="228"/>
        <v>0</v>
      </c>
      <c r="K129" s="581">
        <f t="shared" si="228"/>
        <v>0</v>
      </c>
      <c r="O129" s="566" t="s">
        <v>337</v>
      </c>
      <c r="P129" s="575"/>
      <c r="Q129" s="504">
        <f t="shared" ref="Q129:W129" si="229">Q90</f>
        <v>0</v>
      </c>
      <c r="R129" s="526">
        <f t="shared" si="229"/>
        <v>0</v>
      </c>
      <c r="S129" s="503">
        <f t="shared" si="229"/>
        <v>0</v>
      </c>
      <c r="T129" s="504">
        <f t="shared" si="229"/>
        <v>0</v>
      </c>
      <c r="U129" s="504">
        <f t="shared" si="229"/>
        <v>0</v>
      </c>
      <c r="V129" s="505">
        <f t="shared" si="229"/>
        <v>0</v>
      </c>
      <c r="W129" s="581">
        <f t="shared" si="229"/>
        <v>0</v>
      </c>
      <c r="Z129" s="566" t="s">
        <v>337</v>
      </c>
      <c r="AA129" s="575"/>
      <c r="AB129" s="504">
        <f t="shared" ref="AB129:AH129" si="230">AB90</f>
        <v>0</v>
      </c>
      <c r="AC129" s="526">
        <f t="shared" si="230"/>
        <v>0</v>
      </c>
      <c r="AD129" s="503">
        <f t="shared" si="230"/>
        <v>0</v>
      </c>
      <c r="AE129" s="504">
        <f t="shared" si="230"/>
        <v>0</v>
      </c>
      <c r="AF129" s="504">
        <f t="shared" si="230"/>
        <v>0</v>
      </c>
      <c r="AG129" s="505">
        <f t="shared" si="230"/>
        <v>0</v>
      </c>
      <c r="AH129" s="581">
        <f t="shared" si="230"/>
        <v>0</v>
      </c>
      <c r="AL129" s="566" t="s">
        <v>337</v>
      </c>
      <c r="AM129" s="575"/>
      <c r="AN129" s="504">
        <f t="shared" ref="AN129:AT129" si="231">AN90</f>
        <v>0</v>
      </c>
      <c r="AO129" s="526">
        <f t="shared" si="231"/>
        <v>0</v>
      </c>
      <c r="AP129" s="503">
        <f t="shared" si="231"/>
        <v>0</v>
      </c>
      <c r="AQ129" s="504">
        <f t="shared" si="231"/>
        <v>0</v>
      </c>
      <c r="AR129" s="504">
        <f t="shared" si="231"/>
        <v>0</v>
      </c>
      <c r="AS129" s="505">
        <f t="shared" si="231"/>
        <v>0</v>
      </c>
      <c r="AT129" s="581">
        <f t="shared" si="231"/>
        <v>0</v>
      </c>
      <c r="AX129" s="566" t="s">
        <v>337</v>
      </c>
      <c r="AY129" s="575"/>
      <c r="AZ129" s="504">
        <f t="shared" ref="AZ129:BF129" si="232">AZ90</f>
        <v>0</v>
      </c>
      <c r="BA129" s="526">
        <f t="shared" si="232"/>
        <v>0</v>
      </c>
      <c r="BB129" s="503">
        <f t="shared" si="232"/>
        <v>0</v>
      </c>
      <c r="BC129" s="504">
        <f t="shared" si="232"/>
        <v>0</v>
      </c>
      <c r="BD129" s="504">
        <f t="shared" si="232"/>
        <v>0</v>
      </c>
      <c r="BE129" s="505">
        <f t="shared" si="232"/>
        <v>0</v>
      </c>
      <c r="BF129" s="581">
        <f t="shared" si="232"/>
        <v>0</v>
      </c>
      <c r="BG129" s="581">
        <f t="shared" ref="BG129:BH129" si="233">BG90</f>
        <v>0</v>
      </c>
      <c r="BH129" s="581">
        <f t="shared" si="233"/>
        <v>0</v>
      </c>
    </row>
    <row r="130" spans="2:60" hidden="1" x14ac:dyDescent="0.3">
      <c r="C130" s="566" t="s">
        <v>632</v>
      </c>
      <c r="D130" s="575"/>
      <c r="E130" s="504">
        <f t="shared" ref="E130:K130" si="234">E112</f>
        <v>0</v>
      </c>
      <c r="F130" s="526">
        <f t="shared" si="234"/>
        <v>0</v>
      </c>
      <c r="G130" s="503">
        <f t="shared" si="234"/>
        <v>0</v>
      </c>
      <c r="H130" s="504">
        <f t="shared" si="234"/>
        <v>0</v>
      </c>
      <c r="I130" s="504">
        <f t="shared" si="234"/>
        <v>0</v>
      </c>
      <c r="J130" s="505">
        <f t="shared" si="234"/>
        <v>0</v>
      </c>
      <c r="K130" s="581">
        <f t="shared" si="234"/>
        <v>0</v>
      </c>
      <c r="O130" s="566" t="s">
        <v>632</v>
      </c>
      <c r="P130" s="575"/>
      <c r="Q130" s="504">
        <f t="shared" ref="Q130:W130" si="235">Q112</f>
        <v>0</v>
      </c>
      <c r="R130" s="526">
        <f t="shared" si="235"/>
        <v>0</v>
      </c>
      <c r="S130" s="503">
        <f t="shared" si="235"/>
        <v>0</v>
      </c>
      <c r="T130" s="504">
        <f t="shared" si="235"/>
        <v>0</v>
      </c>
      <c r="U130" s="504">
        <f t="shared" si="235"/>
        <v>0</v>
      </c>
      <c r="V130" s="505">
        <f t="shared" si="235"/>
        <v>0</v>
      </c>
      <c r="W130" s="581">
        <f t="shared" si="235"/>
        <v>0</v>
      </c>
      <c r="Z130" s="566" t="s">
        <v>632</v>
      </c>
      <c r="AA130" s="575"/>
      <c r="AB130" s="504">
        <f t="shared" ref="AB130:AH130" si="236">AB112</f>
        <v>0</v>
      </c>
      <c r="AC130" s="526">
        <f t="shared" si="236"/>
        <v>0</v>
      </c>
      <c r="AD130" s="503">
        <f t="shared" si="236"/>
        <v>0</v>
      </c>
      <c r="AE130" s="504">
        <f t="shared" si="236"/>
        <v>0</v>
      </c>
      <c r="AF130" s="504">
        <f t="shared" si="236"/>
        <v>0</v>
      </c>
      <c r="AG130" s="505">
        <f t="shared" si="236"/>
        <v>0</v>
      </c>
      <c r="AH130" s="581">
        <f t="shared" si="236"/>
        <v>0</v>
      </c>
      <c r="AL130" s="566" t="s">
        <v>632</v>
      </c>
      <c r="AM130" s="575"/>
      <c r="AN130" s="504">
        <f t="shared" ref="AN130:AT130" si="237">AN112</f>
        <v>0</v>
      </c>
      <c r="AO130" s="526">
        <f t="shared" si="237"/>
        <v>0</v>
      </c>
      <c r="AP130" s="503">
        <f t="shared" si="237"/>
        <v>0</v>
      </c>
      <c r="AQ130" s="504">
        <f t="shared" si="237"/>
        <v>0</v>
      </c>
      <c r="AR130" s="504">
        <f t="shared" si="237"/>
        <v>0</v>
      </c>
      <c r="AS130" s="505">
        <f t="shared" si="237"/>
        <v>0</v>
      </c>
      <c r="AT130" s="581">
        <f t="shared" si="237"/>
        <v>0</v>
      </c>
      <c r="AX130" s="566" t="s">
        <v>632</v>
      </c>
      <c r="AY130" s="575"/>
      <c r="AZ130" s="504">
        <f t="shared" ref="AZ130:BF130" si="238">AZ112</f>
        <v>0</v>
      </c>
      <c r="BA130" s="526">
        <f t="shared" si="238"/>
        <v>0</v>
      </c>
      <c r="BB130" s="503">
        <f t="shared" si="238"/>
        <v>0</v>
      </c>
      <c r="BC130" s="504">
        <f t="shared" si="238"/>
        <v>0</v>
      </c>
      <c r="BD130" s="504">
        <f t="shared" si="238"/>
        <v>0</v>
      </c>
      <c r="BE130" s="505">
        <f t="shared" si="238"/>
        <v>0</v>
      </c>
      <c r="BF130" s="581">
        <f t="shared" si="238"/>
        <v>0</v>
      </c>
      <c r="BG130" s="581">
        <f t="shared" ref="BG130:BH130" si="239">BG112</f>
        <v>0</v>
      </c>
      <c r="BH130" s="581">
        <f t="shared" si="239"/>
        <v>0</v>
      </c>
    </row>
    <row r="131" spans="2:60" ht="15" hidden="1" thickBot="1" x14ac:dyDescent="0.35">
      <c r="C131" s="447" t="s">
        <v>621</v>
      </c>
      <c r="D131" s="576"/>
      <c r="E131" s="487">
        <f t="shared" ref="E131:K131" si="240">SUM(E129:E130)</f>
        <v>0</v>
      </c>
      <c r="F131" s="568">
        <f t="shared" si="240"/>
        <v>0</v>
      </c>
      <c r="G131" s="486">
        <f t="shared" si="240"/>
        <v>0</v>
      </c>
      <c r="H131" s="487">
        <f t="shared" si="240"/>
        <v>0</v>
      </c>
      <c r="I131" s="487">
        <f t="shared" si="240"/>
        <v>0</v>
      </c>
      <c r="J131" s="488">
        <f t="shared" si="240"/>
        <v>0</v>
      </c>
      <c r="K131" s="572">
        <f t="shared" si="240"/>
        <v>0</v>
      </c>
      <c r="O131" s="447" t="s">
        <v>621</v>
      </c>
      <c r="P131" s="576"/>
      <c r="Q131" s="487">
        <f t="shared" ref="Q131:W131" si="241">SUM(Q129:Q130)</f>
        <v>0</v>
      </c>
      <c r="R131" s="568">
        <f t="shared" si="241"/>
        <v>0</v>
      </c>
      <c r="S131" s="486">
        <f t="shared" si="241"/>
        <v>0</v>
      </c>
      <c r="T131" s="487">
        <f t="shared" si="241"/>
        <v>0</v>
      </c>
      <c r="U131" s="487">
        <f t="shared" si="241"/>
        <v>0</v>
      </c>
      <c r="V131" s="488">
        <f t="shared" si="241"/>
        <v>0</v>
      </c>
      <c r="W131" s="572">
        <f t="shared" si="241"/>
        <v>0</v>
      </c>
      <c r="Z131" s="447" t="s">
        <v>621</v>
      </c>
      <c r="AA131" s="576"/>
      <c r="AB131" s="487">
        <f t="shared" ref="AB131:AH131" si="242">SUM(AB129:AB130)</f>
        <v>0</v>
      </c>
      <c r="AC131" s="568">
        <f t="shared" si="242"/>
        <v>0</v>
      </c>
      <c r="AD131" s="486">
        <f t="shared" si="242"/>
        <v>0</v>
      </c>
      <c r="AE131" s="487">
        <f t="shared" si="242"/>
        <v>0</v>
      </c>
      <c r="AF131" s="487">
        <f t="shared" si="242"/>
        <v>0</v>
      </c>
      <c r="AG131" s="488">
        <f t="shared" si="242"/>
        <v>0</v>
      </c>
      <c r="AH131" s="572">
        <f t="shared" si="242"/>
        <v>0</v>
      </c>
      <c r="AL131" s="447" t="s">
        <v>621</v>
      </c>
      <c r="AM131" s="576"/>
      <c r="AN131" s="487">
        <f t="shared" ref="AN131:AT131" si="243">SUM(AN129:AN130)</f>
        <v>0</v>
      </c>
      <c r="AO131" s="568">
        <f t="shared" si="243"/>
        <v>0</v>
      </c>
      <c r="AP131" s="486">
        <f t="shared" si="243"/>
        <v>0</v>
      </c>
      <c r="AQ131" s="487">
        <f t="shared" si="243"/>
        <v>0</v>
      </c>
      <c r="AR131" s="487">
        <f t="shared" si="243"/>
        <v>0</v>
      </c>
      <c r="AS131" s="488">
        <f t="shared" si="243"/>
        <v>0</v>
      </c>
      <c r="AT131" s="572">
        <f t="shared" si="243"/>
        <v>0</v>
      </c>
      <c r="AX131" s="447" t="s">
        <v>621</v>
      </c>
      <c r="AY131" s="576"/>
      <c r="AZ131" s="487">
        <f t="shared" ref="AZ131:BF131" si="244">SUM(AZ129:AZ130)</f>
        <v>0</v>
      </c>
      <c r="BA131" s="568">
        <f t="shared" si="244"/>
        <v>0</v>
      </c>
      <c r="BB131" s="486">
        <f t="shared" si="244"/>
        <v>0</v>
      </c>
      <c r="BC131" s="487">
        <f t="shared" si="244"/>
        <v>0</v>
      </c>
      <c r="BD131" s="487">
        <f t="shared" si="244"/>
        <v>0</v>
      </c>
      <c r="BE131" s="488">
        <f t="shared" si="244"/>
        <v>0</v>
      </c>
      <c r="BF131" s="572">
        <f t="shared" si="244"/>
        <v>0</v>
      </c>
      <c r="BG131" s="572">
        <f t="shared" ref="BG131:BH131" si="245">SUM(BG129:BG130)</f>
        <v>0</v>
      </c>
      <c r="BH131" s="572">
        <f t="shared" si="245"/>
        <v>0</v>
      </c>
    </row>
    <row r="132" spans="2:60" hidden="1" x14ac:dyDescent="0.3">
      <c r="C132" s="489" t="s">
        <v>651</v>
      </c>
      <c r="D132" s="577"/>
      <c r="E132" s="578">
        <v>10</v>
      </c>
      <c r="F132" s="578">
        <v>40</v>
      </c>
      <c r="G132" s="509"/>
      <c r="H132" s="490"/>
      <c r="I132" s="490"/>
      <c r="J132" s="491"/>
      <c r="K132" s="573"/>
      <c r="O132" s="489" t="s">
        <v>651</v>
      </c>
      <c r="P132" s="577"/>
      <c r="Q132" s="578">
        <v>10</v>
      </c>
      <c r="R132" s="578">
        <v>40</v>
      </c>
      <c r="S132" s="509"/>
      <c r="T132" s="490"/>
      <c r="U132" s="490"/>
      <c r="V132" s="491"/>
      <c r="W132" s="573"/>
      <c r="Z132" s="489" t="s">
        <v>651</v>
      </c>
      <c r="AA132" s="577"/>
      <c r="AB132" s="578">
        <v>10</v>
      </c>
      <c r="AC132" s="578">
        <v>40</v>
      </c>
      <c r="AD132" s="509"/>
      <c r="AE132" s="490"/>
      <c r="AF132" s="490"/>
      <c r="AG132" s="491"/>
      <c r="AH132" s="573"/>
      <c r="AL132" s="489" t="s">
        <v>651</v>
      </c>
      <c r="AM132" s="577"/>
      <c r="AN132" s="578">
        <v>10</v>
      </c>
      <c r="AO132" s="578">
        <v>40</v>
      </c>
      <c r="AP132" s="509"/>
      <c r="AQ132" s="490"/>
      <c r="AR132" s="490"/>
      <c r="AS132" s="491"/>
      <c r="AT132" s="573"/>
      <c r="AX132" s="489" t="s">
        <v>651</v>
      </c>
      <c r="AY132" s="577"/>
      <c r="AZ132" s="578">
        <v>10</v>
      </c>
      <c r="BA132" s="578">
        <v>40</v>
      </c>
      <c r="BB132" s="509"/>
      <c r="BC132" s="490"/>
      <c r="BD132" s="490"/>
      <c r="BE132" s="491"/>
      <c r="BF132" s="573"/>
      <c r="BG132" s="573"/>
      <c r="BH132" s="573"/>
    </row>
    <row r="133" spans="2:60" hidden="1" x14ac:dyDescent="0.3">
      <c r="C133" s="492" t="s">
        <v>617</v>
      </c>
      <c r="D133" s="578">
        <v>30</v>
      </c>
      <c r="E133" s="493">
        <f t="shared" ref="E133:K133" si="246">D133+E132+E135-E131</f>
        <v>40</v>
      </c>
      <c r="F133" s="493">
        <f t="shared" si="246"/>
        <v>80</v>
      </c>
      <c r="G133" s="493">
        <f t="shared" si="246"/>
        <v>80</v>
      </c>
      <c r="H133" s="493">
        <f t="shared" si="246"/>
        <v>80</v>
      </c>
      <c r="I133" s="493">
        <f t="shared" si="246"/>
        <v>80</v>
      </c>
      <c r="J133" s="493">
        <f t="shared" si="246"/>
        <v>80</v>
      </c>
      <c r="K133" s="493">
        <f t="shared" si="246"/>
        <v>80</v>
      </c>
      <c r="M133" s="460" t="s">
        <v>610</v>
      </c>
      <c r="O133" s="492" t="s">
        <v>617</v>
      </c>
      <c r="P133" s="578">
        <v>30</v>
      </c>
      <c r="Q133" s="493">
        <f t="shared" ref="Q133:W133" si="247">P133+Q132+Q135-Q131</f>
        <v>40</v>
      </c>
      <c r="R133" s="493">
        <f t="shared" si="247"/>
        <v>80</v>
      </c>
      <c r="S133" s="493">
        <f t="shared" si="247"/>
        <v>80</v>
      </c>
      <c r="T133" s="493">
        <f t="shared" si="247"/>
        <v>80</v>
      </c>
      <c r="U133" s="493">
        <f t="shared" si="247"/>
        <v>80</v>
      </c>
      <c r="V133" s="493">
        <f t="shared" si="247"/>
        <v>80</v>
      </c>
      <c r="W133" s="493">
        <f t="shared" si="247"/>
        <v>80</v>
      </c>
      <c r="Z133" s="492" t="s">
        <v>617</v>
      </c>
      <c r="AA133" s="578">
        <v>30</v>
      </c>
      <c r="AB133" s="493">
        <f t="shared" ref="AB133:AH133" si="248">AA133+AB132+AB135-AB131</f>
        <v>40</v>
      </c>
      <c r="AC133" s="493">
        <f t="shared" si="248"/>
        <v>80</v>
      </c>
      <c r="AD133" s="493">
        <f t="shared" si="248"/>
        <v>80</v>
      </c>
      <c r="AE133" s="493">
        <f t="shared" si="248"/>
        <v>80</v>
      </c>
      <c r="AF133" s="493">
        <f t="shared" si="248"/>
        <v>80</v>
      </c>
      <c r="AG133" s="493">
        <f t="shared" si="248"/>
        <v>80</v>
      </c>
      <c r="AH133" s="493">
        <f t="shared" si="248"/>
        <v>80</v>
      </c>
      <c r="AL133" s="492" t="s">
        <v>617</v>
      </c>
      <c r="AM133" s="578">
        <v>30</v>
      </c>
      <c r="AN133" s="493">
        <f t="shared" ref="AN133:AT133" si="249">AM133+AN132+AN135-AN131</f>
        <v>40</v>
      </c>
      <c r="AO133" s="493">
        <f t="shared" si="249"/>
        <v>80</v>
      </c>
      <c r="AP133" s="493">
        <f t="shared" si="249"/>
        <v>80</v>
      </c>
      <c r="AQ133" s="493">
        <f t="shared" si="249"/>
        <v>80</v>
      </c>
      <c r="AR133" s="493">
        <f t="shared" si="249"/>
        <v>80</v>
      </c>
      <c r="AS133" s="493">
        <f t="shared" si="249"/>
        <v>80</v>
      </c>
      <c r="AT133" s="493">
        <f t="shared" si="249"/>
        <v>80</v>
      </c>
      <c r="AX133" s="492" t="s">
        <v>617</v>
      </c>
      <c r="AY133" s="578">
        <v>30</v>
      </c>
      <c r="AZ133" s="493">
        <f t="shared" ref="AZ133:BE133" si="250">AY133+AZ132+AZ135-AZ131</f>
        <v>40</v>
      </c>
      <c r="BA133" s="493">
        <f t="shared" si="250"/>
        <v>80</v>
      </c>
      <c r="BB133" s="493">
        <f t="shared" si="250"/>
        <v>80</v>
      </c>
      <c r="BC133" s="493">
        <f t="shared" si="250"/>
        <v>80</v>
      </c>
      <c r="BD133" s="493">
        <f t="shared" si="250"/>
        <v>80</v>
      </c>
      <c r="BE133" s="493">
        <f t="shared" si="250"/>
        <v>80</v>
      </c>
      <c r="BF133" s="493">
        <f>BE133+BF132+BF135-BF131</f>
        <v>80</v>
      </c>
      <c r="BG133" s="493">
        <f>BF133+BG132+BG135-BG131</f>
        <v>80</v>
      </c>
      <c r="BH133" s="493">
        <f>BG133+BH132+BH135-BH131</f>
        <v>80</v>
      </c>
    </row>
    <row r="134" spans="2:60" hidden="1" x14ac:dyDescent="0.3">
      <c r="C134" s="492" t="s">
        <v>642</v>
      </c>
      <c r="D134" s="579"/>
      <c r="E134" s="528">
        <f t="shared" ref="E134:K134" si="251">IF(D133-E131+E132&lt;=$D$125, E131-E132-D133+$D$125,0)</f>
        <v>0</v>
      </c>
      <c r="F134" s="528">
        <f t="shared" si="251"/>
        <v>0</v>
      </c>
      <c r="G134" s="461">
        <f t="shared" si="251"/>
        <v>0</v>
      </c>
      <c r="H134" s="458">
        <f t="shared" si="251"/>
        <v>0</v>
      </c>
      <c r="I134" s="458">
        <f t="shared" si="251"/>
        <v>0</v>
      </c>
      <c r="J134" s="459">
        <f t="shared" si="251"/>
        <v>0</v>
      </c>
      <c r="K134" s="548">
        <f t="shared" si="251"/>
        <v>0</v>
      </c>
      <c r="M134" s="460" t="s">
        <v>611</v>
      </c>
      <c r="O134" s="492" t="s">
        <v>642</v>
      </c>
      <c r="P134" s="579"/>
      <c r="Q134" s="528">
        <f t="shared" ref="Q134:W134" si="252">IF(P133-Q131+Q132&lt;=$D$125, Q131-Q132-P133+$D$125,0)</f>
        <v>0</v>
      </c>
      <c r="R134" s="528">
        <f t="shared" si="252"/>
        <v>0</v>
      </c>
      <c r="S134" s="461">
        <f t="shared" si="252"/>
        <v>0</v>
      </c>
      <c r="T134" s="458">
        <f t="shared" si="252"/>
        <v>0</v>
      </c>
      <c r="U134" s="458">
        <f t="shared" si="252"/>
        <v>0</v>
      </c>
      <c r="V134" s="459">
        <f t="shared" si="252"/>
        <v>0</v>
      </c>
      <c r="W134" s="548">
        <f t="shared" si="252"/>
        <v>0</v>
      </c>
      <c r="Z134" s="492" t="s">
        <v>642</v>
      </c>
      <c r="AA134" s="579"/>
      <c r="AB134" s="528">
        <f t="shared" ref="AB134:AH134" si="253">IF(AA133-AB131+AB132&lt;=$D$125, AB131-AB132-AA133+$D$125,0)</f>
        <v>0</v>
      </c>
      <c r="AC134" s="528">
        <f t="shared" si="253"/>
        <v>0</v>
      </c>
      <c r="AD134" s="461">
        <f t="shared" si="253"/>
        <v>0</v>
      </c>
      <c r="AE134" s="458">
        <f t="shared" si="253"/>
        <v>0</v>
      </c>
      <c r="AF134" s="458">
        <f t="shared" si="253"/>
        <v>0</v>
      </c>
      <c r="AG134" s="459">
        <f t="shared" si="253"/>
        <v>0</v>
      </c>
      <c r="AH134" s="548">
        <f t="shared" si="253"/>
        <v>0</v>
      </c>
      <c r="AL134" s="492" t="s">
        <v>642</v>
      </c>
      <c r="AM134" s="579"/>
      <c r="AN134" s="528">
        <f t="shared" ref="AN134:AT134" si="254">IF(AM133-AN131+AN132&lt;=$D$125, AN131-AN132-AM133+$D$125,0)</f>
        <v>0</v>
      </c>
      <c r="AO134" s="528">
        <f t="shared" si="254"/>
        <v>0</v>
      </c>
      <c r="AP134" s="461">
        <f t="shared" si="254"/>
        <v>0</v>
      </c>
      <c r="AQ134" s="458">
        <f t="shared" si="254"/>
        <v>0</v>
      </c>
      <c r="AR134" s="458">
        <f t="shared" si="254"/>
        <v>0</v>
      </c>
      <c r="AS134" s="459">
        <f t="shared" si="254"/>
        <v>0</v>
      </c>
      <c r="AT134" s="548">
        <f t="shared" si="254"/>
        <v>0</v>
      </c>
      <c r="AX134" s="492" t="s">
        <v>642</v>
      </c>
      <c r="AY134" s="579"/>
      <c r="AZ134" s="528">
        <f t="shared" ref="AZ134:BE134" si="255">IF(AY133-AZ131+AZ132&lt;=$D$125, AZ131-AZ132-AY133+$D$125,0)</f>
        <v>0</v>
      </c>
      <c r="BA134" s="528">
        <f t="shared" si="255"/>
        <v>0</v>
      </c>
      <c r="BB134" s="461">
        <f t="shared" si="255"/>
        <v>0</v>
      </c>
      <c r="BC134" s="458">
        <f t="shared" si="255"/>
        <v>0</v>
      </c>
      <c r="BD134" s="458">
        <f t="shared" si="255"/>
        <v>0</v>
      </c>
      <c r="BE134" s="459">
        <f t="shared" si="255"/>
        <v>0</v>
      </c>
      <c r="BF134" s="548">
        <f>IF(BE133-BF131+BF132&lt;=$D$125, BF131-BF132-BE133+$D$125,0)</f>
        <v>0</v>
      </c>
      <c r="BG134" s="548">
        <f>IF(BF133-BG131+BG132&lt;=$D$125, BG131-BG132-BF133+$D$125,0)</f>
        <v>0</v>
      </c>
      <c r="BH134" s="548">
        <f>IF(BG133-BH131+BH132&lt;=$D$125, BH131-BH132-BG133+$D$125,0)</f>
        <v>0</v>
      </c>
    </row>
    <row r="135" spans="2:60" hidden="1" x14ac:dyDescent="0.3">
      <c r="C135" s="496" t="s">
        <v>647</v>
      </c>
      <c r="D135" s="579"/>
      <c r="E135" s="563">
        <f t="shared" ref="E135:K135" si="256" xml:space="preserve"> CEILING(E134/$D$124,1)*$D$124</f>
        <v>0</v>
      </c>
      <c r="F135" s="563">
        <f t="shared" si="256"/>
        <v>0</v>
      </c>
      <c r="G135" s="495">
        <f t="shared" si="256"/>
        <v>0</v>
      </c>
      <c r="H135" s="493">
        <f t="shared" si="256"/>
        <v>0</v>
      </c>
      <c r="I135" s="493">
        <f t="shared" si="256"/>
        <v>0</v>
      </c>
      <c r="J135" s="494">
        <f t="shared" si="256"/>
        <v>0</v>
      </c>
      <c r="K135" s="574">
        <f t="shared" si="256"/>
        <v>0</v>
      </c>
      <c r="O135" s="496" t="s">
        <v>647</v>
      </c>
      <c r="P135" s="579"/>
      <c r="Q135" s="563">
        <f t="shared" ref="Q135:W135" si="257" xml:space="preserve"> CEILING(Q134/$D$124,1)*$D$124</f>
        <v>0</v>
      </c>
      <c r="R135" s="563">
        <f t="shared" si="257"/>
        <v>0</v>
      </c>
      <c r="S135" s="495">
        <f t="shared" si="257"/>
        <v>0</v>
      </c>
      <c r="T135" s="493">
        <f t="shared" si="257"/>
        <v>0</v>
      </c>
      <c r="U135" s="493">
        <f t="shared" si="257"/>
        <v>0</v>
      </c>
      <c r="V135" s="494">
        <f t="shared" si="257"/>
        <v>0</v>
      </c>
      <c r="W135" s="574">
        <f t="shared" si="257"/>
        <v>0</v>
      </c>
      <c r="Z135" s="496" t="s">
        <v>647</v>
      </c>
      <c r="AA135" s="579"/>
      <c r="AB135" s="563">
        <f t="shared" ref="AB135:AH135" si="258" xml:space="preserve"> CEILING(AB134/$D$124,1)*$D$124</f>
        <v>0</v>
      </c>
      <c r="AC135" s="563">
        <f t="shared" si="258"/>
        <v>0</v>
      </c>
      <c r="AD135" s="495">
        <f t="shared" si="258"/>
        <v>0</v>
      </c>
      <c r="AE135" s="493">
        <f t="shared" si="258"/>
        <v>0</v>
      </c>
      <c r="AF135" s="493">
        <f t="shared" si="258"/>
        <v>0</v>
      </c>
      <c r="AG135" s="494">
        <f t="shared" si="258"/>
        <v>0</v>
      </c>
      <c r="AH135" s="574">
        <f t="shared" si="258"/>
        <v>0</v>
      </c>
      <c r="AL135" s="496" t="s">
        <v>647</v>
      </c>
      <c r="AM135" s="579"/>
      <c r="AN135" s="563">
        <f t="shared" ref="AN135:AT135" si="259" xml:space="preserve"> CEILING(AN134/$D$124,1)*$D$124</f>
        <v>0</v>
      </c>
      <c r="AO135" s="563">
        <f t="shared" si="259"/>
        <v>0</v>
      </c>
      <c r="AP135" s="495">
        <f t="shared" si="259"/>
        <v>0</v>
      </c>
      <c r="AQ135" s="493">
        <f t="shared" si="259"/>
        <v>0</v>
      </c>
      <c r="AR135" s="493">
        <f t="shared" si="259"/>
        <v>0</v>
      </c>
      <c r="AS135" s="494">
        <f t="shared" si="259"/>
        <v>0</v>
      </c>
      <c r="AT135" s="574">
        <f t="shared" si="259"/>
        <v>0</v>
      </c>
      <c r="AX135" s="496" t="s">
        <v>647</v>
      </c>
      <c r="AY135" s="579"/>
      <c r="AZ135" s="563">
        <f t="shared" ref="AZ135:BF135" si="260" xml:space="preserve"> CEILING(AZ134/$D$124,1)*$D$124</f>
        <v>0</v>
      </c>
      <c r="BA135" s="563">
        <f t="shared" si="260"/>
        <v>0</v>
      </c>
      <c r="BB135" s="495">
        <f t="shared" si="260"/>
        <v>0</v>
      </c>
      <c r="BC135" s="493">
        <f t="shared" si="260"/>
        <v>0</v>
      </c>
      <c r="BD135" s="493">
        <f t="shared" si="260"/>
        <v>0</v>
      </c>
      <c r="BE135" s="494">
        <f t="shared" si="260"/>
        <v>0</v>
      </c>
      <c r="BF135" s="574">
        <f t="shared" si="260"/>
        <v>0</v>
      </c>
      <c r="BG135" s="574">
        <f t="shared" ref="BG135:BH135" si="261" xml:space="preserve"> CEILING(BG134/$D$124,1)*$D$124</f>
        <v>0</v>
      </c>
      <c r="BH135" s="574">
        <f t="shared" si="261"/>
        <v>0</v>
      </c>
    </row>
    <row r="136" spans="2:60" ht="15" hidden="1" thickBot="1" x14ac:dyDescent="0.35">
      <c r="C136" s="571" t="s">
        <v>652</v>
      </c>
      <c r="D136" s="580"/>
      <c r="E136" s="541">
        <f>G135</f>
        <v>0</v>
      </c>
      <c r="F136" s="541">
        <f>H135</f>
        <v>0</v>
      </c>
      <c r="G136" s="541">
        <f t="shared" ref="G136:I136" si="262">I135</f>
        <v>0</v>
      </c>
      <c r="H136" s="541">
        <f t="shared" si="262"/>
        <v>0</v>
      </c>
      <c r="I136" s="541">
        <f t="shared" si="262"/>
        <v>0</v>
      </c>
      <c r="J136" s="541" t="e">
        <f>#REF!</f>
        <v>#REF!</v>
      </c>
      <c r="K136" s="541" t="e">
        <f>#REF!</f>
        <v>#REF!</v>
      </c>
      <c r="O136" s="571" t="s">
        <v>652</v>
      </c>
      <c r="P136" s="580"/>
      <c r="Q136" s="541">
        <f>S135</f>
        <v>0</v>
      </c>
      <c r="R136" s="541">
        <f>T135</f>
        <v>0</v>
      </c>
      <c r="S136" s="541">
        <f t="shared" ref="S136:U136" si="263">U135</f>
        <v>0</v>
      </c>
      <c r="T136" s="541">
        <f t="shared" si="263"/>
        <v>0</v>
      </c>
      <c r="U136" s="541">
        <f t="shared" si="263"/>
        <v>0</v>
      </c>
      <c r="V136" s="541" t="e">
        <f>#REF!</f>
        <v>#REF!</v>
      </c>
      <c r="W136" s="541" t="e">
        <f>#REF!</f>
        <v>#REF!</v>
      </c>
      <c r="Z136" s="571" t="s">
        <v>652</v>
      </c>
      <c r="AA136" s="580"/>
      <c r="AB136" s="541">
        <f>AD135</f>
        <v>0</v>
      </c>
      <c r="AC136" s="541">
        <f>AE135</f>
        <v>0</v>
      </c>
      <c r="AD136" s="541">
        <f t="shared" ref="AD136:AF136" si="264">AF135</f>
        <v>0</v>
      </c>
      <c r="AE136" s="541">
        <f t="shared" si="264"/>
        <v>0</v>
      </c>
      <c r="AF136" s="541">
        <f t="shared" si="264"/>
        <v>0</v>
      </c>
      <c r="AG136" s="541" t="e">
        <f>#REF!</f>
        <v>#REF!</v>
      </c>
      <c r="AH136" s="541" t="e">
        <f>#REF!</f>
        <v>#REF!</v>
      </c>
      <c r="AL136" s="571" t="s">
        <v>652</v>
      </c>
      <c r="AM136" s="580"/>
      <c r="AN136" s="541">
        <f>AP135</f>
        <v>0</v>
      </c>
      <c r="AO136" s="541">
        <f>AQ135</f>
        <v>0</v>
      </c>
      <c r="AP136" s="541">
        <f t="shared" ref="AP136:AR136" si="265">AR135</f>
        <v>0</v>
      </c>
      <c r="AQ136" s="541">
        <f t="shared" si="265"/>
        <v>0</v>
      </c>
      <c r="AR136" s="541">
        <f t="shared" si="265"/>
        <v>0</v>
      </c>
      <c r="AS136" s="541" t="e">
        <f>#REF!</f>
        <v>#REF!</v>
      </c>
      <c r="AT136" s="541" t="e">
        <f>#REF!</f>
        <v>#REF!</v>
      </c>
      <c r="AX136" s="571" t="s">
        <v>652</v>
      </c>
      <c r="AY136" s="580"/>
      <c r="AZ136" s="541">
        <f>BB135</f>
        <v>0</v>
      </c>
      <c r="BA136" s="541">
        <f>BC135</f>
        <v>0</v>
      </c>
      <c r="BB136" s="541">
        <f t="shared" ref="BB136:BC136" si="266">BD135</f>
        <v>0</v>
      </c>
      <c r="BC136" s="541">
        <f t="shared" si="266"/>
        <v>0</v>
      </c>
      <c r="BD136" s="541">
        <f>BF135</f>
        <v>0</v>
      </c>
      <c r="BE136" s="541" t="e">
        <f>#REF!</f>
        <v>#REF!</v>
      </c>
      <c r="BF136" s="541" t="e">
        <f>#REF!</f>
        <v>#REF!</v>
      </c>
      <c r="BG136" s="541" t="e">
        <f>#REF!</f>
        <v>#REF!</v>
      </c>
      <c r="BH136" s="541" t="e">
        <f>#REF!</f>
        <v>#REF!</v>
      </c>
    </row>
    <row r="137" spans="2:60" hidden="1" x14ac:dyDescent="0.3">
      <c r="C137" s="478" t="s">
        <v>612</v>
      </c>
      <c r="D137" s="467"/>
      <c r="E137" s="586">
        <f>QUOTIENT(MOD(E136+$D$53-1,$D$52),$D$53)</f>
        <v>0</v>
      </c>
      <c r="F137" s="586">
        <f t="shared" ref="F137:K137" si="267">QUOTIENT(MOD(F136+$D$53-1,$D$52),$D$53)</f>
        <v>0</v>
      </c>
      <c r="G137" s="586">
        <f t="shared" si="267"/>
        <v>0</v>
      </c>
      <c r="H137" s="586">
        <f t="shared" si="267"/>
        <v>0</v>
      </c>
      <c r="I137" s="586">
        <f t="shared" si="267"/>
        <v>0</v>
      </c>
      <c r="J137" s="586" t="e">
        <f t="shared" si="267"/>
        <v>#REF!</v>
      </c>
      <c r="K137" s="586" t="e">
        <f t="shared" si="267"/>
        <v>#REF!</v>
      </c>
      <c r="O137" s="478" t="s">
        <v>612</v>
      </c>
      <c r="P137" s="467"/>
      <c r="Q137" s="586">
        <f>QUOTIENT(MOD(Q136+$D$53-1,$D$52),$D$53)</f>
        <v>0</v>
      </c>
      <c r="R137" s="586">
        <f t="shared" ref="R137:W137" si="268">QUOTIENT(MOD(R136+$D$53-1,$D$52),$D$53)</f>
        <v>0</v>
      </c>
      <c r="S137" s="586">
        <f t="shared" si="268"/>
        <v>0</v>
      </c>
      <c r="T137" s="586">
        <f t="shared" si="268"/>
        <v>0</v>
      </c>
      <c r="U137" s="586">
        <f t="shared" si="268"/>
        <v>0</v>
      </c>
      <c r="V137" s="586" t="e">
        <f t="shared" si="268"/>
        <v>#REF!</v>
      </c>
      <c r="W137" s="586" t="e">
        <f t="shared" si="268"/>
        <v>#REF!</v>
      </c>
      <c r="Z137" s="478" t="s">
        <v>612</v>
      </c>
      <c r="AA137" s="467"/>
      <c r="AB137" s="586">
        <f>QUOTIENT(MOD(AB136+$D$53-1,$D$52),$D$53)</f>
        <v>0</v>
      </c>
      <c r="AC137" s="586">
        <f t="shared" ref="AC137:AH137" si="269">QUOTIENT(MOD(AC136+$D$53-1,$D$52),$D$53)</f>
        <v>0</v>
      </c>
      <c r="AD137" s="586">
        <f t="shared" si="269"/>
        <v>0</v>
      </c>
      <c r="AE137" s="586">
        <f t="shared" si="269"/>
        <v>0</v>
      </c>
      <c r="AF137" s="586">
        <f t="shared" si="269"/>
        <v>0</v>
      </c>
      <c r="AG137" s="586" t="e">
        <f t="shared" si="269"/>
        <v>#REF!</v>
      </c>
      <c r="AH137" s="586" t="e">
        <f t="shared" si="269"/>
        <v>#REF!</v>
      </c>
      <c r="AL137" s="478" t="s">
        <v>612</v>
      </c>
      <c r="AM137" s="467"/>
      <c r="AN137" s="586">
        <f>QUOTIENT(MOD(AN136+$D$53-1,$D$52),$D$53)</f>
        <v>0</v>
      </c>
      <c r="AO137" s="586">
        <f t="shared" ref="AO137:AT137" si="270">QUOTIENT(MOD(AO136+$D$53-1,$D$52),$D$53)</f>
        <v>0</v>
      </c>
      <c r="AP137" s="586">
        <f t="shared" si="270"/>
        <v>0</v>
      </c>
      <c r="AQ137" s="586">
        <f t="shared" si="270"/>
        <v>0</v>
      </c>
      <c r="AR137" s="586">
        <f t="shared" si="270"/>
        <v>0</v>
      </c>
      <c r="AS137" s="586" t="e">
        <f t="shared" si="270"/>
        <v>#REF!</v>
      </c>
      <c r="AT137" s="586" t="e">
        <f t="shared" si="270"/>
        <v>#REF!</v>
      </c>
      <c r="AX137" s="478" t="s">
        <v>612</v>
      </c>
      <c r="AY137" s="467"/>
      <c r="AZ137" s="586">
        <f>QUOTIENT(MOD(AZ136+$D$53-1,$D$52),$D$53)</f>
        <v>0</v>
      </c>
      <c r="BA137" s="586">
        <f t="shared" ref="BA137:BF137" si="271">QUOTIENT(MOD(BA136+$D$53-1,$D$52),$D$53)</f>
        <v>0</v>
      </c>
      <c r="BB137" s="586">
        <f t="shared" si="271"/>
        <v>0</v>
      </c>
      <c r="BC137" s="586">
        <f t="shared" si="271"/>
        <v>0</v>
      </c>
      <c r="BD137" s="586">
        <f t="shared" si="271"/>
        <v>0</v>
      </c>
      <c r="BE137" s="586" t="e">
        <f t="shared" si="271"/>
        <v>#REF!</v>
      </c>
      <c r="BF137" s="586" t="e">
        <f t="shared" si="271"/>
        <v>#REF!</v>
      </c>
      <c r="BG137" s="586" t="e">
        <f t="shared" ref="BG137:BH137" si="272">QUOTIENT(MOD(BG136+$D$53-1,$D$52),$D$53)</f>
        <v>#REF!</v>
      </c>
      <c r="BH137" s="586" t="e">
        <f t="shared" si="272"/>
        <v>#REF!</v>
      </c>
    </row>
    <row r="138" spans="2:60" hidden="1" x14ac:dyDescent="0.3">
      <c r="B138" s="40"/>
      <c r="C138" s="497" t="s">
        <v>613</v>
      </c>
      <c r="D138" s="482"/>
      <c r="E138" s="472">
        <f t="shared" ref="E138:K138" si="273">QUOTIENT(E136+$D$53-1,$D$52)</f>
        <v>0</v>
      </c>
      <c r="F138" s="472">
        <f t="shared" si="273"/>
        <v>0</v>
      </c>
      <c r="G138" s="472">
        <f t="shared" si="273"/>
        <v>0</v>
      </c>
      <c r="H138" s="472">
        <f t="shared" si="273"/>
        <v>0</v>
      </c>
      <c r="I138" s="472">
        <f t="shared" si="273"/>
        <v>0</v>
      </c>
      <c r="J138" s="472" t="e">
        <f t="shared" si="273"/>
        <v>#REF!</v>
      </c>
      <c r="K138" s="472" t="e">
        <f t="shared" si="273"/>
        <v>#REF!</v>
      </c>
      <c r="N138" s="40"/>
      <c r="O138" s="497" t="s">
        <v>613</v>
      </c>
      <c r="P138" s="482"/>
      <c r="Q138" s="472">
        <f t="shared" ref="Q138:W138" si="274">QUOTIENT(Q136+$D$53-1,$D$52)</f>
        <v>0</v>
      </c>
      <c r="R138" s="472">
        <f t="shared" si="274"/>
        <v>0</v>
      </c>
      <c r="S138" s="472">
        <f t="shared" si="274"/>
        <v>0</v>
      </c>
      <c r="T138" s="472">
        <f t="shared" si="274"/>
        <v>0</v>
      </c>
      <c r="U138" s="472">
        <f t="shared" si="274"/>
        <v>0</v>
      </c>
      <c r="V138" s="472" t="e">
        <f t="shared" si="274"/>
        <v>#REF!</v>
      </c>
      <c r="W138" s="472" t="e">
        <f t="shared" si="274"/>
        <v>#REF!</v>
      </c>
      <c r="Y138" s="40"/>
      <c r="Z138" s="497" t="s">
        <v>613</v>
      </c>
      <c r="AA138" s="482"/>
      <c r="AB138" s="472">
        <f t="shared" ref="AB138:AH138" si="275">QUOTIENT(AB136+$D$53-1,$D$52)</f>
        <v>0</v>
      </c>
      <c r="AC138" s="472">
        <f t="shared" si="275"/>
        <v>0</v>
      </c>
      <c r="AD138" s="472">
        <f t="shared" si="275"/>
        <v>0</v>
      </c>
      <c r="AE138" s="472">
        <f t="shared" si="275"/>
        <v>0</v>
      </c>
      <c r="AF138" s="472">
        <f t="shared" si="275"/>
        <v>0</v>
      </c>
      <c r="AG138" s="472" t="e">
        <f t="shared" si="275"/>
        <v>#REF!</v>
      </c>
      <c r="AH138" s="472" t="e">
        <f t="shared" si="275"/>
        <v>#REF!</v>
      </c>
      <c r="AK138" s="40"/>
      <c r="AL138" s="497" t="s">
        <v>613</v>
      </c>
      <c r="AM138" s="482"/>
      <c r="AN138" s="472">
        <f t="shared" ref="AN138:AT138" si="276">QUOTIENT(AN136+$D$53-1,$D$52)</f>
        <v>0</v>
      </c>
      <c r="AO138" s="472">
        <f t="shared" si="276"/>
        <v>0</v>
      </c>
      <c r="AP138" s="472">
        <f t="shared" si="276"/>
        <v>0</v>
      </c>
      <c r="AQ138" s="472">
        <f t="shared" si="276"/>
        <v>0</v>
      </c>
      <c r="AR138" s="472">
        <f t="shared" si="276"/>
        <v>0</v>
      </c>
      <c r="AS138" s="472" t="e">
        <f t="shared" si="276"/>
        <v>#REF!</v>
      </c>
      <c r="AT138" s="472" t="e">
        <f t="shared" si="276"/>
        <v>#REF!</v>
      </c>
      <c r="AW138" s="40"/>
      <c r="AX138" s="497" t="s">
        <v>613</v>
      </c>
      <c r="AY138" s="482"/>
      <c r="AZ138" s="472">
        <f t="shared" ref="AZ138:BF138" si="277">QUOTIENT(AZ136+$D$53-1,$D$52)</f>
        <v>0</v>
      </c>
      <c r="BA138" s="472">
        <f t="shared" si="277"/>
        <v>0</v>
      </c>
      <c r="BB138" s="472">
        <f t="shared" si="277"/>
        <v>0</v>
      </c>
      <c r="BC138" s="472">
        <f t="shared" si="277"/>
        <v>0</v>
      </c>
      <c r="BD138" s="472">
        <f t="shared" si="277"/>
        <v>0</v>
      </c>
      <c r="BE138" s="472" t="e">
        <f t="shared" si="277"/>
        <v>#REF!</v>
      </c>
      <c r="BF138" s="472" t="e">
        <f t="shared" si="277"/>
        <v>#REF!</v>
      </c>
      <c r="BG138" s="472" t="e">
        <f t="shared" ref="BG138:BH138" si="278">QUOTIENT(BG136+$D$53-1,$D$52)</f>
        <v>#REF!</v>
      </c>
      <c r="BH138" s="472" t="e">
        <f t="shared" si="278"/>
        <v>#REF!</v>
      </c>
    </row>
    <row r="139" spans="2:60" ht="15" hidden="1" thickBot="1" x14ac:dyDescent="0.35">
      <c r="C139" s="516" t="s">
        <v>614</v>
      </c>
      <c r="D139" s="474"/>
      <c r="E139" s="475" t="e">
        <f>IF($L$71="Choosing Supplier 1", E138*#REF!+E137*#REF!,E138*#REF!+E137*#REF!)</f>
        <v>#REF!</v>
      </c>
      <c r="F139" s="475" t="e">
        <f>IF($L$71="Choosing Supplier 1", F138*#REF!+F137*#REF!,F138*#REF!+F137*#REF!)</f>
        <v>#REF!</v>
      </c>
      <c r="G139" s="475" t="e">
        <f>IF($L$71="Choosing Supplier 1", G138*#REF!+G137*#REF!,G138*#REF!+G137*#REF!)</f>
        <v>#REF!</v>
      </c>
      <c r="H139" s="475" t="e">
        <f>IF($L$71="Choosing Supplier 1", H138*#REF!+H137*#REF!,H138*#REF!+H137*#REF!)</f>
        <v>#REF!</v>
      </c>
      <c r="I139" s="475" t="e">
        <f>IF($L$71="Choosing Supplier 1", I138*#REF!+I137*#REF!,I138*#REF!+I137*#REF!)</f>
        <v>#REF!</v>
      </c>
      <c r="J139" s="475" t="e">
        <f>IF($L$71="Choosing Supplier 1", J138*#REF!+J137*#REF!,J138*#REF!+J137*#REF!)</f>
        <v>#REF!</v>
      </c>
      <c r="K139" s="475" t="e">
        <f>IF($L$71="Choosing Supplier 1", K138*#REF!+K137*#REF!,K138*#REF!+K137*#REF!)</f>
        <v>#REF!</v>
      </c>
      <c r="L139" s="477" t="e">
        <f>IF(#REF!&lt;#REF!,IF($D$145="Yes","Choosing Supplier 1","Choosing Supplier 2"),IF(#REF!="Yes","Choosing Supplier 2","Choosing Supplier 1"))</f>
        <v>#REF!</v>
      </c>
      <c r="M139" t="s">
        <v>615</v>
      </c>
      <c r="O139" s="516" t="s">
        <v>614</v>
      </c>
      <c r="P139" s="474"/>
      <c r="Q139" s="475" t="e">
        <f>IF($L$71="Choosing Supplier 1", Q138*#REF!+Q137*#REF!,Q138*#REF!+Q137*#REF!)</f>
        <v>#REF!</v>
      </c>
      <c r="R139" s="475" t="e">
        <f>IF($L$71="Choosing Supplier 1", R138*#REF!+R137*#REF!,R138*#REF!+R137*#REF!)</f>
        <v>#REF!</v>
      </c>
      <c r="S139" s="475" t="e">
        <f>IF($L$71="Choosing Supplier 1", S138*#REF!+S137*#REF!,S138*#REF!+S137*#REF!)</f>
        <v>#REF!</v>
      </c>
      <c r="T139" s="475" t="e">
        <f>IF($L$71="Choosing Supplier 1", T138*#REF!+T137*#REF!,T138*#REF!+T137*#REF!)</f>
        <v>#REF!</v>
      </c>
      <c r="U139" s="475" t="e">
        <f>IF($L$71="Choosing Supplier 1", U138*#REF!+U137*#REF!,U138*#REF!+U137*#REF!)</f>
        <v>#REF!</v>
      </c>
      <c r="V139" s="475" t="e">
        <f>IF($L$71="Choosing Supplier 1", V138*#REF!+V137*#REF!,V138*#REF!+V137*#REF!)</f>
        <v>#REF!</v>
      </c>
      <c r="W139" s="475" t="e">
        <f>IF($L$71="Choosing Supplier 1", W138*#REF!+W137*#REF!,W138*#REF!+W137*#REF!)</f>
        <v>#REF!</v>
      </c>
      <c r="Z139" s="516" t="s">
        <v>614</v>
      </c>
      <c r="AA139" s="474"/>
      <c r="AB139" s="475" t="e">
        <f>IF($L$71="Choosing Supplier 1", AB138*#REF!+AB137*#REF!,AB138*#REF!+AB137*#REF!)</f>
        <v>#REF!</v>
      </c>
      <c r="AC139" s="475" t="e">
        <f>IF($L$71="Choosing Supplier 1", AC138*#REF!+AC137*#REF!,AC138*#REF!+AC137*#REF!)</f>
        <v>#REF!</v>
      </c>
      <c r="AD139" s="475" t="e">
        <f>IF($L$71="Choosing Supplier 1", AD138*#REF!+AD137*#REF!,AD138*#REF!+AD137*#REF!)</f>
        <v>#REF!</v>
      </c>
      <c r="AE139" s="475" t="e">
        <f>IF($L$71="Choosing Supplier 1", AE138*#REF!+AE137*#REF!,AE138*#REF!+AE137*#REF!)</f>
        <v>#REF!</v>
      </c>
      <c r="AF139" s="475" t="e">
        <f>IF($L$71="Choosing Supplier 1", AF138*#REF!+AF137*#REF!,AF138*#REF!+AF137*#REF!)</f>
        <v>#REF!</v>
      </c>
      <c r="AG139" s="475" t="e">
        <f>IF($L$71="Choosing Supplier 1", AG138*#REF!+AG137*#REF!,AG138*#REF!+AG137*#REF!)</f>
        <v>#REF!</v>
      </c>
      <c r="AH139" s="475" t="e">
        <f>IF($L$71="Choosing Supplier 1", AH138*#REF!+AH137*#REF!,AH138*#REF!+AH137*#REF!)</f>
        <v>#REF!</v>
      </c>
      <c r="AL139" s="516" t="s">
        <v>614</v>
      </c>
      <c r="AM139" s="474"/>
      <c r="AN139" s="475" t="e">
        <f>IF($L$71="Choosing Supplier 1", AN138*#REF!+AN137*#REF!,AN138*#REF!+AN137*#REF!)</f>
        <v>#REF!</v>
      </c>
      <c r="AO139" s="475" t="e">
        <f>IF($L$71="Choosing Supplier 1", AO138*#REF!+AO137*#REF!,AO138*#REF!+AO137*#REF!)</f>
        <v>#REF!</v>
      </c>
      <c r="AP139" s="475" t="e">
        <f>IF($L$71="Choosing Supplier 1", AP138*#REF!+AP137*#REF!,AP138*#REF!+AP137*#REF!)</f>
        <v>#REF!</v>
      </c>
      <c r="AQ139" s="475" t="e">
        <f>IF($L$71="Choosing Supplier 1", AQ138*#REF!+AQ137*#REF!,AQ138*#REF!+AQ137*#REF!)</f>
        <v>#REF!</v>
      </c>
      <c r="AR139" s="475" t="e">
        <f>IF($L$71="Choosing Supplier 1", AR138*#REF!+AR137*#REF!,AR138*#REF!+AR137*#REF!)</f>
        <v>#REF!</v>
      </c>
      <c r="AS139" s="475" t="e">
        <f>IF($L$71="Choosing Supplier 1", AS138*#REF!+AS137*#REF!,AS138*#REF!+AS137*#REF!)</f>
        <v>#REF!</v>
      </c>
      <c r="AT139" s="475" t="e">
        <f>IF($L$71="Choosing Supplier 1", AT138*#REF!+AT137*#REF!,AT138*#REF!+AT137*#REF!)</f>
        <v>#REF!</v>
      </c>
      <c r="AX139" s="516" t="s">
        <v>614</v>
      </c>
      <c r="AY139" s="474"/>
      <c r="AZ139" s="475" t="e">
        <f>IF($L$71="Choosing Supplier 1", AZ138*#REF!+AZ137*#REF!,AZ138*#REF!+AZ137*#REF!)</f>
        <v>#REF!</v>
      </c>
      <c r="BA139" s="475" t="e">
        <f>IF($L$71="Choosing Supplier 1", BA138*#REF!+BA137*#REF!,BA138*#REF!+BA137*#REF!)</f>
        <v>#REF!</v>
      </c>
      <c r="BB139" s="475" t="e">
        <f>IF($L$71="Choosing Supplier 1", BB138*#REF!+BB137*#REF!,BB138*#REF!+BB137*#REF!)</f>
        <v>#REF!</v>
      </c>
      <c r="BC139" s="475" t="e">
        <f>IF($L$71="Choosing Supplier 1", BC138*#REF!+BC137*#REF!,BC138*#REF!+BC137*#REF!)</f>
        <v>#REF!</v>
      </c>
      <c r="BD139" s="475" t="e">
        <f>IF($L$71="Choosing Supplier 1", BD138*#REF!+BD137*#REF!,BD138*#REF!+BD137*#REF!)</f>
        <v>#REF!</v>
      </c>
      <c r="BE139" s="475" t="e">
        <f>IF($L$71="Choosing Supplier 1", BE138*#REF!+BE137*#REF!,BE138*#REF!+BE137*#REF!)</f>
        <v>#REF!</v>
      </c>
      <c r="BF139" s="475" t="e">
        <f>IF($L$71="Choosing Supplier 1", BF138*#REF!+BF137*#REF!,BF138*#REF!+BF137*#REF!)</f>
        <v>#REF!</v>
      </c>
      <c r="BG139" s="475" t="e">
        <f>IF($L$71="Choosing Supplier 1", BG138*#REF!+BG137*#REF!,BG138*#REF!+BG137*#REF!)</f>
        <v>#REF!</v>
      </c>
      <c r="BH139" s="475" t="e">
        <f>IF($L$71="Choosing Supplier 1", BH138*#REF!+BH137*#REF!,BH138*#REF!+BH137*#REF!)</f>
        <v>#REF!</v>
      </c>
    </row>
    <row r="140" spans="2:60" x14ac:dyDescent="0.3">
      <c r="C140" s="498"/>
      <c r="D140" s="483"/>
      <c r="E140" s="484"/>
      <c r="F140" s="484"/>
      <c r="G140" s="484"/>
      <c r="H140" s="484"/>
      <c r="I140" s="484"/>
      <c r="J140" s="484"/>
      <c r="K140" s="484"/>
      <c r="L140" s="445"/>
      <c r="O140" s="498"/>
      <c r="P140" s="483"/>
      <c r="Q140" s="484"/>
      <c r="R140" s="484"/>
      <c r="S140" s="484"/>
      <c r="T140" s="484"/>
      <c r="U140" s="484"/>
      <c r="V140" s="484"/>
      <c r="W140" s="484"/>
      <c r="Z140" s="498"/>
      <c r="AA140" s="483"/>
      <c r="AB140" s="484"/>
      <c r="AC140" s="484"/>
      <c r="AD140" s="484"/>
      <c r="AE140" s="484"/>
      <c r="AF140" s="484"/>
      <c r="AG140" s="484"/>
      <c r="AH140" s="484"/>
      <c r="AL140" s="498"/>
      <c r="AM140" s="483"/>
      <c r="AN140" s="484"/>
      <c r="AO140" s="484"/>
      <c r="AP140" s="484"/>
      <c r="AQ140" s="484"/>
      <c r="AR140" s="484"/>
      <c r="AS140" s="484"/>
      <c r="AT140" s="484"/>
      <c r="AX140" s="498"/>
      <c r="AY140" s="483"/>
      <c r="AZ140" s="484"/>
      <c r="BA140" s="484"/>
      <c r="BB140" s="484"/>
      <c r="BC140" s="484"/>
      <c r="BD140" s="484"/>
      <c r="BE140" s="484"/>
      <c r="BF140" s="484"/>
      <c r="BG140" s="484"/>
      <c r="BH140" s="484"/>
    </row>
    <row r="142" spans="2:60" ht="18" x14ac:dyDescent="0.35">
      <c r="B142" s="589" t="s">
        <v>646</v>
      </c>
      <c r="N142" s="589" t="s">
        <v>646</v>
      </c>
      <c r="Y142" s="589" t="s">
        <v>646</v>
      </c>
      <c r="AK142" s="589" t="s">
        <v>646</v>
      </c>
      <c r="AW142" s="589" t="s">
        <v>646</v>
      </c>
    </row>
    <row r="143" spans="2:60" ht="14.4" customHeight="1" x14ac:dyDescent="0.3">
      <c r="C143" s="437" t="s">
        <v>605</v>
      </c>
      <c r="D143" s="446">
        <v>0</v>
      </c>
      <c r="M143" t="s">
        <v>741</v>
      </c>
      <c r="O143" s="437" t="s">
        <v>605</v>
      </c>
      <c r="P143" s="446">
        <v>0</v>
      </c>
      <c r="Z143" s="437" t="s">
        <v>605</v>
      </c>
      <c r="AA143" s="446">
        <v>0</v>
      </c>
      <c r="AL143" s="437" t="s">
        <v>605</v>
      </c>
      <c r="AM143" s="446">
        <v>0</v>
      </c>
      <c r="AX143" s="437" t="s">
        <v>605</v>
      </c>
      <c r="AY143" s="446">
        <v>0</v>
      </c>
    </row>
    <row r="144" spans="2:60" ht="14.4" customHeight="1" thickBot="1" x14ac:dyDescent="0.35">
      <c r="C144" s="437" t="s">
        <v>638</v>
      </c>
      <c r="D144" s="446">
        <v>100</v>
      </c>
      <c r="G144" s="774" t="s">
        <v>455</v>
      </c>
      <c r="O144" s="437" t="s">
        <v>638</v>
      </c>
      <c r="P144" s="446">
        <v>100</v>
      </c>
      <c r="S144" s="774" t="s">
        <v>455</v>
      </c>
      <c r="Z144" s="437" t="s">
        <v>638</v>
      </c>
      <c r="AA144" s="446">
        <v>100</v>
      </c>
      <c r="AD144" s="774" t="s">
        <v>455</v>
      </c>
      <c r="AL144" s="437" t="s">
        <v>638</v>
      </c>
      <c r="AM144" s="446">
        <v>100</v>
      </c>
      <c r="AP144" s="774" t="s">
        <v>455</v>
      </c>
      <c r="AX144" s="437" t="s">
        <v>638</v>
      </c>
      <c r="AY144" s="446">
        <v>100</v>
      </c>
      <c r="BA144" s="778" t="s">
        <v>455</v>
      </c>
      <c r="BB144" s="778" t="s">
        <v>456</v>
      </c>
      <c r="BC144" s="778" t="s">
        <v>457</v>
      </c>
      <c r="BD144" s="778" t="s">
        <v>458</v>
      </c>
      <c r="BE144" s="778" t="s">
        <v>459</v>
      </c>
      <c r="BF144" s="778" t="s">
        <v>460</v>
      </c>
      <c r="BG144" s="778" t="s">
        <v>461</v>
      </c>
      <c r="BH144" s="778" t="s">
        <v>462</v>
      </c>
    </row>
    <row r="145" spans="1:60" ht="16.2" hidden="1" customHeight="1" thickBot="1" x14ac:dyDescent="0.35">
      <c r="C145" s="437" t="s">
        <v>616</v>
      </c>
      <c r="D145" s="440" t="str">
        <f>[1]Supplier1!C11</f>
        <v>Yes</v>
      </c>
      <c r="O145" s="437" t="s">
        <v>616</v>
      </c>
      <c r="P145" s="440">
        <f>[1]Supplier1!O11</f>
        <v>0</v>
      </c>
      <c r="Z145" s="437" t="s">
        <v>616</v>
      </c>
      <c r="AA145" s="440">
        <f>[1]Supplier1!Z11</f>
        <v>0</v>
      </c>
      <c r="AL145" s="437" t="s">
        <v>616</v>
      </c>
      <c r="AM145" s="440">
        <f>[1]Supplier1!AB11</f>
        <v>0</v>
      </c>
      <c r="AX145" s="437" t="s">
        <v>616</v>
      </c>
      <c r="AY145" s="440">
        <f>[1]Supplier1!AN11</f>
        <v>0</v>
      </c>
    </row>
    <row r="146" spans="1:60" ht="16.2" customHeight="1" thickBot="1" x14ac:dyDescent="0.35">
      <c r="E146" s="955" t="s">
        <v>319</v>
      </c>
      <c r="F146" s="956"/>
      <c r="G146" s="956"/>
      <c r="H146" s="956"/>
      <c r="I146" s="956"/>
      <c r="J146" s="956"/>
      <c r="K146" s="957"/>
      <c r="Q146" s="955" t="s">
        <v>319</v>
      </c>
      <c r="R146" s="956"/>
      <c r="S146" s="956"/>
      <c r="T146" s="956"/>
      <c r="U146" s="956"/>
      <c r="V146" s="956"/>
      <c r="W146" s="957"/>
      <c r="AB146" s="955" t="s">
        <v>319</v>
      </c>
      <c r="AC146" s="956"/>
      <c r="AD146" s="956"/>
      <c r="AE146" s="956"/>
      <c r="AF146" s="956"/>
      <c r="AG146" s="956"/>
      <c r="AH146" s="957"/>
      <c r="AN146" s="955" t="s">
        <v>319</v>
      </c>
      <c r="AO146" s="956"/>
      <c r="AP146" s="956"/>
      <c r="AQ146" s="956"/>
      <c r="AR146" s="956"/>
      <c r="AS146" s="956"/>
      <c r="AT146" s="957"/>
      <c r="AZ146" s="950" t="s">
        <v>319</v>
      </c>
      <c r="BA146" s="951"/>
      <c r="BB146" s="951"/>
      <c r="BC146" s="951"/>
      <c r="BD146" s="951"/>
      <c r="BE146" s="951"/>
      <c r="BF146" s="951"/>
      <c r="BG146" s="951"/>
      <c r="BH146" s="951"/>
    </row>
    <row r="147" spans="1:60" ht="15" thickBot="1" x14ac:dyDescent="0.35">
      <c r="C147" s="523" t="s">
        <v>654</v>
      </c>
      <c r="D147" s="608" t="s">
        <v>606</v>
      </c>
      <c r="E147" s="555" t="s">
        <v>49</v>
      </c>
      <c r="F147" s="558" t="s">
        <v>50</v>
      </c>
      <c r="G147" s="558" t="s">
        <v>51</v>
      </c>
      <c r="H147" s="558" t="s">
        <v>308</v>
      </c>
      <c r="I147" s="558" t="s">
        <v>309</v>
      </c>
      <c r="J147" s="558" t="s">
        <v>310</v>
      </c>
      <c r="K147" s="557" t="s">
        <v>311</v>
      </c>
      <c r="O147" s="523" t="s">
        <v>654</v>
      </c>
      <c r="P147" s="608" t="s">
        <v>606</v>
      </c>
      <c r="Q147" s="555" t="s">
        <v>49</v>
      </c>
      <c r="R147" s="558" t="s">
        <v>50</v>
      </c>
      <c r="S147" s="558" t="s">
        <v>51</v>
      </c>
      <c r="T147" s="558" t="s">
        <v>308</v>
      </c>
      <c r="U147" s="558" t="s">
        <v>309</v>
      </c>
      <c r="V147" s="558" t="s">
        <v>310</v>
      </c>
      <c r="W147" s="557" t="s">
        <v>311</v>
      </c>
      <c r="Z147" s="523" t="s">
        <v>654</v>
      </c>
      <c r="AA147" s="608" t="s">
        <v>606</v>
      </c>
      <c r="AB147" s="555" t="s">
        <v>49</v>
      </c>
      <c r="AC147" s="558" t="s">
        <v>50</v>
      </c>
      <c r="AD147" s="558" t="s">
        <v>51</v>
      </c>
      <c r="AE147" s="558" t="s">
        <v>308</v>
      </c>
      <c r="AF147" s="558" t="s">
        <v>309</v>
      </c>
      <c r="AG147" s="558" t="s">
        <v>310</v>
      </c>
      <c r="AH147" s="557" t="s">
        <v>311</v>
      </c>
      <c r="AL147" s="523" t="s">
        <v>654</v>
      </c>
      <c r="AM147" s="608" t="s">
        <v>606</v>
      </c>
      <c r="AN147" s="555" t="s">
        <v>49</v>
      </c>
      <c r="AO147" s="558" t="s">
        <v>50</v>
      </c>
      <c r="AP147" s="558" t="s">
        <v>51</v>
      </c>
      <c r="AQ147" s="558" t="s">
        <v>308</v>
      </c>
      <c r="AR147" s="558" t="s">
        <v>309</v>
      </c>
      <c r="AS147" s="558" t="s">
        <v>310</v>
      </c>
      <c r="AT147" s="557" t="s">
        <v>311</v>
      </c>
      <c r="AX147" s="523" t="s">
        <v>654</v>
      </c>
      <c r="AY147" s="608" t="s">
        <v>606</v>
      </c>
      <c r="AZ147" s="782" t="s">
        <v>49</v>
      </c>
      <c r="BA147" s="783" t="s">
        <v>50</v>
      </c>
      <c r="BB147" s="783" t="s">
        <v>51</v>
      </c>
      <c r="BC147" s="783" t="s">
        <v>308</v>
      </c>
      <c r="BD147" s="783" t="s">
        <v>309</v>
      </c>
      <c r="BE147" s="783" t="s">
        <v>310</v>
      </c>
      <c r="BF147" s="783" t="s">
        <v>311</v>
      </c>
      <c r="BG147" s="783" t="s">
        <v>312</v>
      </c>
      <c r="BH147" s="783" t="s">
        <v>313</v>
      </c>
    </row>
    <row r="148" spans="1:60" x14ac:dyDescent="0.3">
      <c r="C148" s="499" t="s">
        <v>628</v>
      </c>
      <c r="D148" s="800"/>
      <c r="E148" s="500">
        <f t="shared" ref="E148:K148" si="279">E23</f>
        <v>0</v>
      </c>
      <c r="F148" s="501">
        <f t="shared" si="279"/>
        <v>6</v>
      </c>
      <c r="G148" s="501">
        <f t="shared" si="279"/>
        <v>6</v>
      </c>
      <c r="H148" s="501">
        <f t="shared" si="279"/>
        <v>0</v>
      </c>
      <c r="I148" s="501">
        <f t="shared" si="279"/>
        <v>6</v>
      </c>
      <c r="J148" s="501">
        <f t="shared" si="279"/>
        <v>0</v>
      </c>
      <c r="K148" s="502">
        <f t="shared" si="279"/>
        <v>6</v>
      </c>
      <c r="O148" s="499" t="s">
        <v>628</v>
      </c>
      <c r="P148" s="800"/>
      <c r="Q148" s="500">
        <f t="shared" ref="Q148:W148" si="280">Q23</f>
        <v>0</v>
      </c>
      <c r="R148" s="501">
        <f t="shared" si="280"/>
        <v>6</v>
      </c>
      <c r="S148" s="501">
        <f t="shared" si="280"/>
        <v>0</v>
      </c>
      <c r="T148" s="501">
        <f t="shared" si="280"/>
        <v>0</v>
      </c>
      <c r="U148" s="501">
        <f t="shared" si="280"/>
        <v>12</v>
      </c>
      <c r="V148" s="501">
        <f t="shared" si="280"/>
        <v>0</v>
      </c>
      <c r="W148" s="502">
        <f t="shared" si="280"/>
        <v>6</v>
      </c>
      <c r="Z148" s="499" t="s">
        <v>628</v>
      </c>
      <c r="AA148" s="800"/>
      <c r="AB148" s="500">
        <f t="shared" ref="AB148:AH148" si="281">AB23</f>
        <v>0</v>
      </c>
      <c r="AC148" s="501">
        <f t="shared" si="281"/>
        <v>6</v>
      </c>
      <c r="AD148" s="501">
        <f t="shared" si="281"/>
        <v>0</v>
      </c>
      <c r="AE148" s="501">
        <f t="shared" si="281"/>
        <v>6</v>
      </c>
      <c r="AF148" s="501">
        <f t="shared" si="281"/>
        <v>6</v>
      </c>
      <c r="AG148" s="501">
        <f t="shared" si="281"/>
        <v>0</v>
      </c>
      <c r="AH148" s="502">
        <f t="shared" si="281"/>
        <v>6</v>
      </c>
      <c r="AL148" s="499" t="s">
        <v>628</v>
      </c>
      <c r="AM148" s="800"/>
      <c r="AN148" s="500">
        <f t="shared" ref="AN148:AT148" si="282">AN23</f>
        <v>0</v>
      </c>
      <c r="AO148" s="501">
        <f t="shared" si="282"/>
        <v>6</v>
      </c>
      <c r="AP148" s="501">
        <f t="shared" si="282"/>
        <v>6</v>
      </c>
      <c r="AQ148" s="501">
        <f t="shared" si="282"/>
        <v>0</v>
      </c>
      <c r="AR148" s="501">
        <f t="shared" si="282"/>
        <v>6</v>
      </c>
      <c r="AS148" s="501">
        <f t="shared" si="282"/>
        <v>0</v>
      </c>
      <c r="AT148" s="502">
        <f t="shared" si="282"/>
        <v>6</v>
      </c>
      <c r="AX148" s="499" t="s">
        <v>628</v>
      </c>
      <c r="AY148" s="800"/>
      <c r="AZ148" s="500">
        <f t="shared" ref="AZ148:BF148" si="283">AZ23</f>
        <v>0</v>
      </c>
      <c r="BA148" s="501">
        <f t="shared" si="283"/>
        <v>0</v>
      </c>
      <c r="BB148" s="501">
        <f t="shared" si="283"/>
        <v>0</v>
      </c>
      <c r="BC148" s="501">
        <f t="shared" si="283"/>
        <v>6</v>
      </c>
      <c r="BD148" s="501">
        <f t="shared" si="283"/>
        <v>0</v>
      </c>
      <c r="BE148" s="501">
        <f t="shared" si="283"/>
        <v>0</v>
      </c>
      <c r="BF148" s="524">
        <f t="shared" si="283"/>
        <v>6</v>
      </c>
      <c r="BG148" s="501">
        <f t="shared" ref="BG148:BH148" si="284">BG23</f>
        <v>0</v>
      </c>
      <c r="BH148" s="870">
        <f t="shared" si="284"/>
        <v>0</v>
      </c>
    </row>
    <row r="149" spans="1:60" x14ac:dyDescent="0.3">
      <c r="C149" s="499" t="s">
        <v>633</v>
      </c>
      <c r="D149" s="801"/>
      <c r="E149" s="503">
        <f t="shared" ref="E149:K149" si="285">E45</f>
        <v>4</v>
      </c>
      <c r="F149" s="504">
        <f t="shared" si="285"/>
        <v>4</v>
      </c>
      <c r="G149" s="504">
        <f t="shared" si="285"/>
        <v>0</v>
      </c>
      <c r="H149" s="504">
        <f t="shared" si="285"/>
        <v>4</v>
      </c>
      <c r="I149" s="504">
        <f t="shared" si="285"/>
        <v>4</v>
      </c>
      <c r="J149" s="504">
        <f t="shared" si="285"/>
        <v>0</v>
      </c>
      <c r="K149" s="505">
        <f t="shared" si="285"/>
        <v>4</v>
      </c>
      <c r="O149" s="499" t="s">
        <v>633</v>
      </c>
      <c r="P149" s="801"/>
      <c r="Q149" s="503">
        <f t="shared" ref="Q149:W149" si="286">Q45</f>
        <v>4</v>
      </c>
      <c r="R149" s="504">
        <f t="shared" si="286"/>
        <v>4</v>
      </c>
      <c r="S149" s="504">
        <f t="shared" si="286"/>
        <v>0</v>
      </c>
      <c r="T149" s="504">
        <f t="shared" si="286"/>
        <v>4</v>
      </c>
      <c r="U149" s="504">
        <f t="shared" si="286"/>
        <v>0</v>
      </c>
      <c r="V149" s="504">
        <f t="shared" si="286"/>
        <v>0</v>
      </c>
      <c r="W149" s="505">
        <f t="shared" si="286"/>
        <v>4</v>
      </c>
      <c r="Z149" s="499" t="s">
        <v>633</v>
      </c>
      <c r="AA149" s="801"/>
      <c r="AB149" s="503">
        <f t="shared" ref="AB149:AH149" si="287">AB45</f>
        <v>4</v>
      </c>
      <c r="AC149" s="504">
        <f t="shared" si="287"/>
        <v>4</v>
      </c>
      <c r="AD149" s="504">
        <f t="shared" si="287"/>
        <v>0</v>
      </c>
      <c r="AE149" s="504">
        <f t="shared" si="287"/>
        <v>4</v>
      </c>
      <c r="AF149" s="504">
        <f t="shared" si="287"/>
        <v>0</v>
      </c>
      <c r="AG149" s="504">
        <f t="shared" si="287"/>
        <v>0</v>
      </c>
      <c r="AH149" s="505">
        <f t="shared" si="287"/>
        <v>4</v>
      </c>
      <c r="AL149" s="499" t="s">
        <v>633</v>
      </c>
      <c r="AM149" s="801"/>
      <c r="AN149" s="503">
        <f t="shared" ref="AN149:AT149" si="288">AN45</f>
        <v>4</v>
      </c>
      <c r="AO149" s="504">
        <f t="shared" si="288"/>
        <v>4</v>
      </c>
      <c r="AP149" s="504">
        <f t="shared" si="288"/>
        <v>0</v>
      </c>
      <c r="AQ149" s="504">
        <f t="shared" si="288"/>
        <v>4</v>
      </c>
      <c r="AR149" s="504">
        <f t="shared" si="288"/>
        <v>4</v>
      </c>
      <c r="AS149" s="504">
        <f t="shared" si="288"/>
        <v>0</v>
      </c>
      <c r="AT149" s="505">
        <f t="shared" si="288"/>
        <v>4</v>
      </c>
      <c r="AX149" s="499" t="s">
        <v>633</v>
      </c>
      <c r="AY149" s="801"/>
      <c r="AZ149" s="503">
        <f t="shared" ref="AZ149:BF149" si="289">AZ45</f>
        <v>0</v>
      </c>
      <c r="BA149" s="504">
        <f t="shared" si="289"/>
        <v>0</v>
      </c>
      <c r="BB149" s="504">
        <f t="shared" si="289"/>
        <v>0</v>
      </c>
      <c r="BC149" s="504">
        <f t="shared" si="289"/>
        <v>6</v>
      </c>
      <c r="BD149" s="504">
        <f t="shared" si="289"/>
        <v>0</v>
      </c>
      <c r="BE149" s="504">
        <f t="shared" si="289"/>
        <v>0</v>
      </c>
      <c r="BF149" s="526">
        <f t="shared" si="289"/>
        <v>0</v>
      </c>
      <c r="BG149" s="504">
        <f t="shared" ref="BG149:BH149" si="290">BG45</f>
        <v>0</v>
      </c>
      <c r="BH149" s="871">
        <f t="shared" si="290"/>
        <v>0</v>
      </c>
    </row>
    <row r="150" spans="1:60" ht="15" thickBot="1" x14ac:dyDescent="0.35">
      <c r="C150" s="499" t="s">
        <v>634</v>
      </c>
      <c r="D150" s="575"/>
      <c r="E150" s="503">
        <f t="shared" ref="E150:K150" si="291">E68</f>
        <v>5</v>
      </c>
      <c r="F150" s="504">
        <f t="shared" si="291"/>
        <v>0</v>
      </c>
      <c r="G150" s="504">
        <f t="shared" si="291"/>
        <v>0</v>
      </c>
      <c r="H150" s="504">
        <f t="shared" si="291"/>
        <v>5</v>
      </c>
      <c r="I150" s="504">
        <f t="shared" si="291"/>
        <v>0</v>
      </c>
      <c r="J150" s="504">
        <f t="shared" si="291"/>
        <v>0</v>
      </c>
      <c r="K150" s="505">
        <f t="shared" si="291"/>
        <v>0</v>
      </c>
      <c r="O150" s="499" t="s">
        <v>634</v>
      </c>
      <c r="P150" s="575"/>
      <c r="Q150" s="503">
        <f t="shared" ref="Q150:W150" si="292">Q68</f>
        <v>0</v>
      </c>
      <c r="R150" s="504">
        <f t="shared" si="292"/>
        <v>0</v>
      </c>
      <c r="S150" s="504">
        <f t="shared" si="292"/>
        <v>5</v>
      </c>
      <c r="T150" s="504">
        <f t="shared" si="292"/>
        <v>0</v>
      </c>
      <c r="U150" s="504">
        <f t="shared" si="292"/>
        <v>0</v>
      </c>
      <c r="V150" s="504">
        <f t="shared" si="292"/>
        <v>0</v>
      </c>
      <c r="W150" s="505">
        <f t="shared" si="292"/>
        <v>0</v>
      </c>
      <c r="Z150" s="499" t="s">
        <v>634</v>
      </c>
      <c r="AA150" s="575"/>
      <c r="AB150" s="503">
        <f t="shared" ref="AB150:AH150" si="293">AB68</f>
        <v>0</v>
      </c>
      <c r="AC150" s="504">
        <f t="shared" si="293"/>
        <v>0</v>
      </c>
      <c r="AD150" s="504">
        <f t="shared" si="293"/>
        <v>5</v>
      </c>
      <c r="AE150" s="504">
        <f t="shared" si="293"/>
        <v>5</v>
      </c>
      <c r="AF150" s="504">
        <f t="shared" si="293"/>
        <v>0</v>
      </c>
      <c r="AG150" s="504">
        <f t="shared" si="293"/>
        <v>0</v>
      </c>
      <c r="AH150" s="505">
        <f t="shared" si="293"/>
        <v>0</v>
      </c>
      <c r="AL150" s="499" t="s">
        <v>634</v>
      </c>
      <c r="AM150" s="575"/>
      <c r="AN150" s="503">
        <f t="shared" ref="AN150:AT150" si="294">AN68</f>
        <v>5</v>
      </c>
      <c r="AO150" s="504">
        <f t="shared" si="294"/>
        <v>0</v>
      </c>
      <c r="AP150" s="504">
        <f t="shared" si="294"/>
        <v>0</v>
      </c>
      <c r="AQ150" s="504">
        <f t="shared" si="294"/>
        <v>5</v>
      </c>
      <c r="AR150" s="504">
        <f t="shared" si="294"/>
        <v>0</v>
      </c>
      <c r="AS150" s="504">
        <f t="shared" si="294"/>
        <v>0</v>
      </c>
      <c r="AT150" s="505">
        <f t="shared" si="294"/>
        <v>0</v>
      </c>
      <c r="AX150" s="499" t="s">
        <v>634</v>
      </c>
      <c r="AY150" s="575"/>
      <c r="AZ150" s="503">
        <f t="shared" ref="AZ150:BF150" si="295">AZ68</f>
        <v>0</v>
      </c>
      <c r="BA150" s="504">
        <f t="shared" si="295"/>
        <v>0</v>
      </c>
      <c r="BB150" s="504">
        <f t="shared" si="295"/>
        <v>0</v>
      </c>
      <c r="BC150" s="504">
        <f t="shared" si="295"/>
        <v>0</v>
      </c>
      <c r="BD150" s="504">
        <f t="shared" si="295"/>
        <v>0</v>
      </c>
      <c r="BE150" s="504">
        <f t="shared" si="295"/>
        <v>5</v>
      </c>
      <c r="BF150" s="526">
        <f t="shared" si="295"/>
        <v>0</v>
      </c>
      <c r="BG150" s="504">
        <f t="shared" ref="BG150:BH150" si="296">BG68</f>
        <v>0</v>
      </c>
      <c r="BH150" s="871">
        <f t="shared" si="296"/>
        <v>0</v>
      </c>
    </row>
    <row r="151" spans="1:60" x14ac:dyDescent="0.3">
      <c r="C151" s="451" t="s">
        <v>75</v>
      </c>
      <c r="D151" s="802"/>
      <c r="E151" s="582">
        <f t="shared" ref="E151:K151" si="297">SUM(E148:E150)</f>
        <v>9</v>
      </c>
      <c r="F151" s="512">
        <f t="shared" si="297"/>
        <v>10</v>
      </c>
      <c r="G151" s="512">
        <f t="shared" si="297"/>
        <v>6</v>
      </c>
      <c r="H151" s="512">
        <f t="shared" si="297"/>
        <v>9</v>
      </c>
      <c r="I151" s="512">
        <f t="shared" si="297"/>
        <v>10</v>
      </c>
      <c r="J151" s="512">
        <f t="shared" si="297"/>
        <v>0</v>
      </c>
      <c r="K151" s="513">
        <f t="shared" si="297"/>
        <v>10</v>
      </c>
      <c r="O151" s="451" t="s">
        <v>75</v>
      </c>
      <c r="P151" s="802"/>
      <c r="Q151" s="582">
        <f t="shared" ref="Q151:W151" si="298">SUM(Q148:Q150)</f>
        <v>4</v>
      </c>
      <c r="R151" s="512">
        <f t="shared" si="298"/>
        <v>10</v>
      </c>
      <c r="S151" s="512">
        <f t="shared" si="298"/>
        <v>5</v>
      </c>
      <c r="T151" s="512">
        <f t="shared" si="298"/>
        <v>4</v>
      </c>
      <c r="U151" s="512">
        <f t="shared" si="298"/>
        <v>12</v>
      </c>
      <c r="V151" s="512">
        <f t="shared" si="298"/>
        <v>0</v>
      </c>
      <c r="W151" s="513">
        <f t="shared" si="298"/>
        <v>10</v>
      </c>
      <c r="Z151" s="451" t="s">
        <v>75</v>
      </c>
      <c r="AA151" s="802"/>
      <c r="AB151" s="582">
        <f t="shared" ref="AB151:AH151" si="299">SUM(AB148:AB150)</f>
        <v>4</v>
      </c>
      <c r="AC151" s="512">
        <f t="shared" si="299"/>
        <v>10</v>
      </c>
      <c r="AD151" s="512">
        <f t="shared" si="299"/>
        <v>5</v>
      </c>
      <c r="AE151" s="512">
        <f t="shared" si="299"/>
        <v>15</v>
      </c>
      <c r="AF151" s="512">
        <f t="shared" si="299"/>
        <v>6</v>
      </c>
      <c r="AG151" s="512">
        <f t="shared" si="299"/>
        <v>0</v>
      </c>
      <c r="AH151" s="513">
        <f t="shared" si="299"/>
        <v>10</v>
      </c>
      <c r="AL151" s="451" t="s">
        <v>75</v>
      </c>
      <c r="AM151" s="802"/>
      <c r="AN151" s="582">
        <f t="shared" ref="AN151:AT151" si="300">SUM(AN148:AN150)</f>
        <v>9</v>
      </c>
      <c r="AO151" s="512">
        <f t="shared" si="300"/>
        <v>10</v>
      </c>
      <c r="AP151" s="512">
        <f t="shared" si="300"/>
        <v>6</v>
      </c>
      <c r="AQ151" s="512">
        <f t="shared" si="300"/>
        <v>9</v>
      </c>
      <c r="AR151" s="512">
        <f t="shared" si="300"/>
        <v>10</v>
      </c>
      <c r="AS151" s="512">
        <f t="shared" si="300"/>
        <v>0</v>
      </c>
      <c r="AT151" s="513">
        <f t="shared" si="300"/>
        <v>10</v>
      </c>
      <c r="AX151" s="451" t="s">
        <v>75</v>
      </c>
      <c r="AY151" s="802"/>
      <c r="AZ151" s="582">
        <f t="shared" ref="AZ151:BF151" si="301">SUM(AZ148:AZ150)</f>
        <v>0</v>
      </c>
      <c r="BA151" s="512">
        <f t="shared" si="301"/>
        <v>0</v>
      </c>
      <c r="BB151" s="512">
        <f t="shared" si="301"/>
        <v>0</v>
      </c>
      <c r="BC151" s="512">
        <f t="shared" si="301"/>
        <v>12</v>
      </c>
      <c r="BD151" s="512">
        <f t="shared" si="301"/>
        <v>0</v>
      </c>
      <c r="BE151" s="512">
        <f t="shared" si="301"/>
        <v>5</v>
      </c>
      <c r="BF151" s="553">
        <f t="shared" si="301"/>
        <v>6</v>
      </c>
      <c r="BG151" s="512">
        <f t="shared" ref="BG151:BH151" si="302">SUM(BG148:BG150)</f>
        <v>0</v>
      </c>
      <c r="BH151" s="554">
        <f t="shared" si="302"/>
        <v>0</v>
      </c>
    </row>
    <row r="152" spans="1:60" x14ac:dyDescent="0.3">
      <c r="C152" s="456" t="s">
        <v>649</v>
      </c>
      <c r="D152" s="803">
        <v>50</v>
      </c>
      <c r="E152" s="461">
        <f>E153+D152-E151</f>
        <v>41</v>
      </c>
      <c r="F152" s="458">
        <f t="shared" ref="F152:K152" si="303">F153+E152-F151</f>
        <v>31</v>
      </c>
      <c r="G152" s="458">
        <f t="shared" si="303"/>
        <v>25</v>
      </c>
      <c r="H152" s="458">
        <f t="shared" si="303"/>
        <v>16</v>
      </c>
      <c r="I152" s="458">
        <f t="shared" si="303"/>
        <v>6</v>
      </c>
      <c r="J152" s="458">
        <f t="shared" si="303"/>
        <v>76</v>
      </c>
      <c r="K152" s="459">
        <f t="shared" si="303"/>
        <v>66</v>
      </c>
      <c r="O152" s="456" t="s">
        <v>649</v>
      </c>
      <c r="P152" s="803">
        <v>25</v>
      </c>
      <c r="Q152" s="461">
        <f>Q153+P152-Q151</f>
        <v>21</v>
      </c>
      <c r="R152" s="458">
        <f t="shared" ref="R152:W152" si="304">R153+Q152-R151</f>
        <v>11</v>
      </c>
      <c r="S152" s="458">
        <f t="shared" si="304"/>
        <v>6</v>
      </c>
      <c r="T152" s="804">
        <f t="shared" si="304"/>
        <v>2</v>
      </c>
      <c r="U152" s="458">
        <f t="shared" si="304"/>
        <v>60</v>
      </c>
      <c r="V152" s="458">
        <f t="shared" si="304"/>
        <v>60</v>
      </c>
      <c r="W152" s="459">
        <f t="shared" si="304"/>
        <v>50</v>
      </c>
      <c r="Z152" s="456" t="s">
        <v>649</v>
      </c>
      <c r="AA152" s="803">
        <v>25</v>
      </c>
      <c r="AB152" s="461">
        <f>AB153+AA152-AB151</f>
        <v>21</v>
      </c>
      <c r="AC152" s="458">
        <f t="shared" ref="AC152:AH152" si="305">AC153+AB152-AC151</f>
        <v>11</v>
      </c>
      <c r="AD152" s="458">
        <f t="shared" si="305"/>
        <v>6</v>
      </c>
      <c r="AE152" s="804">
        <f t="shared" si="305"/>
        <v>-9</v>
      </c>
      <c r="AF152" s="458">
        <f t="shared" si="305"/>
        <v>55</v>
      </c>
      <c r="AG152" s="458">
        <f t="shared" si="305"/>
        <v>55</v>
      </c>
      <c r="AH152" s="459">
        <f t="shared" si="305"/>
        <v>45</v>
      </c>
      <c r="AL152" s="456" t="s">
        <v>649</v>
      </c>
      <c r="AM152" s="803">
        <v>20</v>
      </c>
      <c r="AN152" s="461">
        <f>AN153+AM152-AN151</f>
        <v>11</v>
      </c>
      <c r="AO152" s="458">
        <f t="shared" ref="AO152:AT152" si="306">AO153+AN152-AO151</f>
        <v>1</v>
      </c>
      <c r="AP152" s="804">
        <f t="shared" si="306"/>
        <v>-5</v>
      </c>
      <c r="AQ152" s="804">
        <f t="shared" si="306"/>
        <v>-14</v>
      </c>
      <c r="AR152" s="804">
        <f t="shared" si="306"/>
        <v>-24</v>
      </c>
      <c r="AS152" s="458">
        <f t="shared" si="306"/>
        <v>46</v>
      </c>
      <c r="AT152" s="459">
        <f t="shared" si="306"/>
        <v>36</v>
      </c>
      <c r="AX152" s="456" t="s">
        <v>649</v>
      </c>
      <c r="AY152" s="803">
        <v>20</v>
      </c>
      <c r="AZ152" s="461">
        <f>AZ153+AY152-AZ151</f>
        <v>20</v>
      </c>
      <c r="BA152" s="458">
        <f t="shared" ref="BA152:BE152" si="307">BA153+AZ152-BA151</f>
        <v>20</v>
      </c>
      <c r="BB152" s="458">
        <f t="shared" si="307"/>
        <v>20</v>
      </c>
      <c r="BC152" s="458">
        <f t="shared" si="307"/>
        <v>8</v>
      </c>
      <c r="BD152" s="458">
        <f t="shared" si="307"/>
        <v>8</v>
      </c>
      <c r="BE152" s="458">
        <f t="shared" si="307"/>
        <v>73</v>
      </c>
      <c r="BF152" s="528">
        <f>BF153+BE152-BF151</f>
        <v>67</v>
      </c>
      <c r="BG152" s="458">
        <f>BG153+BF152-BG151</f>
        <v>67</v>
      </c>
      <c r="BH152" s="530">
        <f>BH153+BG152-BH151</f>
        <v>67</v>
      </c>
    </row>
    <row r="153" spans="1:60" x14ac:dyDescent="0.3">
      <c r="C153" s="456" t="s">
        <v>653</v>
      </c>
      <c r="D153" s="805"/>
      <c r="E153" s="461"/>
      <c r="F153" s="458"/>
      <c r="G153" s="458"/>
      <c r="H153" s="458"/>
      <c r="I153" s="458">
        <v>0</v>
      </c>
      <c r="J153" s="458">
        <v>70</v>
      </c>
      <c r="K153" s="459"/>
      <c r="O153" s="456" t="s">
        <v>653</v>
      </c>
      <c r="P153" s="805"/>
      <c r="Q153" s="461"/>
      <c r="R153" s="458"/>
      <c r="S153" s="458"/>
      <c r="T153" s="458"/>
      <c r="U153" s="458">
        <v>70</v>
      </c>
      <c r="V153" s="458">
        <v>0</v>
      </c>
      <c r="W153" s="459"/>
      <c r="Z153" s="456" t="s">
        <v>653</v>
      </c>
      <c r="AA153" s="805"/>
      <c r="AB153" s="461"/>
      <c r="AC153" s="458"/>
      <c r="AD153" s="458"/>
      <c r="AE153" s="458"/>
      <c r="AF153" s="458">
        <v>70</v>
      </c>
      <c r="AG153" s="458">
        <v>0</v>
      </c>
      <c r="AH153" s="459"/>
      <c r="AL153" s="456" t="s">
        <v>653</v>
      </c>
      <c r="AM153" s="805"/>
      <c r="AN153" s="461"/>
      <c r="AO153" s="458"/>
      <c r="AP153" s="458"/>
      <c r="AQ153" s="458"/>
      <c r="AR153" s="458">
        <v>0</v>
      </c>
      <c r="AS153" s="458">
        <v>70</v>
      </c>
      <c r="AT153" s="459"/>
      <c r="AX153" s="456" t="s">
        <v>653</v>
      </c>
      <c r="AY153" s="805"/>
      <c r="AZ153" s="461"/>
      <c r="BA153" s="458"/>
      <c r="BB153" s="458"/>
      <c r="BC153" s="458"/>
      <c r="BD153" s="458">
        <v>0</v>
      </c>
      <c r="BE153" s="458">
        <v>70</v>
      </c>
      <c r="BF153" s="528"/>
      <c r="BG153" s="458"/>
      <c r="BH153" s="530"/>
    </row>
    <row r="154" spans="1:60" ht="15" thickBot="1" x14ac:dyDescent="0.35">
      <c r="C154" s="598" t="s">
        <v>648</v>
      </c>
      <c r="D154" s="806"/>
      <c r="E154" s="622"/>
      <c r="F154" s="618"/>
      <c r="G154" s="618"/>
      <c r="H154" s="618"/>
      <c r="I154" s="618"/>
      <c r="J154" s="618"/>
      <c r="K154" s="619"/>
      <c r="O154" s="598" t="s">
        <v>648</v>
      </c>
      <c r="P154" s="806"/>
      <c r="Q154" s="622"/>
      <c r="R154" s="618"/>
      <c r="S154" s="618"/>
      <c r="T154" s="618"/>
      <c r="U154" s="618"/>
      <c r="V154" s="618"/>
      <c r="W154" s="619"/>
      <c r="Z154" s="598" t="s">
        <v>648</v>
      </c>
      <c r="AA154" s="806"/>
      <c r="AB154" s="622"/>
      <c r="AC154" s="618"/>
      <c r="AD154" s="618"/>
      <c r="AE154" s="618"/>
      <c r="AF154" s="618"/>
      <c r="AG154" s="618"/>
      <c r="AH154" s="619"/>
      <c r="AL154" s="598" t="s">
        <v>648</v>
      </c>
      <c r="AM154" s="806"/>
      <c r="AN154" s="622"/>
      <c r="AO154" s="618"/>
      <c r="AP154" s="618"/>
      <c r="AQ154" s="618"/>
      <c r="AR154" s="618"/>
      <c r="AS154" s="618"/>
      <c r="AT154" s="619"/>
      <c r="AX154" s="598" t="s">
        <v>648</v>
      </c>
      <c r="AY154" s="806"/>
      <c r="AZ154" s="622"/>
      <c r="BA154" s="618"/>
      <c r="BB154" s="618"/>
      <c r="BC154" s="618"/>
      <c r="BD154" s="618"/>
      <c r="BE154" s="618"/>
      <c r="BF154" s="621"/>
      <c r="BG154" s="618"/>
      <c r="BH154" s="872"/>
    </row>
    <row r="155" spans="1:60" ht="15" hidden="1" thickBot="1" x14ac:dyDescent="0.35">
      <c r="C155" s="606" t="s">
        <v>618</v>
      </c>
      <c r="D155" s="610"/>
      <c r="E155" s="611" t="e">
        <f>IF(#REF!-E151&lt;=$D$143, E151-#REF!+$D$143,0)</f>
        <v>#REF!</v>
      </c>
      <c r="F155" s="612">
        <f t="shared" ref="F155:K155" si="308">IF(E152-F151&lt;=$D$143, F151-E152+$D$143,0)</f>
        <v>0</v>
      </c>
      <c r="G155" s="613">
        <f t="shared" si="308"/>
        <v>0</v>
      </c>
      <c r="H155" s="611">
        <f t="shared" si="308"/>
        <v>0</v>
      </c>
      <c r="I155" s="611">
        <f t="shared" si="308"/>
        <v>0</v>
      </c>
      <c r="J155" s="614">
        <f t="shared" si="308"/>
        <v>0</v>
      </c>
      <c r="K155" s="615">
        <f t="shared" si="308"/>
        <v>0</v>
      </c>
      <c r="O155" s="606" t="s">
        <v>618</v>
      </c>
      <c r="P155" s="610"/>
      <c r="Q155" s="611" t="e">
        <f>IF(#REF!-Q151&lt;=$D$143, Q151-#REF!+$D$143,0)</f>
        <v>#REF!</v>
      </c>
      <c r="R155" s="612">
        <f t="shared" ref="R155:W155" si="309">IF(Q152-R151&lt;=$D$143, R151-Q152+$D$143,0)</f>
        <v>0</v>
      </c>
      <c r="S155" s="613">
        <f t="shared" si="309"/>
        <v>0</v>
      </c>
      <c r="T155" s="611">
        <f t="shared" si="309"/>
        <v>0</v>
      </c>
      <c r="U155" s="611">
        <f t="shared" si="309"/>
        <v>10</v>
      </c>
      <c r="V155" s="614">
        <f t="shared" si="309"/>
        <v>0</v>
      </c>
      <c r="W155" s="615">
        <f t="shared" si="309"/>
        <v>0</v>
      </c>
      <c r="Z155" s="606" t="s">
        <v>618</v>
      </c>
      <c r="AA155" s="610"/>
      <c r="AB155" s="611" t="e">
        <f>IF(#REF!-AB151&lt;=$D$143, AB151-#REF!+$D$143,0)</f>
        <v>#REF!</v>
      </c>
      <c r="AC155" s="612">
        <f t="shared" ref="AC155:AH155" si="310">IF(AB152-AC151&lt;=$D$143, AC151-AB152+$D$143,0)</f>
        <v>0</v>
      </c>
      <c r="AD155" s="613">
        <f t="shared" si="310"/>
        <v>0</v>
      </c>
      <c r="AE155" s="611">
        <f t="shared" si="310"/>
        <v>9</v>
      </c>
      <c r="AF155" s="611">
        <f t="shared" si="310"/>
        <v>15</v>
      </c>
      <c r="AG155" s="614">
        <f t="shared" si="310"/>
        <v>0</v>
      </c>
      <c r="AH155" s="615">
        <f t="shared" si="310"/>
        <v>0</v>
      </c>
      <c r="AL155" s="606" t="s">
        <v>618</v>
      </c>
      <c r="AM155" s="610"/>
      <c r="AN155" s="611" t="e">
        <f>IF(#REF!-AN151&lt;=$D$143, AN151-#REF!+$D$143,0)</f>
        <v>#REF!</v>
      </c>
      <c r="AO155" s="612">
        <f t="shared" ref="AO155:AT155" si="311">IF(AN152-AO151&lt;=$D$143, AO151-AN152+$D$143,0)</f>
        <v>0</v>
      </c>
      <c r="AP155" s="613">
        <f t="shared" si="311"/>
        <v>5</v>
      </c>
      <c r="AQ155" s="611">
        <f t="shared" si="311"/>
        <v>14</v>
      </c>
      <c r="AR155" s="611">
        <f t="shared" si="311"/>
        <v>24</v>
      </c>
      <c r="AS155" s="614">
        <f t="shared" si="311"/>
        <v>24</v>
      </c>
      <c r="AT155" s="615">
        <f t="shared" si="311"/>
        <v>0</v>
      </c>
      <c r="AX155" s="606" t="s">
        <v>618</v>
      </c>
      <c r="AY155" s="610"/>
      <c r="AZ155" s="611" t="e">
        <f>IF(#REF!-AZ151&lt;=$D$143, AZ151-#REF!+$D$143,0)</f>
        <v>#REF!</v>
      </c>
      <c r="BA155" s="612">
        <f t="shared" ref="BA155:BE155" si="312">IF(AZ152-BA151&lt;=$D$143, BA151-AZ152+$D$143,0)</f>
        <v>0</v>
      </c>
      <c r="BB155" s="613">
        <f t="shared" si="312"/>
        <v>0</v>
      </c>
      <c r="BC155" s="611">
        <f t="shared" si="312"/>
        <v>0</v>
      </c>
      <c r="BD155" s="611">
        <f t="shared" si="312"/>
        <v>0</v>
      </c>
      <c r="BE155" s="614">
        <f t="shared" si="312"/>
        <v>0</v>
      </c>
      <c r="BF155" s="865">
        <f>IF(BE152-BF151&lt;=$D$143, BF151-BE152+$D$143,0)</f>
        <v>0</v>
      </c>
      <c r="BG155" s="611">
        <f>IF(BF152-BG151&lt;=$D$143, BG151-BF152+$D$143,0)</f>
        <v>0</v>
      </c>
      <c r="BH155" s="613">
        <f>IF(BG152-BH151&lt;=$D$143, BH151-BG152+$D$143,0)</f>
        <v>0</v>
      </c>
    </row>
    <row r="156" spans="1:60" ht="15" hidden="1" thickBot="1" x14ac:dyDescent="0.35">
      <c r="C156" s="462" t="s">
        <v>636</v>
      </c>
      <c r="D156" s="807"/>
      <c r="E156" s="592" t="e">
        <f xml:space="preserve"> CEILING(E155/#REF!,1)*#REF!</f>
        <v>#REF!</v>
      </c>
      <c r="F156" s="594" t="e">
        <f xml:space="preserve"> CEILING(F155/#REF!,1)*#REF!</f>
        <v>#REF!</v>
      </c>
      <c r="G156" s="595" t="e">
        <f xml:space="preserve"> CEILING(G155/#REF!,1)*#REF!</f>
        <v>#REF!</v>
      </c>
      <c r="H156" s="592" t="e">
        <f xml:space="preserve"> CEILING(H155/#REF!,1)*#REF!</f>
        <v>#REF!</v>
      </c>
      <c r="I156" s="592" t="e">
        <f xml:space="preserve"> CEILING(I155/#REF!,1)*#REF!</f>
        <v>#REF!</v>
      </c>
      <c r="J156" s="593" t="e">
        <f xml:space="preserve"> CEILING(J155/#REF!,1)*#REF!</f>
        <v>#REF!</v>
      </c>
      <c r="K156" s="591" t="e">
        <f xml:space="preserve"> CEILING(K155/#REF!,1)*#REF!</f>
        <v>#REF!</v>
      </c>
      <c r="O156" s="462" t="s">
        <v>636</v>
      </c>
      <c r="P156" s="807"/>
      <c r="Q156" s="592" t="e">
        <f xml:space="preserve"> CEILING(Q155/#REF!,1)*#REF!</f>
        <v>#REF!</v>
      </c>
      <c r="R156" s="594" t="e">
        <f xml:space="preserve"> CEILING(R155/#REF!,1)*#REF!</f>
        <v>#REF!</v>
      </c>
      <c r="S156" s="595" t="e">
        <f xml:space="preserve"> CEILING(S155/#REF!,1)*#REF!</f>
        <v>#REF!</v>
      </c>
      <c r="T156" s="592" t="e">
        <f xml:space="preserve"> CEILING(T155/#REF!,1)*#REF!</f>
        <v>#REF!</v>
      </c>
      <c r="U156" s="592" t="e">
        <f xml:space="preserve"> CEILING(U155/#REF!,1)*#REF!</f>
        <v>#REF!</v>
      </c>
      <c r="V156" s="593" t="e">
        <f xml:space="preserve"> CEILING(V155/#REF!,1)*#REF!</f>
        <v>#REF!</v>
      </c>
      <c r="W156" s="591" t="e">
        <f xml:space="preserve"> CEILING(W155/#REF!,1)*#REF!</f>
        <v>#REF!</v>
      </c>
      <c r="Z156" s="462" t="s">
        <v>636</v>
      </c>
      <c r="AA156" s="807"/>
      <c r="AB156" s="592" t="e">
        <f xml:space="preserve"> CEILING(AB155/#REF!,1)*#REF!</f>
        <v>#REF!</v>
      </c>
      <c r="AC156" s="594" t="e">
        <f xml:space="preserve"> CEILING(AC155/#REF!,1)*#REF!</f>
        <v>#REF!</v>
      </c>
      <c r="AD156" s="595" t="e">
        <f xml:space="preserve"> CEILING(AD155/#REF!,1)*#REF!</f>
        <v>#REF!</v>
      </c>
      <c r="AE156" s="592" t="e">
        <f xml:space="preserve"> CEILING(AE155/#REF!,1)*#REF!</f>
        <v>#REF!</v>
      </c>
      <c r="AF156" s="592" t="e">
        <f xml:space="preserve"> CEILING(AF155/#REF!,1)*#REF!</f>
        <v>#REF!</v>
      </c>
      <c r="AG156" s="593" t="e">
        <f xml:space="preserve"> CEILING(AG155/#REF!,1)*#REF!</f>
        <v>#REF!</v>
      </c>
      <c r="AH156" s="591" t="e">
        <f xml:space="preserve"> CEILING(AH155/#REF!,1)*#REF!</f>
        <v>#REF!</v>
      </c>
      <c r="AL156" s="462" t="s">
        <v>636</v>
      </c>
      <c r="AM156" s="807"/>
      <c r="AN156" s="592" t="e">
        <f xml:space="preserve"> CEILING(AN155/#REF!,1)*#REF!</f>
        <v>#REF!</v>
      </c>
      <c r="AO156" s="594" t="e">
        <f xml:space="preserve"> CEILING(AO155/#REF!,1)*#REF!</f>
        <v>#REF!</v>
      </c>
      <c r="AP156" s="595" t="e">
        <f xml:space="preserve"> CEILING(AP155/#REF!,1)*#REF!</f>
        <v>#REF!</v>
      </c>
      <c r="AQ156" s="592" t="e">
        <f xml:space="preserve"> CEILING(AQ155/#REF!,1)*#REF!</f>
        <v>#REF!</v>
      </c>
      <c r="AR156" s="592" t="e">
        <f xml:space="preserve"> CEILING(AR155/#REF!,1)*#REF!</f>
        <v>#REF!</v>
      </c>
      <c r="AS156" s="593" t="e">
        <f xml:space="preserve"> CEILING(AS155/#REF!,1)*#REF!</f>
        <v>#REF!</v>
      </c>
      <c r="AT156" s="591" t="e">
        <f xml:space="preserve"> CEILING(AT155/#REF!,1)*#REF!</f>
        <v>#REF!</v>
      </c>
      <c r="AX156" s="462" t="s">
        <v>636</v>
      </c>
      <c r="AY156" s="807"/>
      <c r="AZ156" s="592" t="e">
        <f xml:space="preserve"> CEILING(AZ155/#REF!,1)*#REF!</f>
        <v>#REF!</v>
      </c>
      <c r="BA156" s="594" t="e">
        <f xml:space="preserve"> CEILING(BA155/#REF!,1)*#REF!</f>
        <v>#REF!</v>
      </c>
      <c r="BB156" s="595" t="e">
        <f xml:space="preserve"> CEILING(BB155/#REF!,1)*#REF!</f>
        <v>#REF!</v>
      </c>
      <c r="BC156" s="592" t="e">
        <f xml:space="preserve"> CEILING(BC155/#REF!,1)*#REF!</f>
        <v>#REF!</v>
      </c>
      <c r="BD156" s="592" t="e">
        <f xml:space="preserve"> CEILING(BD155/#REF!,1)*#REF!</f>
        <v>#REF!</v>
      </c>
      <c r="BE156" s="593" t="e">
        <f xml:space="preserve"> CEILING(BE155/#REF!,1)*#REF!</f>
        <v>#REF!</v>
      </c>
      <c r="BF156" s="866" t="e">
        <f xml:space="preserve"> CEILING(BF155/#REF!,1)*#REF!</f>
        <v>#REF!</v>
      </c>
      <c r="BG156" s="592" t="e">
        <f xml:space="preserve"> CEILING(BG155/#REF!,1)*#REF!</f>
        <v>#REF!</v>
      </c>
      <c r="BH156" s="595" t="e">
        <f xml:space="preserve"> CEILING(BH155/#REF!,1)*#REF!</f>
        <v>#REF!</v>
      </c>
    </row>
    <row r="157" spans="1:60" x14ac:dyDescent="0.3">
      <c r="C157" s="808" t="s">
        <v>742</v>
      </c>
      <c r="D157" s="809"/>
      <c r="E157" s="810">
        <f t="shared" ref="E157:K157" si="313">E27</f>
        <v>0</v>
      </c>
      <c r="F157" s="810">
        <f t="shared" si="313"/>
        <v>1</v>
      </c>
      <c r="G157" s="810">
        <f t="shared" si="313"/>
        <v>1</v>
      </c>
      <c r="H157" s="810">
        <f t="shared" si="313"/>
        <v>0</v>
      </c>
      <c r="I157" s="810">
        <f t="shared" si="313"/>
        <v>1</v>
      </c>
      <c r="J157" s="810">
        <f t="shared" si="313"/>
        <v>0</v>
      </c>
      <c r="K157" s="811">
        <f t="shared" si="313"/>
        <v>1</v>
      </c>
      <c r="L157">
        <v>22.68</v>
      </c>
      <c r="M157" t="s">
        <v>637</v>
      </c>
      <c r="O157" s="808" t="s">
        <v>742</v>
      </c>
      <c r="P157" s="809"/>
      <c r="Q157" s="810">
        <f t="shared" ref="Q157:W157" si="314">Q27</f>
        <v>0</v>
      </c>
      <c r="R157" s="810">
        <f t="shared" si="314"/>
        <v>1</v>
      </c>
      <c r="S157" s="810">
        <f t="shared" si="314"/>
        <v>0</v>
      </c>
      <c r="T157" s="810">
        <f t="shared" si="314"/>
        <v>0</v>
      </c>
      <c r="U157" s="810">
        <f t="shared" si="314"/>
        <v>2</v>
      </c>
      <c r="V157" s="810">
        <f t="shared" si="314"/>
        <v>0</v>
      </c>
      <c r="W157" s="811">
        <f t="shared" si="314"/>
        <v>1</v>
      </c>
      <c r="Z157" s="808" t="s">
        <v>742</v>
      </c>
      <c r="AA157" s="809"/>
      <c r="AB157" s="810">
        <f t="shared" ref="AB157:AH157" si="315">AB27</f>
        <v>0</v>
      </c>
      <c r="AC157" s="810">
        <f t="shared" si="315"/>
        <v>1</v>
      </c>
      <c r="AD157" s="810">
        <f t="shared" si="315"/>
        <v>0</v>
      </c>
      <c r="AE157" s="810">
        <f t="shared" si="315"/>
        <v>1</v>
      </c>
      <c r="AF157" s="810">
        <f t="shared" si="315"/>
        <v>1</v>
      </c>
      <c r="AG157" s="810">
        <f t="shared" si="315"/>
        <v>0</v>
      </c>
      <c r="AH157" s="811">
        <f t="shared" si="315"/>
        <v>1</v>
      </c>
      <c r="AL157" s="808" t="s">
        <v>742</v>
      </c>
      <c r="AM157" s="809"/>
      <c r="AN157" s="810">
        <f t="shared" ref="AN157:AT157" si="316">AN27</f>
        <v>0</v>
      </c>
      <c r="AO157" s="810">
        <f t="shared" si="316"/>
        <v>1</v>
      </c>
      <c r="AP157" s="810">
        <f t="shared" si="316"/>
        <v>1</v>
      </c>
      <c r="AQ157" s="810">
        <f t="shared" si="316"/>
        <v>0</v>
      </c>
      <c r="AR157" s="810">
        <f t="shared" si="316"/>
        <v>1</v>
      </c>
      <c r="AS157" s="810">
        <f t="shared" si="316"/>
        <v>0</v>
      </c>
      <c r="AT157" s="811">
        <f t="shared" si="316"/>
        <v>1</v>
      </c>
      <c r="AX157" s="808" t="s">
        <v>742</v>
      </c>
      <c r="AY157" s="809"/>
      <c r="AZ157" s="810">
        <f t="shared" ref="AZ157:BF157" si="317">AZ27</f>
        <v>0</v>
      </c>
      <c r="BA157" s="810">
        <f t="shared" si="317"/>
        <v>0</v>
      </c>
      <c r="BB157" s="810">
        <f t="shared" si="317"/>
        <v>0</v>
      </c>
      <c r="BC157" s="810">
        <f t="shared" si="317"/>
        <v>1</v>
      </c>
      <c r="BD157" s="810">
        <f t="shared" si="317"/>
        <v>0</v>
      </c>
      <c r="BE157" s="810">
        <f t="shared" si="317"/>
        <v>0</v>
      </c>
      <c r="BF157" s="859">
        <f t="shared" si="317"/>
        <v>1</v>
      </c>
      <c r="BG157" s="882">
        <f t="shared" ref="BG157:BH157" si="318">BG27</f>
        <v>0</v>
      </c>
      <c r="BH157" s="873">
        <f t="shared" si="318"/>
        <v>0</v>
      </c>
    </row>
    <row r="158" spans="1:60" x14ac:dyDescent="0.3">
      <c r="C158" s="812" t="s">
        <v>743</v>
      </c>
      <c r="D158" s="326"/>
      <c r="E158" s="813">
        <f t="shared" ref="E158:K158" si="319">E49</f>
        <v>1</v>
      </c>
      <c r="F158" s="813">
        <f t="shared" si="319"/>
        <v>1</v>
      </c>
      <c r="G158" s="813">
        <f t="shared" si="319"/>
        <v>0</v>
      </c>
      <c r="H158" s="813">
        <f t="shared" si="319"/>
        <v>1</v>
      </c>
      <c r="I158" s="813">
        <f t="shared" si="319"/>
        <v>1</v>
      </c>
      <c r="J158" s="813">
        <f t="shared" si="319"/>
        <v>0</v>
      </c>
      <c r="K158" s="814">
        <f t="shared" si="319"/>
        <v>1</v>
      </c>
      <c r="O158" s="812" t="s">
        <v>743</v>
      </c>
      <c r="P158" s="326"/>
      <c r="Q158" s="813">
        <f t="shared" ref="Q158:W158" si="320">Q49</f>
        <v>1</v>
      </c>
      <c r="R158" s="813">
        <f t="shared" si="320"/>
        <v>1</v>
      </c>
      <c r="S158" s="813">
        <f t="shared" si="320"/>
        <v>0</v>
      </c>
      <c r="T158" s="813">
        <f t="shared" si="320"/>
        <v>1</v>
      </c>
      <c r="U158" s="813">
        <f t="shared" si="320"/>
        <v>0</v>
      </c>
      <c r="V158" s="813">
        <f t="shared" si="320"/>
        <v>0</v>
      </c>
      <c r="W158" s="814">
        <f t="shared" si="320"/>
        <v>1</v>
      </c>
      <c r="Z158" s="812" t="s">
        <v>743</v>
      </c>
      <c r="AA158" s="326"/>
      <c r="AB158" s="813">
        <f t="shared" ref="AB158:AH158" si="321">AB49</f>
        <v>1</v>
      </c>
      <c r="AC158" s="813">
        <f t="shared" si="321"/>
        <v>1</v>
      </c>
      <c r="AD158" s="813">
        <f t="shared" si="321"/>
        <v>0</v>
      </c>
      <c r="AE158" s="813">
        <f t="shared" si="321"/>
        <v>1</v>
      </c>
      <c r="AF158" s="813">
        <f t="shared" si="321"/>
        <v>0</v>
      </c>
      <c r="AG158" s="813">
        <f t="shared" si="321"/>
        <v>0</v>
      </c>
      <c r="AH158" s="814">
        <f t="shared" si="321"/>
        <v>1</v>
      </c>
      <c r="AL158" s="812" t="s">
        <v>743</v>
      </c>
      <c r="AM158" s="326"/>
      <c r="AN158" s="813">
        <f t="shared" ref="AN158:AT158" si="322">AN49</f>
        <v>1</v>
      </c>
      <c r="AO158" s="813">
        <f t="shared" si="322"/>
        <v>1</v>
      </c>
      <c r="AP158" s="813">
        <f t="shared" si="322"/>
        <v>0</v>
      </c>
      <c r="AQ158" s="813">
        <f t="shared" si="322"/>
        <v>1</v>
      </c>
      <c r="AR158" s="813">
        <f t="shared" si="322"/>
        <v>1</v>
      </c>
      <c r="AS158" s="813">
        <f t="shared" si="322"/>
        <v>0</v>
      </c>
      <c r="AT158" s="814">
        <f t="shared" si="322"/>
        <v>1</v>
      </c>
      <c r="AX158" s="812" t="s">
        <v>743</v>
      </c>
      <c r="AY158" s="326"/>
      <c r="AZ158" s="813">
        <f t="shared" ref="AZ158:BF158" si="323">AZ49</f>
        <v>0</v>
      </c>
      <c r="BA158" s="813">
        <f t="shared" si="323"/>
        <v>0</v>
      </c>
      <c r="BB158" s="813">
        <f t="shared" si="323"/>
        <v>0</v>
      </c>
      <c r="BC158" s="813">
        <f t="shared" si="323"/>
        <v>1</v>
      </c>
      <c r="BD158" s="813">
        <f t="shared" si="323"/>
        <v>0</v>
      </c>
      <c r="BE158" s="813">
        <f t="shared" si="323"/>
        <v>0</v>
      </c>
      <c r="BF158" s="867">
        <f t="shared" si="323"/>
        <v>0</v>
      </c>
      <c r="BG158" s="883">
        <f t="shared" ref="BG158:BH158" si="324">BG49</f>
        <v>0</v>
      </c>
      <c r="BH158" s="874">
        <f t="shared" si="324"/>
        <v>0</v>
      </c>
    </row>
    <row r="159" spans="1:60" x14ac:dyDescent="0.3">
      <c r="C159" s="812" t="s">
        <v>744</v>
      </c>
      <c r="D159" s="326"/>
      <c r="E159" s="813">
        <f t="shared" ref="E159:K159" si="325">E72</f>
        <v>1</v>
      </c>
      <c r="F159" s="813">
        <f t="shared" si="325"/>
        <v>0</v>
      </c>
      <c r="G159" s="813">
        <f t="shared" si="325"/>
        <v>0</v>
      </c>
      <c r="H159" s="813">
        <f t="shared" si="325"/>
        <v>1</v>
      </c>
      <c r="I159" s="813">
        <f t="shared" si="325"/>
        <v>0</v>
      </c>
      <c r="J159" s="813">
        <f t="shared" si="325"/>
        <v>0</v>
      </c>
      <c r="K159" s="814">
        <f t="shared" si="325"/>
        <v>0</v>
      </c>
      <c r="O159" s="812" t="s">
        <v>744</v>
      </c>
      <c r="P159" s="326"/>
      <c r="Q159" s="813">
        <f t="shared" ref="Q159:W159" si="326">Q72</f>
        <v>0</v>
      </c>
      <c r="R159" s="813">
        <f t="shared" si="326"/>
        <v>0</v>
      </c>
      <c r="S159" s="813">
        <f t="shared" si="326"/>
        <v>1</v>
      </c>
      <c r="T159" s="813">
        <f t="shared" si="326"/>
        <v>0</v>
      </c>
      <c r="U159" s="813">
        <f t="shared" si="326"/>
        <v>0</v>
      </c>
      <c r="V159" s="813">
        <f t="shared" si="326"/>
        <v>0</v>
      </c>
      <c r="W159" s="814">
        <f t="shared" si="326"/>
        <v>0</v>
      </c>
      <c r="Z159" s="812" t="s">
        <v>744</v>
      </c>
      <c r="AA159" s="326"/>
      <c r="AB159" s="813">
        <f t="shared" ref="AB159:AH159" si="327">AB72</f>
        <v>0</v>
      </c>
      <c r="AC159" s="813">
        <f t="shared" si="327"/>
        <v>0</v>
      </c>
      <c r="AD159" s="813">
        <f t="shared" si="327"/>
        <v>1</v>
      </c>
      <c r="AE159" s="813">
        <f t="shared" si="327"/>
        <v>1</v>
      </c>
      <c r="AF159" s="813">
        <f t="shared" si="327"/>
        <v>0</v>
      </c>
      <c r="AG159" s="813">
        <f t="shared" si="327"/>
        <v>0</v>
      </c>
      <c r="AH159" s="814">
        <f t="shared" si="327"/>
        <v>0</v>
      </c>
      <c r="AL159" s="812" t="s">
        <v>744</v>
      </c>
      <c r="AM159" s="326"/>
      <c r="AN159" s="813">
        <f t="shared" ref="AN159:AT159" si="328">AN72</f>
        <v>1</v>
      </c>
      <c r="AO159" s="813">
        <f t="shared" si="328"/>
        <v>0</v>
      </c>
      <c r="AP159" s="813">
        <f t="shared" si="328"/>
        <v>0</v>
      </c>
      <c r="AQ159" s="813">
        <f t="shared" si="328"/>
        <v>1</v>
      </c>
      <c r="AR159" s="813">
        <f t="shared" si="328"/>
        <v>0</v>
      </c>
      <c r="AS159" s="813">
        <f t="shared" si="328"/>
        <v>0</v>
      </c>
      <c r="AT159" s="814">
        <f t="shared" si="328"/>
        <v>0</v>
      </c>
      <c r="AX159" s="812" t="s">
        <v>744</v>
      </c>
      <c r="AY159" s="326"/>
      <c r="AZ159" s="813">
        <f t="shared" ref="AZ159:BF159" si="329">AZ72</f>
        <v>0</v>
      </c>
      <c r="BA159" s="813">
        <f t="shared" si="329"/>
        <v>0</v>
      </c>
      <c r="BB159" s="813">
        <f t="shared" si="329"/>
        <v>0</v>
      </c>
      <c r="BC159" s="813">
        <f t="shared" si="329"/>
        <v>0</v>
      </c>
      <c r="BD159" s="813">
        <f t="shared" si="329"/>
        <v>0</v>
      </c>
      <c r="BE159" s="813">
        <f t="shared" si="329"/>
        <v>1</v>
      </c>
      <c r="BF159" s="867">
        <f t="shared" si="329"/>
        <v>0</v>
      </c>
      <c r="BG159" s="883">
        <f t="shared" ref="BG159:BH159" si="330">BG72</f>
        <v>0</v>
      </c>
      <c r="BH159" s="874">
        <f t="shared" si="330"/>
        <v>0</v>
      </c>
    </row>
    <row r="160" spans="1:60" s="774" customFormat="1" ht="15" thickBot="1" x14ac:dyDescent="0.35">
      <c r="A160"/>
      <c r="B160"/>
      <c r="C160" s="815" t="s">
        <v>745</v>
      </c>
      <c r="D160" s="816"/>
      <c r="E160" s="817">
        <f t="shared" ref="E160:K160" si="331">E157+E158+E159</f>
        <v>2</v>
      </c>
      <c r="F160" s="817">
        <f t="shared" si="331"/>
        <v>2</v>
      </c>
      <c r="G160" s="817">
        <f t="shared" si="331"/>
        <v>1</v>
      </c>
      <c r="H160" s="818">
        <f t="shared" si="331"/>
        <v>2</v>
      </c>
      <c r="I160" s="817">
        <f t="shared" si="331"/>
        <v>2</v>
      </c>
      <c r="J160" s="817">
        <f t="shared" si="331"/>
        <v>0</v>
      </c>
      <c r="K160" s="819">
        <f t="shared" si="331"/>
        <v>2</v>
      </c>
      <c r="L160"/>
      <c r="M160"/>
      <c r="N160"/>
      <c r="O160" s="820" t="s">
        <v>745</v>
      </c>
      <c r="P160" s="821"/>
      <c r="Q160" s="822">
        <f t="shared" ref="Q160:W160" si="332">Q157+Q158+Q159</f>
        <v>1</v>
      </c>
      <c r="R160" s="822">
        <f t="shared" si="332"/>
        <v>2</v>
      </c>
      <c r="S160" s="822">
        <f t="shared" si="332"/>
        <v>1</v>
      </c>
      <c r="T160" s="823">
        <f t="shared" si="332"/>
        <v>1</v>
      </c>
      <c r="U160" s="823">
        <f t="shared" si="332"/>
        <v>2</v>
      </c>
      <c r="V160" s="823">
        <f t="shared" si="332"/>
        <v>0</v>
      </c>
      <c r="W160" s="824">
        <f t="shared" si="332"/>
        <v>2</v>
      </c>
      <c r="X160"/>
      <c r="Y160"/>
      <c r="Z160" s="820" t="s">
        <v>745</v>
      </c>
      <c r="AA160" s="821"/>
      <c r="AB160" s="822">
        <f t="shared" ref="AB160:AH160" si="333">AB157+AB158+AB159</f>
        <v>1</v>
      </c>
      <c r="AC160" s="822">
        <f t="shared" si="333"/>
        <v>2</v>
      </c>
      <c r="AD160" s="822">
        <f t="shared" si="333"/>
        <v>1</v>
      </c>
      <c r="AE160" s="823">
        <f t="shared" si="333"/>
        <v>3</v>
      </c>
      <c r="AF160" s="825">
        <f t="shared" si="333"/>
        <v>1</v>
      </c>
      <c r="AG160" s="822">
        <f t="shared" si="333"/>
        <v>0</v>
      </c>
      <c r="AH160" s="824">
        <f t="shared" si="333"/>
        <v>2</v>
      </c>
      <c r="AI160"/>
      <c r="AJ160"/>
      <c r="AK160"/>
      <c r="AL160" s="815" t="s">
        <v>745</v>
      </c>
      <c r="AM160" s="816"/>
      <c r="AN160" s="817">
        <f t="shared" ref="AN160:AT160" si="334">AN157+AN158+AN159</f>
        <v>2</v>
      </c>
      <c r="AO160" s="817">
        <f t="shared" si="334"/>
        <v>2</v>
      </c>
      <c r="AP160" s="817">
        <f t="shared" si="334"/>
        <v>1</v>
      </c>
      <c r="AQ160" s="817">
        <f t="shared" si="334"/>
        <v>2</v>
      </c>
      <c r="AR160" s="817">
        <f t="shared" si="334"/>
        <v>2</v>
      </c>
      <c r="AS160" s="817">
        <f t="shared" si="334"/>
        <v>0</v>
      </c>
      <c r="AT160" s="819">
        <f t="shared" si="334"/>
        <v>2</v>
      </c>
      <c r="AW160"/>
      <c r="AX160" s="815" t="s">
        <v>745</v>
      </c>
      <c r="AY160" s="813"/>
      <c r="AZ160" s="813">
        <f t="shared" ref="AZ160:BF160" si="335">AZ157+AZ158+AZ159</f>
        <v>0</v>
      </c>
      <c r="BA160" s="813">
        <f t="shared" si="335"/>
        <v>0</v>
      </c>
      <c r="BB160" s="813">
        <f t="shared" si="335"/>
        <v>0</v>
      </c>
      <c r="BC160" s="813">
        <f t="shared" si="335"/>
        <v>2</v>
      </c>
      <c r="BD160" s="813">
        <f t="shared" si="335"/>
        <v>0</v>
      </c>
      <c r="BE160" s="813">
        <f t="shared" si="335"/>
        <v>1</v>
      </c>
      <c r="BF160" s="868">
        <f t="shared" si="335"/>
        <v>1</v>
      </c>
      <c r="BG160" s="884">
        <f t="shared" ref="BG160:BH160" si="336">BG157+BG158+BG159</f>
        <v>0</v>
      </c>
      <c r="BH160" s="875">
        <f t="shared" si="336"/>
        <v>0</v>
      </c>
    </row>
    <row r="161" spans="2:60" x14ac:dyDescent="0.3">
      <c r="C161" s="808" t="s">
        <v>746</v>
      </c>
      <c r="D161" s="826"/>
      <c r="E161" s="827">
        <f t="shared" ref="E161:K161" si="337">E20</f>
        <v>7</v>
      </c>
      <c r="F161" s="827">
        <f t="shared" si="337"/>
        <v>8</v>
      </c>
      <c r="G161" s="827">
        <f t="shared" si="337"/>
        <v>10</v>
      </c>
      <c r="H161" s="827">
        <f t="shared" si="337"/>
        <v>7</v>
      </c>
      <c r="I161" s="827">
        <f t="shared" si="337"/>
        <v>8</v>
      </c>
      <c r="J161" s="827">
        <f t="shared" si="337"/>
        <v>6</v>
      </c>
      <c r="K161" s="828">
        <f t="shared" si="337"/>
        <v>9</v>
      </c>
      <c r="O161" s="808" t="s">
        <v>746</v>
      </c>
      <c r="P161" s="826"/>
      <c r="Q161" s="827">
        <f t="shared" ref="Q161:W161" si="338">Q20</f>
        <v>7</v>
      </c>
      <c r="R161" s="827">
        <f t="shared" si="338"/>
        <v>8</v>
      </c>
      <c r="S161" s="827">
        <f t="shared" si="338"/>
        <v>4</v>
      </c>
      <c r="T161" s="827">
        <f t="shared" si="338"/>
        <v>1</v>
      </c>
      <c r="U161" s="827">
        <f t="shared" si="338"/>
        <v>8</v>
      </c>
      <c r="V161" s="827">
        <f t="shared" si="338"/>
        <v>6</v>
      </c>
      <c r="W161" s="828">
        <f t="shared" si="338"/>
        <v>9</v>
      </c>
      <c r="Z161" s="808" t="s">
        <v>746</v>
      </c>
      <c r="AA161" s="826"/>
      <c r="AB161" s="827">
        <f t="shared" ref="AB161:AH161" si="339">AB20</f>
        <v>7</v>
      </c>
      <c r="AC161" s="827">
        <f t="shared" si="339"/>
        <v>8</v>
      </c>
      <c r="AD161" s="827">
        <f t="shared" si="339"/>
        <v>4</v>
      </c>
      <c r="AE161" s="827">
        <f t="shared" si="339"/>
        <v>7</v>
      </c>
      <c r="AF161" s="827">
        <f t="shared" si="339"/>
        <v>8</v>
      </c>
      <c r="AG161" s="827">
        <f t="shared" si="339"/>
        <v>6</v>
      </c>
      <c r="AH161" s="828">
        <f t="shared" si="339"/>
        <v>9</v>
      </c>
      <c r="AL161" s="808" t="s">
        <v>746</v>
      </c>
      <c r="AM161" s="826"/>
      <c r="AN161" s="827">
        <f t="shared" ref="AN161:AT161" si="340">AN20</f>
        <v>7</v>
      </c>
      <c r="AO161" s="827">
        <f t="shared" si="340"/>
        <v>8</v>
      </c>
      <c r="AP161" s="827">
        <f t="shared" si="340"/>
        <v>10</v>
      </c>
      <c r="AQ161" s="827">
        <f t="shared" si="340"/>
        <v>7</v>
      </c>
      <c r="AR161" s="827">
        <f t="shared" si="340"/>
        <v>8</v>
      </c>
      <c r="AS161" s="827">
        <f t="shared" si="340"/>
        <v>6</v>
      </c>
      <c r="AT161" s="828">
        <f t="shared" si="340"/>
        <v>9</v>
      </c>
      <c r="AX161" s="808" t="s">
        <v>746</v>
      </c>
      <c r="AY161" s="826"/>
      <c r="AZ161" s="827">
        <f t="shared" ref="AZ161:BF161" si="341">AZ20</f>
        <v>4</v>
      </c>
      <c r="BA161" s="827">
        <f t="shared" si="341"/>
        <v>4</v>
      </c>
      <c r="BB161" s="827">
        <f t="shared" si="341"/>
        <v>3</v>
      </c>
      <c r="BC161" s="827">
        <f t="shared" si="341"/>
        <v>4</v>
      </c>
      <c r="BD161" s="827">
        <f t="shared" si="341"/>
        <v>3</v>
      </c>
      <c r="BE161" s="827">
        <f t="shared" si="341"/>
        <v>3</v>
      </c>
      <c r="BF161" s="860">
        <f t="shared" si="341"/>
        <v>8</v>
      </c>
      <c r="BG161" s="885">
        <f t="shared" ref="BG161:BH161" si="342">BG20</f>
        <v>7</v>
      </c>
      <c r="BH161" s="876">
        <f t="shared" si="342"/>
        <v>6</v>
      </c>
    </row>
    <row r="162" spans="2:60" x14ac:dyDescent="0.3">
      <c r="C162" s="812" t="s">
        <v>747</v>
      </c>
      <c r="D162" s="326"/>
      <c r="E162" s="799">
        <f t="shared" ref="E162:K162" si="343">E42</f>
        <v>5</v>
      </c>
      <c r="F162" s="799">
        <f t="shared" si="343"/>
        <v>5</v>
      </c>
      <c r="G162" s="799">
        <f t="shared" si="343"/>
        <v>4</v>
      </c>
      <c r="H162" s="799">
        <f t="shared" si="343"/>
        <v>4</v>
      </c>
      <c r="I162" s="799">
        <f t="shared" si="343"/>
        <v>6</v>
      </c>
      <c r="J162" s="799">
        <f t="shared" si="343"/>
        <v>5</v>
      </c>
      <c r="K162" s="829">
        <f t="shared" si="343"/>
        <v>6</v>
      </c>
      <c r="O162" s="812" t="s">
        <v>747</v>
      </c>
      <c r="P162" s="326"/>
      <c r="Q162" s="799">
        <f t="shared" ref="Q162:W162" si="344">Q42</f>
        <v>5</v>
      </c>
      <c r="R162" s="799">
        <f t="shared" si="344"/>
        <v>5</v>
      </c>
      <c r="S162" s="799">
        <f t="shared" si="344"/>
        <v>4</v>
      </c>
      <c r="T162" s="799">
        <f t="shared" si="344"/>
        <v>4</v>
      </c>
      <c r="U162" s="799">
        <f t="shared" si="344"/>
        <v>4</v>
      </c>
      <c r="V162" s="799">
        <f t="shared" si="344"/>
        <v>3</v>
      </c>
      <c r="W162" s="829">
        <f t="shared" si="344"/>
        <v>4</v>
      </c>
      <c r="Z162" s="812" t="s">
        <v>747</v>
      </c>
      <c r="AA162" s="326"/>
      <c r="AB162" s="799">
        <f t="shared" ref="AB162:AH162" si="345">AB42</f>
        <v>5</v>
      </c>
      <c r="AC162" s="799">
        <f t="shared" si="345"/>
        <v>5</v>
      </c>
      <c r="AD162" s="799">
        <f t="shared" si="345"/>
        <v>4</v>
      </c>
      <c r="AE162" s="799">
        <f t="shared" si="345"/>
        <v>4</v>
      </c>
      <c r="AF162" s="799">
        <f t="shared" si="345"/>
        <v>4</v>
      </c>
      <c r="AG162" s="799">
        <f t="shared" si="345"/>
        <v>3</v>
      </c>
      <c r="AH162" s="829">
        <f t="shared" si="345"/>
        <v>4</v>
      </c>
      <c r="AL162" s="812" t="s">
        <v>747</v>
      </c>
      <c r="AM162" s="326"/>
      <c r="AN162" s="799">
        <f t="shared" ref="AN162:AT162" si="346">AN42</f>
        <v>5</v>
      </c>
      <c r="AO162" s="799">
        <f t="shared" si="346"/>
        <v>5</v>
      </c>
      <c r="AP162" s="799">
        <f t="shared" si="346"/>
        <v>4</v>
      </c>
      <c r="AQ162" s="799">
        <f t="shared" si="346"/>
        <v>4</v>
      </c>
      <c r="AR162" s="799">
        <f t="shared" si="346"/>
        <v>6</v>
      </c>
      <c r="AS162" s="799">
        <f t="shared" si="346"/>
        <v>5</v>
      </c>
      <c r="AT162" s="829">
        <f t="shared" si="346"/>
        <v>6</v>
      </c>
      <c r="AX162" s="812" t="s">
        <v>747</v>
      </c>
      <c r="AY162" s="326"/>
      <c r="AZ162" s="799">
        <f t="shared" ref="AZ162:BF162" si="347">AZ42</f>
        <v>3</v>
      </c>
      <c r="BA162" s="799">
        <f t="shared" si="347"/>
        <v>3</v>
      </c>
      <c r="BB162" s="799">
        <f t="shared" si="347"/>
        <v>3</v>
      </c>
      <c r="BC162" s="799">
        <f t="shared" si="347"/>
        <v>8</v>
      </c>
      <c r="BD162" s="799">
        <f t="shared" si="347"/>
        <v>8</v>
      </c>
      <c r="BE162" s="799">
        <f t="shared" si="347"/>
        <v>7</v>
      </c>
      <c r="BF162" s="869">
        <f t="shared" si="347"/>
        <v>7</v>
      </c>
      <c r="BG162" s="886">
        <f t="shared" ref="BG162:BH162" si="348">BG42</f>
        <v>7</v>
      </c>
      <c r="BH162" s="877">
        <f t="shared" si="348"/>
        <v>7</v>
      </c>
    </row>
    <row r="163" spans="2:60" ht="15" thickBot="1" x14ac:dyDescent="0.35">
      <c r="B163" s="830" t="s">
        <v>748</v>
      </c>
      <c r="C163" s="831" t="s">
        <v>749</v>
      </c>
      <c r="D163" s="832"/>
      <c r="E163" s="833">
        <f t="shared" ref="E163:K163" si="349">E65</f>
        <v>6</v>
      </c>
      <c r="F163" s="833">
        <f t="shared" si="349"/>
        <v>4</v>
      </c>
      <c r="G163" s="833">
        <f t="shared" si="349"/>
        <v>2</v>
      </c>
      <c r="H163" s="833">
        <f t="shared" si="349"/>
        <v>6</v>
      </c>
      <c r="I163" s="833">
        <f t="shared" si="349"/>
        <v>6</v>
      </c>
      <c r="J163" s="833">
        <f t="shared" si="349"/>
        <v>5</v>
      </c>
      <c r="K163" s="834">
        <f t="shared" si="349"/>
        <v>3</v>
      </c>
      <c r="N163" s="830" t="s">
        <v>748</v>
      </c>
      <c r="O163" s="831" t="s">
        <v>749</v>
      </c>
      <c r="P163" s="832"/>
      <c r="Q163" s="833">
        <f t="shared" ref="Q163:W163" si="350">Q65</f>
        <v>4</v>
      </c>
      <c r="R163" s="833">
        <f t="shared" si="350"/>
        <v>2</v>
      </c>
      <c r="S163" s="833">
        <f t="shared" si="350"/>
        <v>5</v>
      </c>
      <c r="T163" s="833">
        <f t="shared" si="350"/>
        <v>4</v>
      </c>
      <c r="U163" s="833">
        <f t="shared" si="350"/>
        <v>4</v>
      </c>
      <c r="V163" s="833">
        <f t="shared" si="350"/>
        <v>3</v>
      </c>
      <c r="W163" s="834">
        <f t="shared" si="350"/>
        <v>3</v>
      </c>
      <c r="Y163" s="830" t="s">
        <v>748</v>
      </c>
      <c r="Z163" s="831" t="s">
        <v>749</v>
      </c>
      <c r="AA163" s="832"/>
      <c r="AB163" s="833">
        <f t="shared" ref="AB163:AH163" si="351">AB65</f>
        <v>4</v>
      </c>
      <c r="AC163" s="833">
        <f t="shared" si="351"/>
        <v>2</v>
      </c>
      <c r="AD163" s="833">
        <f t="shared" si="351"/>
        <v>5</v>
      </c>
      <c r="AE163" s="833">
        <f t="shared" si="351"/>
        <v>5</v>
      </c>
      <c r="AF163" s="833">
        <f t="shared" si="351"/>
        <v>5</v>
      </c>
      <c r="AG163" s="833">
        <f t="shared" si="351"/>
        <v>4</v>
      </c>
      <c r="AH163" s="834">
        <f t="shared" si="351"/>
        <v>4</v>
      </c>
      <c r="AK163" s="830" t="s">
        <v>748</v>
      </c>
      <c r="AL163" s="831" t="s">
        <v>749</v>
      </c>
      <c r="AM163" s="832"/>
      <c r="AN163" s="833">
        <f t="shared" ref="AN163:AT163" si="352">AN65</f>
        <v>6</v>
      </c>
      <c r="AO163" s="833">
        <f t="shared" si="352"/>
        <v>4</v>
      </c>
      <c r="AP163" s="833">
        <f t="shared" si="352"/>
        <v>2</v>
      </c>
      <c r="AQ163" s="833">
        <f t="shared" si="352"/>
        <v>6</v>
      </c>
      <c r="AR163" s="833">
        <f t="shared" si="352"/>
        <v>6</v>
      </c>
      <c r="AS163" s="833">
        <f t="shared" si="352"/>
        <v>5</v>
      </c>
      <c r="AT163" s="834">
        <f t="shared" si="352"/>
        <v>3</v>
      </c>
      <c r="AW163" s="830" t="s">
        <v>748</v>
      </c>
      <c r="AX163" s="835" t="s">
        <v>749</v>
      </c>
      <c r="AY163" s="836"/>
      <c r="AZ163" s="837">
        <f t="shared" ref="AZ163:BF163" si="353">AZ65</f>
        <v>2</v>
      </c>
      <c r="BA163" s="837">
        <f t="shared" si="353"/>
        <v>2</v>
      </c>
      <c r="BB163" s="837">
        <f t="shared" si="353"/>
        <v>2</v>
      </c>
      <c r="BC163" s="837">
        <f t="shared" si="353"/>
        <v>2</v>
      </c>
      <c r="BD163" s="837">
        <f t="shared" si="353"/>
        <v>2</v>
      </c>
      <c r="BE163" s="837">
        <f t="shared" si="353"/>
        <v>6</v>
      </c>
      <c r="BF163" s="861">
        <f t="shared" si="353"/>
        <v>6</v>
      </c>
      <c r="BG163" s="887">
        <f t="shared" ref="BG163:BH163" si="354">BG65</f>
        <v>6</v>
      </c>
      <c r="BH163" s="878">
        <f t="shared" si="354"/>
        <v>6</v>
      </c>
    </row>
    <row r="164" spans="2:60" x14ac:dyDescent="0.3">
      <c r="B164">
        <f>D13</f>
        <v>4</v>
      </c>
      <c r="C164" s="808" t="s">
        <v>750</v>
      </c>
      <c r="D164" s="838"/>
      <c r="E164" s="839">
        <f>E161-$B$164</f>
        <v>3</v>
      </c>
      <c r="F164" s="839">
        <f t="shared" ref="F164:K164" si="355">F161-$B$164</f>
        <v>4</v>
      </c>
      <c r="G164" s="839">
        <f t="shared" si="355"/>
        <v>6</v>
      </c>
      <c r="H164" s="839">
        <f t="shared" si="355"/>
        <v>3</v>
      </c>
      <c r="I164" s="839">
        <f t="shared" si="355"/>
        <v>4</v>
      </c>
      <c r="J164" s="839">
        <f t="shared" si="355"/>
        <v>2</v>
      </c>
      <c r="K164" s="840">
        <f t="shared" si="355"/>
        <v>5</v>
      </c>
      <c r="N164">
        <f>P13</f>
        <v>4</v>
      </c>
      <c r="O164" s="808" t="s">
        <v>750</v>
      </c>
      <c r="P164" s="838"/>
      <c r="Q164" s="839">
        <f>Q161-$B$164</f>
        <v>3</v>
      </c>
      <c r="R164" s="839">
        <f t="shared" ref="R164:W164" si="356">R161-$B$164</f>
        <v>4</v>
      </c>
      <c r="S164" s="839">
        <f t="shared" si="356"/>
        <v>0</v>
      </c>
      <c r="T164" s="839">
        <f t="shared" si="356"/>
        <v>-3</v>
      </c>
      <c r="U164" s="839">
        <f t="shared" si="356"/>
        <v>4</v>
      </c>
      <c r="V164" s="839">
        <f t="shared" si="356"/>
        <v>2</v>
      </c>
      <c r="W164" s="840">
        <f t="shared" si="356"/>
        <v>5</v>
      </c>
      <c r="Y164">
        <f>AA13</f>
        <v>4</v>
      </c>
      <c r="Z164" s="808" t="s">
        <v>750</v>
      </c>
      <c r="AA164" s="838"/>
      <c r="AB164" s="839">
        <f>AB161-$B$164</f>
        <v>3</v>
      </c>
      <c r="AC164" s="839">
        <f t="shared" ref="AC164:AH164" si="357">AC161-$B$164</f>
        <v>4</v>
      </c>
      <c r="AD164" s="839">
        <f t="shared" si="357"/>
        <v>0</v>
      </c>
      <c r="AE164" s="839">
        <f t="shared" si="357"/>
        <v>3</v>
      </c>
      <c r="AF164" s="839">
        <f t="shared" si="357"/>
        <v>4</v>
      </c>
      <c r="AG164" s="839">
        <f t="shared" si="357"/>
        <v>2</v>
      </c>
      <c r="AH164" s="840">
        <f t="shared" si="357"/>
        <v>5</v>
      </c>
      <c r="AK164">
        <f>AM13</f>
        <v>4</v>
      </c>
      <c r="AL164" s="808" t="s">
        <v>750</v>
      </c>
      <c r="AM164" s="838"/>
      <c r="AN164" s="839">
        <f>AN161-$B$164</f>
        <v>3</v>
      </c>
      <c r="AO164" s="839">
        <f t="shared" ref="AO164:AT164" si="358">AO161-$B$164</f>
        <v>4</v>
      </c>
      <c r="AP164" s="839">
        <f t="shared" si="358"/>
        <v>6</v>
      </c>
      <c r="AQ164" s="839">
        <f t="shared" si="358"/>
        <v>3</v>
      </c>
      <c r="AR164" s="839">
        <f t="shared" si="358"/>
        <v>4</v>
      </c>
      <c r="AS164" s="839">
        <f t="shared" si="358"/>
        <v>2</v>
      </c>
      <c r="AT164" s="840">
        <f t="shared" si="358"/>
        <v>5</v>
      </c>
      <c r="AW164">
        <f>AY13</f>
        <v>3</v>
      </c>
      <c r="AX164" s="841" t="s">
        <v>750</v>
      </c>
      <c r="AY164" s="842"/>
      <c r="AZ164" s="839">
        <f>AZ161-$AW$164</f>
        <v>1</v>
      </c>
      <c r="BA164" s="839">
        <f t="shared" ref="BA164:BF164" si="359">BA161-$AW$164</f>
        <v>1</v>
      </c>
      <c r="BB164" s="839">
        <f t="shared" si="359"/>
        <v>0</v>
      </c>
      <c r="BC164" s="839">
        <f t="shared" si="359"/>
        <v>1</v>
      </c>
      <c r="BD164" s="839">
        <f t="shared" si="359"/>
        <v>0</v>
      </c>
      <c r="BE164" s="839">
        <f t="shared" si="359"/>
        <v>0</v>
      </c>
      <c r="BF164" s="862">
        <f t="shared" si="359"/>
        <v>5</v>
      </c>
      <c r="BG164" s="839">
        <f t="shared" ref="BG164:BH164" si="360">BG161-$AW$164</f>
        <v>4</v>
      </c>
      <c r="BH164" s="879">
        <f t="shared" si="360"/>
        <v>3</v>
      </c>
    </row>
    <row r="165" spans="2:60" x14ac:dyDescent="0.3">
      <c r="B165">
        <f>D35</f>
        <v>3</v>
      </c>
      <c r="C165" s="812" t="s">
        <v>751</v>
      </c>
      <c r="D165" s="843"/>
      <c r="E165" s="844">
        <f>E162-$B$165</f>
        <v>2</v>
      </c>
      <c r="F165" s="844">
        <f t="shared" ref="F165:K165" si="361">F162-$B$165</f>
        <v>2</v>
      </c>
      <c r="G165" s="844">
        <f t="shared" si="361"/>
        <v>1</v>
      </c>
      <c r="H165" s="844">
        <f t="shared" si="361"/>
        <v>1</v>
      </c>
      <c r="I165" s="844">
        <f t="shared" si="361"/>
        <v>3</v>
      </c>
      <c r="J165" s="844">
        <f t="shared" si="361"/>
        <v>2</v>
      </c>
      <c r="K165" s="845">
        <f t="shared" si="361"/>
        <v>3</v>
      </c>
      <c r="N165">
        <f>P35</f>
        <v>3</v>
      </c>
      <c r="O165" s="812" t="s">
        <v>751</v>
      </c>
      <c r="P165" s="843"/>
      <c r="Q165" s="844">
        <f>Q162-$B$165</f>
        <v>2</v>
      </c>
      <c r="R165" s="844">
        <f t="shared" ref="R165:W165" si="362">R162-$B$165</f>
        <v>2</v>
      </c>
      <c r="S165" s="844">
        <f t="shared" si="362"/>
        <v>1</v>
      </c>
      <c r="T165" s="844">
        <f t="shared" si="362"/>
        <v>1</v>
      </c>
      <c r="U165" s="844">
        <f t="shared" si="362"/>
        <v>1</v>
      </c>
      <c r="V165" s="844">
        <f t="shared" si="362"/>
        <v>0</v>
      </c>
      <c r="W165" s="845">
        <f t="shared" si="362"/>
        <v>1</v>
      </c>
      <c r="Y165">
        <f>AA35</f>
        <v>3</v>
      </c>
      <c r="Z165" s="812" t="s">
        <v>751</v>
      </c>
      <c r="AA165" s="843"/>
      <c r="AB165" s="844">
        <f>AB162-$B$165</f>
        <v>2</v>
      </c>
      <c r="AC165" s="844">
        <f t="shared" ref="AC165:AH165" si="363">AC162-$B$165</f>
        <v>2</v>
      </c>
      <c r="AD165" s="844">
        <f t="shared" si="363"/>
        <v>1</v>
      </c>
      <c r="AE165" s="844">
        <f t="shared" si="363"/>
        <v>1</v>
      </c>
      <c r="AF165" s="844">
        <f t="shared" si="363"/>
        <v>1</v>
      </c>
      <c r="AG165" s="844">
        <f t="shared" si="363"/>
        <v>0</v>
      </c>
      <c r="AH165" s="845">
        <f t="shared" si="363"/>
        <v>1</v>
      </c>
      <c r="AK165">
        <f>AM35</f>
        <v>3</v>
      </c>
      <c r="AL165" s="812" t="s">
        <v>751</v>
      </c>
      <c r="AM165" s="843"/>
      <c r="AN165" s="844">
        <f>AN162-$B$165</f>
        <v>2</v>
      </c>
      <c r="AO165" s="844">
        <f t="shared" ref="AO165:AT165" si="364">AO162-$B$165</f>
        <v>2</v>
      </c>
      <c r="AP165" s="844">
        <f t="shared" si="364"/>
        <v>1</v>
      </c>
      <c r="AQ165" s="844">
        <f t="shared" si="364"/>
        <v>1</v>
      </c>
      <c r="AR165" s="844">
        <f t="shared" si="364"/>
        <v>3</v>
      </c>
      <c r="AS165" s="844">
        <f t="shared" si="364"/>
        <v>2</v>
      </c>
      <c r="AT165" s="845">
        <f t="shared" si="364"/>
        <v>3</v>
      </c>
      <c r="AW165">
        <f>AY35</f>
        <v>3</v>
      </c>
      <c r="AX165" s="846" t="s">
        <v>751</v>
      </c>
      <c r="AY165" s="847"/>
      <c r="AZ165" s="844">
        <f>AZ162-$AW$165</f>
        <v>0</v>
      </c>
      <c r="BA165" s="844">
        <f t="shared" ref="BA165:BF165" si="365">BA162-$AW$165</f>
        <v>0</v>
      </c>
      <c r="BB165" s="844">
        <f t="shared" si="365"/>
        <v>0</v>
      </c>
      <c r="BC165" s="844">
        <f t="shared" si="365"/>
        <v>5</v>
      </c>
      <c r="BD165" s="844">
        <f t="shared" si="365"/>
        <v>5</v>
      </c>
      <c r="BE165" s="844">
        <f t="shared" si="365"/>
        <v>4</v>
      </c>
      <c r="BF165" s="863">
        <f t="shared" si="365"/>
        <v>4</v>
      </c>
      <c r="BG165" s="844">
        <f t="shared" ref="BG165:BH165" si="366">BG162-$AW$165</f>
        <v>4</v>
      </c>
      <c r="BH165" s="880">
        <f t="shared" si="366"/>
        <v>4</v>
      </c>
    </row>
    <row r="166" spans="2:60" ht="15" thickBot="1" x14ac:dyDescent="0.35">
      <c r="B166">
        <f>D58</f>
        <v>2</v>
      </c>
      <c r="C166" s="831" t="s">
        <v>752</v>
      </c>
      <c r="D166" s="848"/>
      <c r="E166" s="849">
        <f>E163-$B$166</f>
        <v>4</v>
      </c>
      <c r="F166" s="849">
        <f t="shared" ref="F166:K166" si="367">F163-$B$166</f>
        <v>2</v>
      </c>
      <c r="G166" s="849">
        <f t="shared" si="367"/>
        <v>0</v>
      </c>
      <c r="H166" s="849">
        <f t="shared" si="367"/>
        <v>4</v>
      </c>
      <c r="I166" s="849">
        <f t="shared" si="367"/>
        <v>4</v>
      </c>
      <c r="J166" s="849">
        <f t="shared" si="367"/>
        <v>3</v>
      </c>
      <c r="K166" s="850">
        <f t="shared" si="367"/>
        <v>1</v>
      </c>
      <c r="N166">
        <f>P58</f>
        <v>2</v>
      </c>
      <c r="O166" s="831" t="s">
        <v>752</v>
      </c>
      <c r="P166" s="848"/>
      <c r="Q166" s="849">
        <f>Q163-$B$166</f>
        <v>2</v>
      </c>
      <c r="R166" s="849">
        <f t="shared" ref="R166:W166" si="368">R163-$B$166</f>
        <v>0</v>
      </c>
      <c r="S166" s="849">
        <f t="shared" si="368"/>
        <v>3</v>
      </c>
      <c r="T166" s="849">
        <f t="shared" si="368"/>
        <v>2</v>
      </c>
      <c r="U166" s="849">
        <f t="shared" si="368"/>
        <v>2</v>
      </c>
      <c r="V166" s="849">
        <f t="shared" si="368"/>
        <v>1</v>
      </c>
      <c r="W166" s="850">
        <f t="shared" si="368"/>
        <v>1</v>
      </c>
      <c r="Y166">
        <f>AA58</f>
        <v>2</v>
      </c>
      <c r="Z166" s="831" t="s">
        <v>752</v>
      </c>
      <c r="AA166" s="848"/>
      <c r="AB166" s="849">
        <f>AB163-$B$166</f>
        <v>2</v>
      </c>
      <c r="AC166" s="849">
        <f t="shared" ref="AC166:AH166" si="369">AC163-$B$166</f>
        <v>0</v>
      </c>
      <c r="AD166" s="849">
        <f t="shared" si="369"/>
        <v>3</v>
      </c>
      <c r="AE166" s="849">
        <f t="shared" si="369"/>
        <v>3</v>
      </c>
      <c r="AF166" s="849">
        <f t="shared" si="369"/>
        <v>3</v>
      </c>
      <c r="AG166" s="849">
        <f t="shared" si="369"/>
        <v>2</v>
      </c>
      <c r="AH166" s="850">
        <f t="shared" si="369"/>
        <v>2</v>
      </c>
      <c r="AK166">
        <f>AM58</f>
        <v>2</v>
      </c>
      <c r="AL166" s="831" t="s">
        <v>752</v>
      </c>
      <c r="AM166" s="848"/>
      <c r="AN166" s="849">
        <f>AN163-$B$166</f>
        <v>4</v>
      </c>
      <c r="AO166" s="849">
        <f t="shared" ref="AO166:AT166" si="370">AO163-$B$166</f>
        <v>2</v>
      </c>
      <c r="AP166" s="849">
        <f t="shared" si="370"/>
        <v>0</v>
      </c>
      <c r="AQ166" s="849">
        <f t="shared" si="370"/>
        <v>4</v>
      </c>
      <c r="AR166" s="849">
        <f t="shared" si="370"/>
        <v>4</v>
      </c>
      <c r="AS166" s="849">
        <f t="shared" si="370"/>
        <v>3</v>
      </c>
      <c r="AT166" s="850">
        <f t="shared" si="370"/>
        <v>1</v>
      </c>
      <c r="AW166">
        <f>AY58</f>
        <v>2</v>
      </c>
      <c r="AX166" s="851" t="s">
        <v>752</v>
      </c>
      <c r="AY166" s="852"/>
      <c r="AZ166" s="849">
        <f>AZ163-$AW$166</f>
        <v>0</v>
      </c>
      <c r="BA166" s="849">
        <f t="shared" ref="BA166:BF166" si="371">BA163-$AW$166</f>
        <v>0</v>
      </c>
      <c r="BB166" s="849">
        <f t="shared" si="371"/>
        <v>0</v>
      </c>
      <c r="BC166" s="849">
        <f t="shared" si="371"/>
        <v>0</v>
      </c>
      <c r="BD166" s="849">
        <f t="shared" si="371"/>
        <v>0</v>
      </c>
      <c r="BE166" s="849">
        <f t="shared" si="371"/>
        <v>4</v>
      </c>
      <c r="BF166" s="864">
        <f t="shared" si="371"/>
        <v>4</v>
      </c>
      <c r="BG166" s="849">
        <f t="shared" ref="BG166:BH166" si="372">BG163-$AW$166</f>
        <v>4</v>
      </c>
      <c r="BH166" s="881">
        <f t="shared" si="372"/>
        <v>4</v>
      </c>
    </row>
    <row r="167" spans="2:60" x14ac:dyDescent="0.3">
      <c r="G167" s="774" t="s">
        <v>753</v>
      </c>
      <c r="S167" s="774" t="s">
        <v>753</v>
      </c>
      <c r="AD167" s="774" t="s">
        <v>753</v>
      </c>
      <c r="AP167" s="774" t="s">
        <v>753</v>
      </c>
      <c r="BB167" s="774" t="s">
        <v>753</v>
      </c>
    </row>
    <row r="169" spans="2:60" x14ac:dyDescent="0.3">
      <c r="N169" t="s">
        <v>754</v>
      </c>
      <c r="O169" t="s">
        <v>755</v>
      </c>
      <c r="Y169" t="s">
        <v>754</v>
      </c>
      <c r="Z169" t="s">
        <v>755</v>
      </c>
    </row>
    <row r="170" spans="2:60" x14ac:dyDescent="0.3">
      <c r="B170">
        <v>41</v>
      </c>
      <c r="C170">
        <v>41</v>
      </c>
      <c r="N170">
        <v>21</v>
      </c>
      <c r="O170">
        <v>21</v>
      </c>
      <c r="Y170">
        <v>21</v>
      </c>
      <c r="Z170">
        <v>21</v>
      </c>
      <c r="AK170">
        <v>41</v>
      </c>
      <c r="AL170">
        <v>41</v>
      </c>
      <c r="AW170">
        <v>41</v>
      </c>
      <c r="AX170">
        <v>41</v>
      </c>
    </row>
    <row r="171" spans="2:60" x14ac:dyDescent="0.3">
      <c r="B171">
        <v>31</v>
      </c>
      <c r="C171">
        <v>31</v>
      </c>
      <c r="N171">
        <v>11</v>
      </c>
      <c r="O171">
        <v>11</v>
      </c>
      <c r="Y171">
        <v>11</v>
      </c>
      <c r="Z171">
        <v>11</v>
      </c>
      <c r="AK171">
        <v>31</v>
      </c>
      <c r="AL171">
        <v>31</v>
      </c>
      <c r="AW171">
        <v>31</v>
      </c>
      <c r="AX171">
        <v>31</v>
      </c>
    </row>
    <row r="172" spans="2:60" x14ac:dyDescent="0.3">
      <c r="B172">
        <v>31</v>
      </c>
      <c r="C172">
        <v>25</v>
      </c>
      <c r="N172">
        <v>6</v>
      </c>
      <c r="O172">
        <v>6</v>
      </c>
      <c r="Y172">
        <v>6</v>
      </c>
      <c r="Z172">
        <v>6</v>
      </c>
      <c r="AK172">
        <v>31</v>
      </c>
      <c r="AL172">
        <v>25</v>
      </c>
      <c r="AW172">
        <v>31</v>
      </c>
      <c r="AX172">
        <v>25</v>
      </c>
    </row>
    <row r="173" spans="2:60" x14ac:dyDescent="0.3">
      <c r="B173">
        <v>16</v>
      </c>
      <c r="C173">
        <v>16</v>
      </c>
      <c r="N173">
        <v>-4</v>
      </c>
      <c r="O173" s="302">
        <v>2</v>
      </c>
      <c r="Y173">
        <v>-4</v>
      </c>
      <c r="Z173" s="302">
        <v>2</v>
      </c>
      <c r="AK173">
        <v>16</v>
      </c>
      <c r="AL173">
        <v>16</v>
      </c>
      <c r="AW173">
        <v>16</v>
      </c>
      <c r="AX173">
        <v>16</v>
      </c>
    </row>
    <row r="174" spans="2:60" x14ac:dyDescent="0.3">
      <c r="B174">
        <v>6</v>
      </c>
      <c r="C174">
        <v>6</v>
      </c>
      <c r="N174">
        <v>56</v>
      </c>
      <c r="O174">
        <v>56</v>
      </c>
      <c r="Y174">
        <v>56</v>
      </c>
      <c r="Z174">
        <v>56</v>
      </c>
      <c r="AK174">
        <v>6</v>
      </c>
      <c r="AL174">
        <v>6</v>
      </c>
      <c r="AW174">
        <v>6</v>
      </c>
      <c r="AX174">
        <v>6</v>
      </c>
    </row>
    <row r="175" spans="2:60" x14ac:dyDescent="0.3">
      <c r="B175">
        <v>76</v>
      </c>
      <c r="C175">
        <v>76</v>
      </c>
      <c r="N175">
        <v>56</v>
      </c>
      <c r="O175">
        <v>56</v>
      </c>
      <c r="Y175">
        <v>56</v>
      </c>
      <c r="Z175">
        <v>56</v>
      </c>
      <c r="AK175">
        <v>76</v>
      </c>
      <c r="AL175">
        <v>76</v>
      </c>
      <c r="AW175">
        <v>76</v>
      </c>
      <c r="AX175">
        <v>76</v>
      </c>
    </row>
    <row r="176" spans="2:60" x14ac:dyDescent="0.3">
      <c r="B176">
        <v>66</v>
      </c>
      <c r="C176">
        <v>66</v>
      </c>
      <c r="N176">
        <v>41</v>
      </c>
      <c r="O176">
        <v>41</v>
      </c>
      <c r="Y176">
        <v>41</v>
      </c>
      <c r="Z176">
        <v>41</v>
      </c>
      <c r="AK176">
        <v>66</v>
      </c>
      <c r="AL176">
        <v>66</v>
      </c>
      <c r="AW176">
        <v>66</v>
      </c>
      <c r="AX176">
        <v>66</v>
      </c>
    </row>
    <row r="177" spans="2:60" x14ac:dyDescent="0.3">
      <c r="E177" s="774">
        <f>E157</f>
        <v>0</v>
      </c>
      <c r="F177" s="774">
        <f t="shared" ref="F177:K177" si="373">F157</f>
        <v>1</v>
      </c>
      <c r="G177" s="774">
        <f t="shared" si="373"/>
        <v>1</v>
      </c>
      <c r="H177" s="774">
        <f t="shared" si="373"/>
        <v>0</v>
      </c>
      <c r="I177" s="774">
        <f t="shared" si="373"/>
        <v>1</v>
      </c>
      <c r="J177" s="774">
        <f t="shared" si="373"/>
        <v>0</v>
      </c>
      <c r="K177" s="774">
        <f t="shared" si="373"/>
        <v>1</v>
      </c>
      <c r="O177" s="853"/>
      <c r="Q177" s="774">
        <f>Q157</f>
        <v>0</v>
      </c>
      <c r="R177" s="774">
        <f t="shared" ref="R177:W177" si="374">R157</f>
        <v>1</v>
      </c>
      <c r="S177" s="774">
        <f t="shared" si="374"/>
        <v>0</v>
      </c>
      <c r="T177" s="774">
        <f t="shared" si="374"/>
        <v>0</v>
      </c>
      <c r="U177" s="774">
        <f t="shared" si="374"/>
        <v>2</v>
      </c>
      <c r="V177" s="774">
        <f t="shared" si="374"/>
        <v>0</v>
      </c>
      <c r="W177" s="774">
        <f t="shared" si="374"/>
        <v>1</v>
      </c>
      <c r="Z177" s="853"/>
      <c r="AB177" s="774">
        <f>AB157</f>
        <v>0</v>
      </c>
      <c r="AC177" s="774">
        <f t="shared" ref="AC177:AH177" si="375">AC157</f>
        <v>1</v>
      </c>
      <c r="AD177" s="774">
        <f t="shared" si="375"/>
        <v>0</v>
      </c>
      <c r="AE177" s="774">
        <f t="shared" si="375"/>
        <v>1</v>
      </c>
      <c r="AF177" s="774">
        <f t="shared" si="375"/>
        <v>1</v>
      </c>
      <c r="AG177" s="774">
        <f t="shared" si="375"/>
        <v>0</v>
      </c>
      <c r="AH177" s="774">
        <f t="shared" si="375"/>
        <v>1</v>
      </c>
      <c r="AN177" s="774">
        <f>AN157</f>
        <v>0</v>
      </c>
      <c r="AO177" s="774">
        <f t="shared" ref="AO177:AT177" si="376">AO157</f>
        <v>1</v>
      </c>
      <c r="AP177" s="774">
        <f t="shared" si="376"/>
        <v>1</v>
      </c>
      <c r="AQ177" s="774">
        <f t="shared" si="376"/>
        <v>0</v>
      </c>
      <c r="AR177" s="774">
        <f t="shared" si="376"/>
        <v>1</v>
      </c>
      <c r="AS177" s="774">
        <f t="shared" si="376"/>
        <v>0</v>
      </c>
      <c r="AT177" s="774">
        <f t="shared" si="376"/>
        <v>1</v>
      </c>
      <c r="AZ177" s="774">
        <f>AZ157</f>
        <v>0</v>
      </c>
      <c r="BA177" s="774">
        <f t="shared" ref="BA177:BF177" si="377">BA157</f>
        <v>0</v>
      </c>
      <c r="BB177" s="774">
        <f t="shared" si="377"/>
        <v>0</v>
      </c>
      <c r="BC177" s="774">
        <f t="shared" si="377"/>
        <v>1</v>
      </c>
      <c r="BD177" s="774">
        <f t="shared" si="377"/>
        <v>0</v>
      </c>
      <c r="BE177" s="774">
        <f t="shared" si="377"/>
        <v>0</v>
      </c>
      <c r="BF177" s="774">
        <f t="shared" si="377"/>
        <v>1</v>
      </c>
      <c r="BG177" s="778">
        <f t="shared" ref="BG177:BH177" si="378">BG157</f>
        <v>0</v>
      </c>
      <c r="BH177" s="778">
        <f t="shared" si="378"/>
        <v>0</v>
      </c>
    </row>
    <row r="178" spans="2:60" x14ac:dyDescent="0.3">
      <c r="E178" s="774">
        <f t="shared" ref="E178:K179" si="379">IF(E158&gt;0, E177+E158,0)</f>
        <v>1</v>
      </c>
      <c r="F178" s="774">
        <f t="shared" si="379"/>
        <v>2</v>
      </c>
      <c r="G178" s="774">
        <f t="shared" si="379"/>
        <v>0</v>
      </c>
      <c r="H178" s="774">
        <f t="shared" si="379"/>
        <v>1</v>
      </c>
      <c r="I178" s="774">
        <f t="shared" si="379"/>
        <v>2</v>
      </c>
      <c r="J178" s="774">
        <f t="shared" si="379"/>
        <v>0</v>
      </c>
      <c r="K178" s="774">
        <f t="shared" si="379"/>
        <v>2</v>
      </c>
      <c r="Q178" s="774">
        <f t="shared" ref="Q178:W179" si="380">IF(Q158&gt;0, Q177+Q158,0)</f>
        <v>1</v>
      </c>
      <c r="R178" s="774">
        <f t="shared" si="380"/>
        <v>2</v>
      </c>
      <c r="S178" s="774">
        <f t="shared" si="380"/>
        <v>0</v>
      </c>
      <c r="T178" s="774">
        <f t="shared" si="380"/>
        <v>1</v>
      </c>
      <c r="U178" s="774">
        <f t="shared" si="380"/>
        <v>0</v>
      </c>
      <c r="V178" s="774">
        <f t="shared" si="380"/>
        <v>0</v>
      </c>
      <c r="W178" s="774">
        <f t="shared" si="380"/>
        <v>2</v>
      </c>
      <c r="AB178" s="774">
        <f t="shared" ref="AB178:AH179" si="381">IF(AB158&gt;0, AB177+AB158,0)</f>
        <v>1</v>
      </c>
      <c r="AC178" s="774">
        <f t="shared" si="381"/>
        <v>2</v>
      </c>
      <c r="AD178" s="774">
        <f t="shared" si="381"/>
        <v>0</v>
      </c>
      <c r="AE178" s="774">
        <f t="shared" si="381"/>
        <v>2</v>
      </c>
      <c r="AF178" s="774">
        <f t="shared" si="381"/>
        <v>0</v>
      </c>
      <c r="AG178" s="774">
        <f t="shared" si="381"/>
        <v>0</v>
      </c>
      <c r="AH178" s="774">
        <f t="shared" si="381"/>
        <v>2</v>
      </c>
      <c r="AN178" s="774">
        <f t="shared" ref="AN178:AT179" si="382">IF(AN158&gt;0, AN177+AN158,0)</f>
        <v>1</v>
      </c>
      <c r="AO178" s="774">
        <f t="shared" si="382"/>
        <v>2</v>
      </c>
      <c r="AP178" s="774">
        <f t="shared" si="382"/>
        <v>0</v>
      </c>
      <c r="AQ178" s="774">
        <f t="shared" si="382"/>
        <v>1</v>
      </c>
      <c r="AR178" s="774">
        <f t="shared" si="382"/>
        <v>2</v>
      </c>
      <c r="AS178" s="774">
        <f t="shared" si="382"/>
        <v>0</v>
      </c>
      <c r="AT178" s="774">
        <f t="shared" si="382"/>
        <v>2</v>
      </c>
      <c r="AZ178" s="774">
        <f t="shared" ref="AZ178:BF179" si="383">IF(AZ158&gt;0, AZ177+AZ158,0)</f>
        <v>0</v>
      </c>
      <c r="BA178" s="774">
        <f t="shared" si="383"/>
        <v>0</v>
      </c>
      <c r="BB178" s="774">
        <f t="shared" si="383"/>
        <v>0</v>
      </c>
      <c r="BC178" s="774">
        <f t="shared" si="383"/>
        <v>2</v>
      </c>
      <c r="BD178" s="774">
        <f t="shared" si="383"/>
        <v>0</v>
      </c>
      <c r="BE178" s="774">
        <f t="shared" si="383"/>
        <v>0</v>
      </c>
      <c r="BF178" s="774">
        <f t="shared" si="383"/>
        <v>0</v>
      </c>
      <c r="BG178" s="778">
        <f t="shared" ref="BG178:BH178" si="384">IF(BG158&gt;0, BG177+BG158,0)</f>
        <v>0</v>
      </c>
      <c r="BH178" s="778">
        <f t="shared" si="384"/>
        <v>0</v>
      </c>
    </row>
    <row r="179" spans="2:60" x14ac:dyDescent="0.3">
      <c r="E179" s="774">
        <f t="shared" si="379"/>
        <v>2</v>
      </c>
      <c r="F179" s="774">
        <f t="shared" si="379"/>
        <v>0</v>
      </c>
      <c r="G179" s="774">
        <f t="shared" si="379"/>
        <v>0</v>
      </c>
      <c r="H179" s="774">
        <f>IF(H159&gt;0, H178+H159,0)</f>
        <v>2</v>
      </c>
      <c r="I179" s="774">
        <f t="shared" si="379"/>
        <v>0</v>
      </c>
      <c r="J179" s="774">
        <f t="shared" si="379"/>
        <v>0</v>
      </c>
      <c r="K179" s="774">
        <f t="shared" si="379"/>
        <v>0</v>
      </c>
      <c r="Q179" s="774">
        <f t="shared" si="380"/>
        <v>0</v>
      </c>
      <c r="R179" s="774">
        <f t="shared" si="380"/>
        <v>0</v>
      </c>
      <c r="S179" s="774">
        <f t="shared" si="380"/>
        <v>1</v>
      </c>
      <c r="T179" s="774">
        <f>IF(T159&gt;0, T178+T159,0)</f>
        <v>0</v>
      </c>
      <c r="U179" s="774">
        <f t="shared" si="380"/>
        <v>0</v>
      </c>
      <c r="V179" s="774">
        <f t="shared" si="380"/>
        <v>0</v>
      </c>
      <c r="W179" s="774">
        <f t="shared" si="380"/>
        <v>0</v>
      </c>
      <c r="AB179" s="774">
        <f t="shared" si="381"/>
        <v>0</v>
      </c>
      <c r="AC179" s="774">
        <f t="shared" si="381"/>
        <v>0</v>
      </c>
      <c r="AD179" s="774">
        <f t="shared" si="381"/>
        <v>1</v>
      </c>
      <c r="AE179" s="774">
        <f>IF(AE159&gt;0, AE178+AE159,0)</f>
        <v>3</v>
      </c>
      <c r="AF179" s="774">
        <f t="shared" si="381"/>
        <v>0</v>
      </c>
      <c r="AG179" s="774">
        <f t="shared" si="381"/>
        <v>0</v>
      </c>
      <c r="AH179" s="774">
        <f t="shared" si="381"/>
        <v>0</v>
      </c>
      <c r="AN179" s="774">
        <f t="shared" si="382"/>
        <v>2</v>
      </c>
      <c r="AO179" s="774">
        <f t="shared" si="382"/>
        <v>0</v>
      </c>
      <c r="AP179" s="774">
        <f t="shared" si="382"/>
        <v>0</v>
      </c>
      <c r="AQ179" s="774">
        <f>IF(AQ159&gt;0, AQ178+AQ159,0)</f>
        <v>2</v>
      </c>
      <c r="AR179" s="774">
        <f t="shared" si="382"/>
        <v>0</v>
      </c>
      <c r="AS179" s="774">
        <f t="shared" si="382"/>
        <v>0</v>
      </c>
      <c r="AT179" s="774">
        <f t="shared" si="382"/>
        <v>0</v>
      </c>
      <c r="AZ179" s="774">
        <f t="shared" si="383"/>
        <v>0</v>
      </c>
      <c r="BA179" s="774">
        <f t="shared" si="383"/>
        <v>0</v>
      </c>
      <c r="BB179" s="774">
        <f t="shared" si="383"/>
        <v>0</v>
      </c>
      <c r="BC179" s="774">
        <f>IF(BC159&gt;0, BC178+BC159,0)</f>
        <v>0</v>
      </c>
      <c r="BD179" s="774">
        <f t="shared" si="383"/>
        <v>0</v>
      </c>
      <c r="BE179" s="774">
        <f t="shared" si="383"/>
        <v>1</v>
      </c>
      <c r="BF179" s="774">
        <f t="shared" si="383"/>
        <v>0</v>
      </c>
      <c r="BG179" s="778">
        <f t="shared" ref="BG179:BH179" si="385">IF(BG159&gt;0, BG178+BG159,0)</f>
        <v>0</v>
      </c>
      <c r="BH179" s="778">
        <f t="shared" si="385"/>
        <v>0</v>
      </c>
    </row>
    <row r="180" spans="2:60" x14ac:dyDescent="0.3">
      <c r="N180" s="26" t="s">
        <v>756</v>
      </c>
      <c r="O180" t="s">
        <v>757</v>
      </c>
      <c r="Y180" s="26" t="s">
        <v>758</v>
      </c>
      <c r="Z180" t="s">
        <v>757</v>
      </c>
    </row>
    <row r="181" spans="2:60" x14ac:dyDescent="0.3">
      <c r="B181" s="26" t="s">
        <v>759</v>
      </c>
      <c r="N181" s="20" t="s">
        <v>760</v>
      </c>
      <c r="X181" s="26"/>
      <c r="Y181" s="20" t="s">
        <v>761</v>
      </c>
      <c r="AI181" s="26"/>
      <c r="AK181" s="26" t="s">
        <v>762</v>
      </c>
      <c r="AW181" s="26" t="s">
        <v>763</v>
      </c>
    </row>
    <row r="182" spans="2:60" x14ac:dyDescent="0.3">
      <c r="B182" s="20" t="s">
        <v>764</v>
      </c>
      <c r="N182" t="s">
        <v>765</v>
      </c>
      <c r="Y182" t="s">
        <v>765</v>
      </c>
      <c r="AK182" s="20" t="s">
        <v>766</v>
      </c>
      <c r="AW182" s="20" t="s">
        <v>767</v>
      </c>
    </row>
    <row r="183" spans="2:60" ht="15" thickBot="1" x14ac:dyDescent="0.35">
      <c r="B183" t="s">
        <v>768</v>
      </c>
      <c r="N183" t="s">
        <v>769</v>
      </c>
      <c r="Y183" t="s">
        <v>769</v>
      </c>
      <c r="AK183" t="s">
        <v>770</v>
      </c>
      <c r="AW183" t="s">
        <v>770</v>
      </c>
    </row>
    <row r="184" spans="2:60" ht="15" thickBot="1" x14ac:dyDescent="0.35">
      <c r="B184" t="s">
        <v>792</v>
      </c>
      <c r="C184" t="s">
        <v>772</v>
      </c>
      <c r="E184" s="955" t="s">
        <v>319</v>
      </c>
      <c r="F184" s="956"/>
      <c r="G184" s="956"/>
      <c r="H184" s="956"/>
      <c r="I184" s="956"/>
      <c r="J184" s="956"/>
      <c r="K184" s="957"/>
      <c r="N184" t="s">
        <v>773</v>
      </c>
      <c r="O184" t="s">
        <v>772</v>
      </c>
      <c r="Q184" s="955" t="s">
        <v>319</v>
      </c>
      <c r="R184" s="956"/>
      <c r="S184" s="956"/>
      <c r="T184" s="956"/>
      <c r="U184" s="956"/>
      <c r="V184" s="956"/>
      <c r="W184" s="957"/>
      <c r="Y184" t="s">
        <v>773</v>
      </c>
      <c r="Z184" t="s">
        <v>772</v>
      </c>
      <c r="AB184" s="955" t="s">
        <v>319</v>
      </c>
      <c r="AC184" s="956"/>
      <c r="AD184" s="956"/>
      <c r="AE184" s="956"/>
      <c r="AF184" s="956"/>
      <c r="AG184" s="956"/>
      <c r="AH184" s="957"/>
      <c r="AK184" t="s">
        <v>771</v>
      </c>
      <c r="AL184" t="s">
        <v>772</v>
      </c>
      <c r="AN184" s="955" t="s">
        <v>319</v>
      </c>
      <c r="AO184" s="956"/>
      <c r="AP184" s="956"/>
      <c r="AQ184" s="956"/>
      <c r="AR184" s="956"/>
      <c r="AS184" s="956"/>
      <c r="AT184" s="957"/>
      <c r="AW184" t="s">
        <v>771</v>
      </c>
      <c r="AX184" t="s">
        <v>772</v>
      </c>
      <c r="AZ184" s="955" t="s">
        <v>319</v>
      </c>
      <c r="BA184" s="956"/>
      <c r="BB184" s="956"/>
      <c r="BC184" s="956"/>
      <c r="BD184" s="956"/>
      <c r="BE184" s="956"/>
      <c r="BF184" s="957"/>
      <c r="BG184"/>
      <c r="BH184"/>
    </row>
    <row r="185" spans="2:60" x14ac:dyDescent="0.3">
      <c r="B185" t="s">
        <v>793</v>
      </c>
      <c r="E185" s="555" t="s">
        <v>49</v>
      </c>
      <c r="F185" s="558" t="s">
        <v>50</v>
      </c>
      <c r="G185" s="558" t="s">
        <v>51</v>
      </c>
      <c r="H185" s="558" t="s">
        <v>308</v>
      </c>
      <c r="I185" s="558" t="s">
        <v>309</v>
      </c>
      <c r="J185" s="558" t="s">
        <v>310</v>
      </c>
      <c r="K185" s="557" t="s">
        <v>311</v>
      </c>
      <c r="N185" t="s">
        <v>774</v>
      </c>
      <c r="Q185" s="555" t="s">
        <v>49</v>
      </c>
      <c r="R185" s="558" t="s">
        <v>50</v>
      </c>
      <c r="S185" s="558" t="s">
        <v>51</v>
      </c>
      <c r="T185" s="558" t="s">
        <v>308</v>
      </c>
      <c r="U185" s="558" t="s">
        <v>309</v>
      </c>
      <c r="V185" s="558" t="s">
        <v>310</v>
      </c>
      <c r="W185" s="557" t="s">
        <v>311</v>
      </c>
      <c r="Y185" t="s">
        <v>774</v>
      </c>
      <c r="AB185" s="555" t="s">
        <v>49</v>
      </c>
      <c r="AC185" s="558" t="s">
        <v>50</v>
      </c>
      <c r="AD185" s="558" t="s">
        <v>51</v>
      </c>
      <c r="AE185" s="558" t="s">
        <v>308</v>
      </c>
      <c r="AF185" s="558" t="s">
        <v>309</v>
      </c>
      <c r="AG185" s="558" t="s">
        <v>310</v>
      </c>
      <c r="AH185" s="557" t="s">
        <v>311</v>
      </c>
      <c r="AN185" s="555" t="s">
        <v>49</v>
      </c>
      <c r="AO185" s="558" t="s">
        <v>50</v>
      </c>
      <c r="AP185" s="558" t="s">
        <v>51</v>
      </c>
      <c r="AQ185" s="558" t="s">
        <v>308</v>
      </c>
      <c r="AR185" s="558" t="s">
        <v>309</v>
      </c>
      <c r="AS185" s="558" t="s">
        <v>310</v>
      </c>
      <c r="AT185" s="557" t="s">
        <v>311</v>
      </c>
      <c r="AZ185" s="555" t="s">
        <v>49</v>
      </c>
      <c r="BA185" s="558" t="s">
        <v>50</v>
      </c>
      <c r="BB185" s="558" t="s">
        <v>51</v>
      </c>
      <c r="BC185" s="558" t="s">
        <v>308</v>
      </c>
      <c r="BD185" s="558" t="s">
        <v>309</v>
      </c>
      <c r="BE185" s="558" t="s">
        <v>310</v>
      </c>
      <c r="BF185" s="557" t="s">
        <v>311</v>
      </c>
      <c r="BG185" s="557" t="s">
        <v>311</v>
      </c>
      <c r="BH185" s="557" t="s">
        <v>311</v>
      </c>
    </row>
    <row r="186" spans="2:60" x14ac:dyDescent="0.3">
      <c r="B186" t="s">
        <v>794</v>
      </c>
      <c r="C186" s="499" t="s">
        <v>628</v>
      </c>
      <c r="E186" s="774">
        <f>IF(E177=0,0,IF(E177=1,"TRUCK 1",IF(E177=2,"TRUCK 2","Unavailable")))</f>
        <v>0</v>
      </c>
      <c r="F186" s="774" t="str">
        <f t="shared" ref="F186:K186" si="386">IF(F177=0,0,IF(F177=1,"TRUCK 1",IF(F177=2,"TRUCK 2","Unavailable")))</f>
        <v>TRUCK 1</v>
      </c>
      <c r="G186" s="774" t="str">
        <f t="shared" si="386"/>
        <v>TRUCK 1</v>
      </c>
      <c r="H186" s="774">
        <f t="shared" si="386"/>
        <v>0</v>
      </c>
      <c r="I186" s="774" t="str">
        <f t="shared" si="386"/>
        <v>TRUCK 1</v>
      </c>
      <c r="J186" s="774">
        <f t="shared" si="386"/>
        <v>0</v>
      </c>
      <c r="K186" s="774" t="str">
        <f t="shared" si="386"/>
        <v>TRUCK 1</v>
      </c>
      <c r="N186" t="s">
        <v>775</v>
      </c>
      <c r="O186" s="499" t="s">
        <v>628</v>
      </c>
      <c r="Q186" s="774">
        <f>IF(Q177=0,0,IF(Q177=1,"TRUCK 1",IF(Q177=2,"TRUCK 2","Unavailable")))</f>
        <v>0</v>
      </c>
      <c r="R186" s="774" t="str">
        <f t="shared" ref="R186:W186" si="387">IF(R177=0,0,IF(R177=1,"TRUCK 1",IF(R177=2,"TRUCK 2","Unavailable")))</f>
        <v>TRUCK 1</v>
      </c>
      <c r="S186" s="774">
        <f t="shared" si="387"/>
        <v>0</v>
      </c>
      <c r="T186" s="774">
        <f t="shared" si="387"/>
        <v>0</v>
      </c>
      <c r="U186" s="774" t="str">
        <f t="shared" si="387"/>
        <v>TRUCK 2</v>
      </c>
      <c r="V186" s="774">
        <f t="shared" si="387"/>
        <v>0</v>
      </c>
      <c r="W186" s="774" t="str">
        <f t="shared" si="387"/>
        <v>TRUCK 1</v>
      </c>
      <c r="Y186" t="s">
        <v>775</v>
      </c>
      <c r="Z186" s="499" t="s">
        <v>628</v>
      </c>
      <c r="AB186" s="774">
        <f>IF(AB177=0,0,IF(AB177=1,"TRUCK 1",IF(AB177=2,"TRUCK 2","Unavailable")))</f>
        <v>0</v>
      </c>
      <c r="AC186" s="774" t="str">
        <f t="shared" ref="AC186:AH186" si="388">IF(AC177=0,0,IF(AC177=1,"TRUCK 1",IF(AC177=2,"TRUCK 2","Unavailable")))</f>
        <v>TRUCK 1</v>
      </c>
      <c r="AD186" s="774">
        <f t="shared" si="388"/>
        <v>0</v>
      </c>
      <c r="AE186" s="774" t="str">
        <f t="shared" si="388"/>
        <v>TRUCK 1</v>
      </c>
      <c r="AF186" s="774" t="str">
        <f t="shared" si="388"/>
        <v>TRUCK 1</v>
      </c>
      <c r="AG186" s="774">
        <f t="shared" si="388"/>
        <v>0</v>
      </c>
      <c r="AH186" s="774" t="str">
        <f t="shared" si="388"/>
        <v>TRUCK 1</v>
      </c>
      <c r="AL186" s="499" t="s">
        <v>628</v>
      </c>
      <c r="AN186" s="774">
        <f>IF(AN177=0,0,IF(AN177=1,"TRUCK 1",IF(AN177=2,"TRUCK 2","Unavailable")))</f>
        <v>0</v>
      </c>
      <c r="AO186" s="774" t="str">
        <f t="shared" ref="AO186:AT186" si="389">IF(AO177=0,0,IF(AO177=1,"TRUCK 1",IF(AO177=2,"TRUCK 2","Unavailable")))</f>
        <v>TRUCK 1</v>
      </c>
      <c r="AP186" s="774" t="str">
        <f t="shared" si="389"/>
        <v>TRUCK 1</v>
      </c>
      <c r="AQ186" s="774">
        <f t="shared" si="389"/>
        <v>0</v>
      </c>
      <c r="AR186" s="774" t="str">
        <f t="shared" si="389"/>
        <v>TRUCK 1</v>
      </c>
      <c r="AS186" s="774">
        <f t="shared" si="389"/>
        <v>0</v>
      </c>
      <c r="AT186" s="774" t="str">
        <f t="shared" si="389"/>
        <v>TRUCK 1</v>
      </c>
      <c r="AX186" s="499" t="s">
        <v>628</v>
      </c>
      <c r="AZ186" s="774">
        <f>IF(AZ177=0,0,IF(AZ177=1,"TRUCK 1",IF(AZ177=2,"TRUCK 2","Unavailable")))</f>
        <v>0</v>
      </c>
      <c r="BA186" s="774">
        <f t="shared" ref="BA186:BF186" si="390">IF(BA177=0,0,IF(BA177=1,"TRUCK 1",IF(BA177=2,"TRUCK 2","Unavailable")))</f>
        <v>0</v>
      </c>
      <c r="BB186" s="774">
        <f t="shared" si="390"/>
        <v>0</v>
      </c>
      <c r="BC186" s="774" t="str">
        <f t="shared" si="390"/>
        <v>TRUCK 1</v>
      </c>
      <c r="BD186" s="774">
        <f t="shared" si="390"/>
        <v>0</v>
      </c>
      <c r="BE186" s="774">
        <f t="shared" si="390"/>
        <v>0</v>
      </c>
      <c r="BF186" s="774" t="str">
        <f t="shared" si="390"/>
        <v>TRUCK 1</v>
      </c>
      <c r="BG186" s="778">
        <f t="shared" ref="BG186:BH186" si="391">IF(BG177=0,0,IF(BG177=1,"TRUCK 1",IF(BG177=2,"TRUCK 2","Unavailable")))</f>
        <v>0</v>
      </c>
      <c r="BH186" s="778">
        <f t="shared" si="391"/>
        <v>0</v>
      </c>
    </row>
    <row r="187" spans="2:60" x14ac:dyDescent="0.3">
      <c r="B187" t="s">
        <v>795</v>
      </c>
      <c r="C187" s="499" t="s">
        <v>633</v>
      </c>
      <c r="E187" s="774" t="str">
        <f t="shared" ref="E187:K188" si="392">IF(E178=0,0,IF(E178=1,"TRUCK 1",IF(E178=2,"TRUCK 2","Unavailable")))</f>
        <v>TRUCK 1</v>
      </c>
      <c r="F187" s="774" t="str">
        <f t="shared" si="392"/>
        <v>TRUCK 2</v>
      </c>
      <c r="G187" s="774">
        <f t="shared" si="392"/>
        <v>0</v>
      </c>
      <c r="H187" s="774" t="str">
        <f t="shared" si="392"/>
        <v>TRUCK 1</v>
      </c>
      <c r="I187" s="774" t="str">
        <f t="shared" si="392"/>
        <v>TRUCK 2</v>
      </c>
      <c r="J187" s="774">
        <f t="shared" si="392"/>
        <v>0</v>
      </c>
      <c r="K187" s="774" t="str">
        <f t="shared" si="392"/>
        <v>TRUCK 2</v>
      </c>
      <c r="N187" t="s">
        <v>776</v>
      </c>
      <c r="O187" s="499" t="s">
        <v>633</v>
      </c>
      <c r="Q187" s="774" t="str">
        <f t="shared" ref="Q187:W188" si="393">IF(Q178=0,0,IF(Q178=1,"TRUCK 1",IF(Q178=2,"TRUCK 2","Unavailable")))</f>
        <v>TRUCK 1</v>
      </c>
      <c r="R187" s="774" t="str">
        <f t="shared" si="393"/>
        <v>TRUCK 2</v>
      </c>
      <c r="S187" s="774">
        <f t="shared" si="393"/>
        <v>0</v>
      </c>
      <c r="T187" s="774" t="str">
        <f t="shared" si="393"/>
        <v>TRUCK 1</v>
      </c>
      <c r="U187" s="774">
        <f t="shared" si="393"/>
        <v>0</v>
      </c>
      <c r="V187" s="774">
        <f t="shared" si="393"/>
        <v>0</v>
      </c>
      <c r="W187" s="774" t="str">
        <f t="shared" si="393"/>
        <v>TRUCK 2</v>
      </c>
      <c r="Y187" t="s">
        <v>776</v>
      </c>
      <c r="Z187" s="499" t="s">
        <v>633</v>
      </c>
      <c r="AB187" s="774" t="str">
        <f t="shared" ref="AB187:AH188" si="394">IF(AB178=0,0,IF(AB178=1,"TRUCK 1",IF(AB178=2,"TRUCK 2","Unavailable")))</f>
        <v>TRUCK 1</v>
      </c>
      <c r="AC187" s="774" t="str">
        <f t="shared" si="394"/>
        <v>TRUCK 2</v>
      </c>
      <c r="AD187" s="774">
        <f t="shared" si="394"/>
        <v>0</v>
      </c>
      <c r="AE187" s="774" t="str">
        <f t="shared" si="394"/>
        <v>TRUCK 2</v>
      </c>
      <c r="AF187" s="774">
        <f t="shared" si="394"/>
        <v>0</v>
      </c>
      <c r="AG187" s="774">
        <f t="shared" si="394"/>
        <v>0</v>
      </c>
      <c r="AH187" s="774" t="str">
        <f t="shared" si="394"/>
        <v>TRUCK 2</v>
      </c>
      <c r="AL187" s="499" t="s">
        <v>633</v>
      </c>
      <c r="AN187" s="774" t="str">
        <f t="shared" ref="AN187:AT188" si="395">IF(AN178=0,0,IF(AN178=1,"TRUCK 1",IF(AN178=2,"TRUCK 2","Unavailable")))</f>
        <v>TRUCK 1</v>
      </c>
      <c r="AO187" s="774" t="str">
        <f t="shared" si="395"/>
        <v>TRUCK 2</v>
      </c>
      <c r="AP187" s="774">
        <f t="shared" si="395"/>
        <v>0</v>
      </c>
      <c r="AQ187" s="774" t="str">
        <f t="shared" si="395"/>
        <v>TRUCK 1</v>
      </c>
      <c r="AR187" s="774" t="str">
        <f t="shared" si="395"/>
        <v>TRUCK 2</v>
      </c>
      <c r="AS187" s="774">
        <f t="shared" si="395"/>
        <v>0</v>
      </c>
      <c r="AT187" s="774" t="str">
        <f t="shared" si="395"/>
        <v>TRUCK 2</v>
      </c>
      <c r="AX187" s="499" t="s">
        <v>633</v>
      </c>
      <c r="AZ187" s="774">
        <f t="shared" ref="AZ187:BF188" si="396">IF(AZ178=0,0,IF(AZ178=1,"TRUCK 1",IF(AZ178=2,"TRUCK 2","Unavailable")))</f>
        <v>0</v>
      </c>
      <c r="BA187" s="774">
        <f t="shared" si="396"/>
        <v>0</v>
      </c>
      <c r="BB187" s="774">
        <f t="shared" si="396"/>
        <v>0</v>
      </c>
      <c r="BC187" s="774" t="str">
        <f t="shared" si="396"/>
        <v>TRUCK 2</v>
      </c>
      <c r="BD187" s="774">
        <f t="shared" si="396"/>
        <v>0</v>
      </c>
      <c r="BE187" s="774">
        <f t="shared" si="396"/>
        <v>0</v>
      </c>
      <c r="BF187" s="774">
        <f t="shared" si="396"/>
        <v>0</v>
      </c>
      <c r="BG187" s="778">
        <f t="shared" ref="BG187:BH187" si="397">IF(BG178=0,0,IF(BG178=1,"TRUCK 1",IF(BG178=2,"TRUCK 2","Unavailable")))</f>
        <v>0</v>
      </c>
      <c r="BH187" s="778">
        <f t="shared" si="397"/>
        <v>0</v>
      </c>
    </row>
    <row r="188" spans="2:60" x14ac:dyDescent="0.3">
      <c r="B188" t="s">
        <v>796</v>
      </c>
      <c r="C188" s="499" t="s">
        <v>634</v>
      </c>
      <c r="E188" s="774" t="str">
        <f t="shared" si="392"/>
        <v>TRUCK 2</v>
      </c>
      <c r="F188" s="774">
        <f t="shared" si="392"/>
        <v>0</v>
      </c>
      <c r="G188" s="774">
        <f t="shared" si="392"/>
        <v>0</v>
      </c>
      <c r="H188" s="774" t="str">
        <f t="shared" si="392"/>
        <v>TRUCK 2</v>
      </c>
      <c r="I188" s="774">
        <f t="shared" si="392"/>
        <v>0</v>
      </c>
      <c r="J188" s="774">
        <f t="shared" si="392"/>
        <v>0</v>
      </c>
      <c r="K188" s="774">
        <f t="shared" si="392"/>
        <v>0</v>
      </c>
      <c r="N188" t="s">
        <v>777</v>
      </c>
      <c r="O188" s="499" t="s">
        <v>634</v>
      </c>
      <c r="Q188" s="774">
        <f t="shared" si="393"/>
        <v>0</v>
      </c>
      <c r="R188" s="774">
        <f t="shared" si="393"/>
        <v>0</v>
      </c>
      <c r="S188" s="774" t="str">
        <f t="shared" si="393"/>
        <v>TRUCK 1</v>
      </c>
      <c r="T188" s="774">
        <f t="shared" si="393"/>
        <v>0</v>
      </c>
      <c r="U188" s="774">
        <f t="shared" si="393"/>
        <v>0</v>
      </c>
      <c r="V188" s="774">
        <f t="shared" si="393"/>
        <v>0</v>
      </c>
      <c r="W188" s="774">
        <f t="shared" si="393"/>
        <v>0</v>
      </c>
      <c r="Y188" t="s">
        <v>777</v>
      </c>
      <c r="Z188" s="499" t="s">
        <v>634</v>
      </c>
      <c r="AB188" s="774">
        <f t="shared" si="394"/>
        <v>0</v>
      </c>
      <c r="AC188" s="774">
        <f t="shared" si="394"/>
        <v>0</v>
      </c>
      <c r="AD188" s="774" t="str">
        <f t="shared" si="394"/>
        <v>TRUCK 1</v>
      </c>
      <c r="AE188" s="774" t="str">
        <f t="shared" si="394"/>
        <v>Unavailable</v>
      </c>
      <c r="AF188" s="774">
        <f t="shared" si="394"/>
        <v>0</v>
      </c>
      <c r="AG188" s="774">
        <f t="shared" si="394"/>
        <v>0</v>
      </c>
      <c r="AH188" s="774">
        <f t="shared" si="394"/>
        <v>0</v>
      </c>
      <c r="AL188" s="499" t="s">
        <v>634</v>
      </c>
      <c r="AN188" s="774" t="str">
        <f t="shared" si="395"/>
        <v>TRUCK 2</v>
      </c>
      <c r="AO188" s="774">
        <f t="shared" si="395"/>
        <v>0</v>
      </c>
      <c r="AP188" s="774">
        <f t="shared" si="395"/>
        <v>0</v>
      </c>
      <c r="AQ188" s="774" t="str">
        <f t="shared" si="395"/>
        <v>TRUCK 2</v>
      </c>
      <c r="AR188" s="774">
        <f t="shared" si="395"/>
        <v>0</v>
      </c>
      <c r="AS188" s="774">
        <f t="shared" si="395"/>
        <v>0</v>
      </c>
      <c r="AT188" s="774">
        <f t="shared" si="395"/>
        <v>0</v>
      </c>
      <c r="AX188" s="499" t="s">
        <v>634</v>
      </c>
      <c r="AZ188" s="774">
        <f t="shared" si="396"/>
        <v>0</v>
      </c>
      <c r="BA188" s="774">
        <f t="shared" si="396"/>
        <v>0</v>
      </c>
      <c r="BB188" s="774">
        <f t="shared" si="396"/>
        <v>0</v>
      </c>
      <c r="BC188" s="774">
        <f t="shared" si="396"/>
        <v>0</v>
      </c>
      <c r="BD188" s="774">
        <f t="shared" si="396"/>
        <v>0</v>
      </c>
      <c r="BE188" s="774" t="str">
        <f t="shared" si="396"/>
        <v>TRUCK 1</v>
      </c>
      <c r="BF188" s="774">
        <f t="shared" si="396"/>
        <v>0</v>
      </c>
      <c r="BG188" s="778">
        <f t="shared" ref="BG188:BH188" si="398">IF(BG179=0,0,IF(BG179=1,"TRUCK 1",IF(BG179=2,"TRUCK 2","Unavailable")))</f>
        <v>0</v>
      </c>
      <c r="BH188" s="778">
        <f t="shared" si="398"/>
        <v>0</v>
      </c>
    </row>
    <row r="189" spans="2:60" x14ac:dyDescent="0.3">
      <c r="B189" t="s">
        <v>797</v>
      </c>
      <c r="N189" t="s">
        <v>778</v>
      </c>
      <c r="Y189" t="s">
        <v>778</v>
      </c>
    </row>
    <row r="190" spans="2:60" x14ac:dyDescent="0.3">
      <c r="B190" t="s">
        <v>798</v>
      </c>
      <c r="C190" s="854" t="s">
        <v>779</v>
      </c>
      <c r="E190" s="774" t="s">
        <v>319</v>
      </c>
      <c r="N190" s="19" t="s">
        <v>780</v>
      </c>
      <c r="O190" s="854" t="s">
        <v>779</v>
      </c>
      <c r="Q190" s="774" t="s">
        <v>319</v>
      </c>
      <c r="Y190" s="19" t="s">
        <v>780</v>
      </c>
      <c r="Z190" s="854" t="s">
        <v>779</v>
      </c>
      <c r="AB190" s="774" t="s">
        <v>319</v>
      </c>
      <c r="AL190" s="854" t="s">
        <v>779</v>
      </c>
      <c r="AN190" s="774" t="s">
        <v>319</v>
      </c>
      <c r="AX190" s="854" t="s">
        <v>779</v>
      </c>
      <c r="AZ190" s="774" t="s">
        <v>319</v>
      </c>
    </row>
    <row r="191" spans="2:60" x14ac:dyDescent="0.3">
      <c r="B191" t="s">
        <v>799</v>
      </c>
      <c r="E191" s="774" t="s">
        <v>49</v>
      </c>
      <c r="F191" s="774" t="s">
        <v>50</v>
      </c>
      <c r="G191" s="774" t="s">
        <v>51</v>
      </c>
      <c r="H191" s="774" t="s">
        <v>308</v>
      </c>
      <c r="I191" s="774" t="s">
        <v>309</v>
      </c>
      <c r="J191" s="774" t="s">
        <v>310</v>
      </c>
      <c r="K191" s="774" t="s">
        <v>311</v>
      </c>
      <c r="N191" s="19" t="s">
        <v>781</v>
      </c>
      <c r="Q191" s="774" t="s">
        <v>49</v>
      </c>
      <c r="R191" s="774" t="s">
        <v>50</v>
      </c>
      <c r="S191" s="774" t="s">
        <v>51</v>
      </c>
      <c r="T191" s="774" t="s">
        <v>308</v>
      </c>
      <c r="U191" s="774" t="s">
        <v>309</v>
      </c>
      <c r="V191" s="774" t="s">
        <v>310</v>
      </c>
      <c r="W191" s="774" t="s">
        <v>311</v>
      </c>
      <c r="Y191" s="19" t="s">
        <v>781</v>
      </c>
      <c r="AB191" s="774" t="s">
        <v>49</v>
      </c>
      <c r="AC191" s="774" t="s">
        <v>50</v>
      </c>
      <c r="AD191" s="774" t="s">
        <v>51</v>
      </c>
      <c r="AE191" s="774" t="s">
        <v>308</v>
      </c>
      <c r="AF191" s="774" t="s">
        <v>309</v>
      </c>
      <c r="AG191" s="774" t="s">
        <v>310</v>
      </c>
      <c r="AH191" s="774" t="s">
        <v>311</v>
      </c>
      <c r="AN191" s="774" t="s">
        <v>49</v>
      </c>
      <c r="AO191" s="774" t="s">
        <v>50</v>
      </c>
      <c r="AP191" s="774" t="s">
        <v>51</v>
      </c>
      <c r="AQ191" s="774" t="s">
        <v>308</v>
      </c>
      <c r="AR191" s="774" t="s">
        <v>309</v>
      </c>
      <c r="AS191" s="774" t="s">
        <v>310</v>
      </c>
      <c r="AT191" s="774" t="s">
        <v>311</v>
      </c>
      <c r="AZ191" s="774" t="s">
        <v>49</v>
      </c>
      <c r="BA191" s="774" t="s">
        <v>50</v>
      </c>
      <c r="BB191" s="774" t="s">
        <v>51</v>
      </c>
      <c r="BC191" s="774" t="s">
        <v>308</v>
      </c>
      <c r="BD191" s="774" t="s">
        <v>309</v>
      </c>
      <c r="BE191" s="774" t="s">
        <v>310</v>
      </c>
      <c r="BF191" s="774" t="s">
        <v>311</v>
      </c>
      <c r="BG191" s="778" t="s">
        <v>311</v>
      </c>
      <c r="BH191" s="778" t="s">
        <v>311</v>
      </c>
    </row>
    <row r="192" spans="2:60" x14ac:dyDescent="0.3">
      <c r="B192" t="s">
        <v>800</v>
      </c>
      <c r="C192" t="s">
        <v>628</v>
      </c>
      <c r="E192" s="774">
        <v>0</v>
      </c>
      <c r="F192" s="774" t="s">
        <v>782</v>
      </c>
      <c r="G192" s="774">
        <v>0</v>
      </c>
      <c r="H192" s="774" t="s">
        <v>782</v>
      </c>
      <c r="I192" s="774" t="s">
        <v>782</v>
      </c>
      <c r="J192" s="774">
        <v>0</v>
      </c>
      <c r="K192" s="774" t="s">
        <v>782</v>
      </c>
      <c r="N192" t="s">
        <v>783</v>
      </c>
      <c r="O192" t="s">
        <v>628</v>
      </c>
      <c r="Q192" s="774">
        <v>0</v>
      </c>
      <c r="R192" s="774" t="s">
        <v>782</v>
      </c>
      <c r="S192" s="774">
        <v>0</v>
      </c>
      <c r="T192" s="774" t="s">
        <v>782</v>
      </c>
      <c r="U192" s="774" t="s">
        <v>782</v>
      </c>
      <c r="V192" s="774">
        <v>0</v>
      </c>
      <c r="W192" s="774" t="s">
        <v>782</v>
      </c>
      <c r="Y192" t="s">
        <v>783</v>
      </c>
      <c r="Z192" t="s">
        <v>628</v>
      </c>
      <c r="AB192" s="774">
        <v>0</v>
      </c>
      <c r="AC192" s="774" t="s">
        <v>782</v>
      </c>
      <c r="AD192" s="774">
        <v>0</v>
      </c>
      <c r="AE192" s="774" t="s">
        <v>782</v>
      </c>
      <c r="AF192" s="774" t="s">
        <v>782</v>
      </c>
      <c r="AG192" s="774">
        <v>0</v>
      </c>
      <c r="AH192" s="774" t="s">
        <v>782</v>
      </c>
      <c r="AL192" t="s">
        <v>628</v>
      </c>
      <c r="AN192" s="774">
        <v>0</v>
      </c>
      <c r="AO192" s="774" t="s">
        <v>782</v>
      </c>
      <c r="AP192" s="774">
        <v>0</v>
      </c>
      <c r="AQ192" s="774" t="s">
        <v>782</v>
      </c>
      <c r="AR192" s="774" t="s">
        <v>782</v>
      </c>
      <c r="AS192" s="774">
        <v>0</v>
      </c>
      <c r="AT192" s="774" t="s">
        <v>782</v>
      </c>
      <c r="AX192" t="s">
        <v>628</v>
      </c>
      <c r="AZ192" s="774">
        <v>0</v>
      </c>
      <c r="BA192" s="774" t="s">
        <v>782</v>
      </c>
      <c r="BB192" s="774">
        <v>0</v>
      </c>
      <c r="BC192" s="774" t="s">
        <v>782</v>
      </c>
      <c r="BD192" s="774" t="s">
        <v>782</v>
      </c>
      <c r="BE192" s="774">
        <v>0</v>
      </c>
      <c r="BF192" s="774" t="s">
        <v>782</v>
      </c>
      <c r="BG192" s="778" t="s">
        <v>782</v>
      </c>
      <c r="BH192" s="778" t="s">
        <v>782</v>
      </c>
    </row>
    <row r="193" spans="2:60" x14ac:dyDescent="0.3">
      <c r="B193" t="s">
        <v>801</v>
      </c>
      <c r="C193" t="s">
        <v>633</v>
      </c>
      <c r="E193" s="774" t="s">
        <v>782</v>
      </c>
      <c r="F193" s="774" t="s">
        <v>784</v>
      </c>
      <c r="G193" s="774">
        <v>0</v>
      </c>
      <c r="H193" s="774" t="s">
        <v>784</v>
      </c>
      <c r="I193" s="774" t="s">
        <v>784</v>
      </c>
      <c r="J193" s="774">
        <v>0</v>
      </c>
      <c r="K193" s="774" t="s">
        <v>784</v>
      </c>
      <c r="N193" t="s">
        <v>785</v>
      </c>
      <c r="O193" t="s">
        <v>633</v>
      </c>
      <c r="Q193" s="774" t="s">
        <v>782</v>
      </c>
      <c r="R193" s="774" t="s">
        <v>784</v>
      </c>
      <c r="S193" s="774">
        <v>0</v>
      </c>
      <c r="T193" s="774" t="s">
        <v>784</v>
      </c>
      <c r="U193" s="774">
        <v>0</v>
      </c>
      <c r="V193" s="774">
        <v>0</v>
      </c>
      <c r="W193" s="774" t="s">
        <v>784</v>
      </c>
      <c r="Y193" t="s">
        <v>785</v>
      </c>
      <c r="Z193" t="s">
        <v>633</v>
      </c>
      <c r="AB193" s="774" t="s">
        <v>782</v>
      </c>
      <c r="AC193" s="774" t="s">
        <v>784</v>
      </c>
      <c r="AD193" s="774">
        <v>0</v>
      </c>
      <c r="AE193" s="774" t="s">
        <v>784</v>
      </c>
      <c r="AF193" s="774" t="s">
        <v>784</v>
      </c>
      <c r="AG193" s="774">
        <v>0</v>
      </c>
      <c r="AH193" s="774" t="s">
        <v>784</v>
      </c>
      <c r="AL193" t="s">
        <v>633</v>
      </c>
      <c r="AN193" s="774" t="s">
        <v>782</v>
      </c>
      <c r="AO193" s="774" t="s">
        <v>784</v>
      </c>
      <c r="AP193" s="774">
        <v>0</v>
      </c>
      <c r="AQ193" s="774" t="s">
        <v>784</v>
      </c>
      <c r="AR193" s="774" t="s">
        <v>784</v>
      </c>
      <c r="AS193" s="774">
        <v>0</v>
      </c>
      <c r="AT193" s="774" t="s">
        <v>784</v>
      </c>
      <c r="AX193" t="s">
        <v>633</v>
      </c>
      <c r="AZ193" s="774" t="s">
        <v>782</v>
      </c>
      <c r="BA193" s="774" t="s">
        <v>784</v>
      </c>
      <c r="BB193" s="774">
        <v>0</v>
      </c>
      <c r="BC193" s="774" t="s">
        <v>784</v>
      </c>
      <c r="BD193" s="774" t="s">
        <v>784</v>
      </c>
      <c r="BE193" s="774">
        <v>0</v>
      </c>
      <c r="BF193" s="774" t="s">
        <v>784</v>
      </c>
      <c r="BG193" s="778" t="s">
        <v>784</v>
      </c>
      <c r="BH193" s="778" t="s">
        <v>784</v>
      </c>
    </row>
    <row r="194" spans="2:60" x14ac:dyDescent="0.3">
      <c r="C194" t="s">
        <v>634</v>
      </c>
      <c r="E194" s="774" t="s">
        <v>784</v>
      </c>
      <c r="F194" s="774">
        <v>0</v>
      </c>
      <c r="G194" s="774">
        <v>0</v>
      </c>
      <c r="H194" s="855" t="s">
        <v>786</v>
      </c>
      <c r="I194" s="774">
        <v>0</v>
      </c>
      <c r="J194" s="774">
        <v>0</v>
      </c>
      <c r="K194" s="774">
        <v>0</v>
      </c>
      <c r="N194" t="s">
        <v>787</v>
      </c>
      <c r="O194" t="s">
        <v>634</v>
      </c>
      <c r="Q194" s="774">
        <v>0</v>
      </c>
      <c r="R194" s="774">
        <v>0</v>
      </c>
      <c r="S194" s="774" t="s">
        <v>782</v>
      </c>
      <c r="T194" s="774">
        <v>0</v>
      </c>
      <c r="U194" s="774">
        <v>0</v>
      </c>
      <c r="V194" s="774">
        <v>0</v>
      </c>
      <c r="W194" s="774">
        <v>0</v>
      </c>
      <c r="Y194" t="s">
        <v>787</v>
      </c>
      <c r="Z194" t="s">
        <v>634</v>
      </c>
      <c r="AB194" s="774">
        <v>0</v>
      </c>
      <c r="AC194" s="774">
        <v>0</v>
      </c>
      <c r="AD194" s="774" t="s">
        <v>782</v>
      </c>
      <c r="AE194" s="774">
        <v>0</v>
      </c>
      <c r="AF194" s="774">
        <v>0</v>
      </c>
      <c r="AG194" s="774">
        <v>0</v>
      </c>
      <c r="AH194" s="774">
        <v>0</v>
      </c>
      <c r="AL194" t="s">
        <v>634</v>
      </c>
      <c r="AN194" s="774" t="s">
        <v>784</v>
      </c>
      <c r="AO194" s="774">
        <v>0</v>
      </c>
      <c r="AP194" s="774">
        <v>0</v>
      </c>
      <c r="AQ194" s="855" t="s">
        <v>786</v>
      </c>
      <c r="AR194" s="774">
        <v>0</v>
      </c>
      <c r="AS194" s="774">
        <v>0</v>
      </c>
      <c r="AT194" s="774">
        <v>0</v>
      </c>
      <c r="AX194" t="s">
        <v>634</v>
      </c>
      <c r="AZ194" s="774" t="s">
        <v>784</v>
      </c>
      <c r="BA194" s="774">
        <v>0</v>
      </c>
      <c r="BB194" s="774">
        <v>0</v>
      </c>
      <c r="BC194" s="855" t="s">
        <v>786</v>
      </c>
      <c r="BD194" s="774">
        <v>0</v>
      </c>
      <c r="BE194" s="774">
        <v>0</v>
      </c>
      <c r="BF194" s="774">
        <v>0</v>
      </c>
      <c r="BG194" s="778">
        <v>0</v>
      </c>
      <c r="BH194" s="778">
        <v>0</v>
      </c>
    </row>
    <row r="195" spans="2:60" x14ac:dyDescent="0.3">
      <c r="N195" t="s">
        <v>804</v>
      </c>
      <c r="O195" t="s">
        <v>649</v>
      </c>
      <c r="P195">
        <v>25</v>
      </c>
      <c r="Q195" s="774">
        <v>21</v>
      </c>
      <c r="R195" s="774">
        <v>11</v>
      </c>
      <c r="S195" s="774">
        <v>6</v>
      </c>
      <c r="T195" s="855">
        <v>-4</v>
      </c>
      <c r="U195" s="774">
        <v>60</v>
      </c>
      <c r="V195" s="774">
        <v>60</v>
      </c>
      <c r="W195" s="774">
        <v>50</v>
      </c>
      <c r="Y195" t="s">
        <v>804</v>
      </c>
      <c r="Z195" t="s">
        <v>649</v>
      </c>
      <c r="AA195">
        <v>25</v>
      </c>
      <c r="AB195" s="774">
        <v>21</v>
      </c>
      <c r="AC195" s="774">
        <v>11</v>
      </c>
      <c r="AD195" s="774">
        <v>6</v>
      </c>
      <c r="AE195" s="855">
        <v>-4</v>
      </c>
      <c r="AF195" s="774">
        <v>56</v>
      </c>
      <c r="AG195" s="774">
        <v>56</v>
      </c>
      <c r="AH195" s="774">
        <v>46</v>
      </c>
    </row>
    <row r="196" spans="2:60" x14ac:dyDescent="0.3">
      <c r="N196" t="s">
        <v>788</v>
      </c>
      <c r="Y196" t="s">
        <v>803</v>
      </c>
    </row>
    <row r="197" spans="2:60" x14ac:dyDescent="0.3">
      <c r="N197" t="s">
        <v>802</v>
      </c>
      <c r="Y197" t="s">
        <v>805</v>
      </c>
    </row>
    <row r="198" spans="2:60" x14ac:dyDescent="0.3">
      <c r="C198" s="854" t="s">
        <v>789</v>
      </c>
      <c r="E198" s="774" t="s">
        <v>319</v>
      </c>
      <c r="O198" s="854" t="s">
        <v>790</v>
      </c>
      <c r="Q198" s="774" t="s">
        <v>319</v>
      </c>
      <c r="Y198" t="s">
        <v>806</v>
      </c>
      <c r="Z198" s="854" t="s">
        <v>790</v>
      </c>
      <c r="AB198" s="774" t="s">
        <v>319</v>
      </c>
      <c r="AL198" s="854" t="s">
        <v>789</v>
      </c>
      <c r="AN198" s="774" t="s">
        <v>319</v>
      </c>
      <c r="AX198" s="854" t="s">
        <v>789</v>
      </c>
      <c r="AZ198" s="774" t="s">
        <v>319</v>
      </c>
    </row>
    <row r="199" spans="2:60" x14ac:dyDescent="0.3">
      <c r="E199" s="774" t="s">
        <v>49</v>
      </c>
      <c r="F199" s="774" t="s">
        <v>50</v>
      </c>
      <c r="G199" s="774" t="s">
        <v>51</v>
      </c>
      <c r="H199" s="774" t="s">
        <v>308</v>
      </c>
      <c r="I199" s="774" t="s">
        <v>309</v>
      </c>
      <c r="J199" s="774" t="s">
        <v>310</v>
      </c>
      <c r="K199" s="774" t="s">
        <v>311</v>
      </c>
      <c r="Q199" s="774" t="s">
        <v>49</v>
      </c>
      <c r="R199" s="774" t="s">
        <v>50</v>
      </c>
      <c r="S199" s="774" t="s">
        <v>51</v>
      </c>
      <c r="T199" s="774" t="s">
        <v>308</v>
      </c>
      <c r="U199" s="774" t="s">
        <v>309</v>
      </c>
      <c r="V199" s="774" t="s">
        <v>310</v>
      </c>
      <c r="W199" s="774" t="s">
        <v>311</v>
      </c>
      <c r="Y199" s="19" t="s">
        <v>807</v>
      </c>
      <c r="AB199" s="774" t="s">
        <v>49</v>
      </c>
      <c r="AC199" s="774" t="s">
        <v>50</v>
      </c>
      <c r="AD199" s="774" t="s">
        <v>51</v>
      </c>
      <c r="AE199" s="774" t="s">
        <v>308</v>
      </c>
      <c r="AF199" s="774" t="s">
        <v>309</v>
      </c>
      <c r="AG199" s="774" t="s">
        <v>310</v>
      </c>
      <c r="AH199" s="774" t="s">
        <v>311</v>
      </c>
      <c r="AN199" s="774" t="s">
        <v>49</v>
      </c>
      <c r="AO199" s="774" t="s">
        <v>50</v>
      </c>
      <c r="AP199" s="774" t="s">
        <v>51</v>
      </c>
      <c r="AQ199" s="774" t="s">
        <v>308</v>
      </c>
      <c r="AR199" s="774" t="s">
        <v>309</v>
      </c>
      <c r="AS199" s="774" t="s">
        <v>310</v>
      </c>
      <c r="AT199" s="774" t="s">
        <v>311</v>
      </c>
      <c r="AZ199" s="774" t="s">
        <v>49</v>
      </c>
      <c r="BA199" s="774" t="s">
        <v>50</v>
      </c>
      <c r="BB199" s="774" t="s">
        <v>51</v>
      </c>
      <c r="BC199" s="774" t="s">
        <v>308</v>
      </c>
      <c r="BD199" s="774" t="s">
        <v>309</v>
      </c>
      <c r="BE199" s="774" t="s">
        <v>310</v>
      </c>
      <c r="BF199" s="774" t="s">
        <v>311</v>
      </c>
      <c r="BG199" s="778" t="s">
        <v>311</v>
      </c>
      <c r="BH199" s="778" t="s">
        <v>311</v>
      </c>
    </row>
    <row r="200" spans="2:60" x14ac:dyDescent="0.3">
      <c r="C200" t="s">
        <v>628</v>
      </c>
      <c r="E200" s="774">
        <v>0</v>
      </c>
      <c r="F200" s="774" t="s">
        <v>782</v>
      </c>
      <c r="G200" s="856" t="s">
        <v>782</v>
      </c>
      <c r="H200" s="774">
        <v>0</v>
      </c>
      <c r="I200" s="774" t="s">
        <v>782</v>
      </c>
      <c r="J200" s="774">
        <v>0</v>
      </c>
      <c r="K200" s="774" t="s">
        <v>782</v>
      </c>
      <c r="O200" t="s">
        <v>628</v>
      </c>
      <c r="Q200" s="774">
        <v>0</v>
      </c>
      <c r="R200" s="774" t="s">
        <v>782</v>
      </c>
      <c r="S200" s="774">
        <v>0</v>
      </c>
      <c r="T200" s="774">
        <v>0</v>
      </c>
      <c r="U200" s="856" t="s">
        <v>784</v>
      </c>
      <c r="V200" s="774">
        <v>0</v>
      </c>
      <c r="W200" s="774" t="s">
        <v>782</v>
      </c>
      <c r="Z200" t="s">
        <v>628</v>
      </c>
      <c r="AB200" s="774">
        <v>0</v>
      </c>
      <c r="AC200" s="774" t="s">
        <v>782</v>
      </c>
      <c r="AD200" s="774">
        <v>0</v>
      </c>
      <c r="AE200" s="774">
        <v>0</v>
      </c>
      <c r="AF200" s="774" t="s">
        <v>784</v>
      </c>
      <c r="AG200" s="774">
        <v>0</v>
      </c>
      <c r="AH200" s="774" t="s">
        <v>782</v>
      </c>
      <c r="AL200" t="s">
        <v>628</v>
      </c>
      <c r="AN200" s="774">
        <v>0</v>
      </c>
      <c r="AO200" s="774" t="s">
        <v>782</v>
      </c>
      <c r="AP200" s="856" t="s">
        <v>782</v>
      </c>
      <c r="AQ200" s="774">
        <v>0</v>
      </c>
      <c r="AR200" s="774" t="s">
        <v>782</v>
      </c>
      <c r="AS200" s="774">
        <v>0</v>
      </c>
      <c r="AT200" s="774" t="s">
        <v>782</v>
      </c>
      <c r="AX200" t="s">
        <v>628</v>
      </c>
      <c r="AZ200" s="774">
        <v>0</v>
      </c>
      <c r="BA200" s="774" t="s">
        <v>782</v>
      </c>
      <c r="BB200" s="856" t="s">
        <v>782</v>
      </c>
      <c r="BC200" s="774">
        <v>0</v>
      </c>
      <c r="BD200" s="774" t="s">
        <v>782</v>
      </c>
      <c r="BE200" s="774">
        <v>0</v>
      </c>
      <c r="BF200" s="774" t="s">
        <v>782</v>
      </c>
      <c r="BG200" s="778" t="s">
        <v>782</v>
      </c>
      <c r="BH200" s="778" t="s">
        <v>782</v>
      </c>
    </row>
    <row r="201" spans="2:60" x14ac:dyDescent="0.3">
      <c r="C201" t="s">
        <v>633</v>
      </c>
      <c r="E201" s="774" t="s">
        <v>782</v>
      </c>
      <c r="F201" s="774" t="s">
        <v>784</v>
      </c>
      <c r="G201" s="774">
        <v>0</v>
      </c>
      <c r="H201" s="774" t="s">
        <v>782</v>
      </c>
      <c r="I201" s="774" t="s">
        <v>784</v>
      </c>
      <c r="J201" s="774">
        <v>0</v>
      </c>
      <c r="K201" s="774" t="s">
        <v>784</v>
      </c>
      <c r="O201" t="s">
        <v>633</v>
      </c>
      <c r="Q201" s="774" t="s">
        <v>782</v>
      </c>
      <c r="R201" s="774" t="s">
        <v>784</v>
      </c>
      <c r="S201" s="774">
        <v>0</v>
      </c>
      <c r="T201" s="774" t="s">
        <v>782</v>
      </c>
      <c r="U201" s="774">
        <v>0</v>
      </c>
      <c r="V201" s="774">
        <v>0</v>
      </c>
      <c r="W201" s="774" t="s">
        <v>784</v>
      </c>
      <c r="Z201" t="s">
        <v>633</v>
      </c>
      <c r="AB201" s="774" t="s">
        <v>782</v>
      </c>
      <c r="AC201" s="774" t="s">
        <v>784</v>
      </c>
      <c r="AD201" s="774">
        <v>0</v>
      </c>
      <c r="AE201" s="774" t="s">
        <v>782</v>
      </c>
      <c r="AF201" s="855" t="s">
        <v>786</v>
      </c>
      <c r="AG201" s="774">
        <v>0</v>
      </c>
      <c r="AH201" s="774" t="s">
        <v>784</v>
      </c>
      <c r="AL201" t="s">
        <v>633</v>
      </c>
      <c r="AN201" s="774" t="s">
        <v>782</v>
      </c>
      <c r="AO201" s="774" t="s">
        <v>784</v>
      </c>
      <c r="AP201" s="774">
        <v>0</v>
      </c>
      <c r="AQ201" s="774" t="s">
        <v>782</v>
      </c>
      <c r="AR201" s="774" t="s">
        <v>784</v>
      </c>
      <c r="AS201" s="774">
        <v>0</v>
      </c>
      <c r="AT201" s="774" t="s">
        <v>784</v>
      </c>
      <c r="AX201" t="s">
        <v>633</v>
      </c>
      <c r="AZ201" s="774" t="s">
        <v>782</v>
      </c>
      <c r="BA201" s="774" t="s">
        <v>784</v>
      </c>
      <c r="BB201" s="774">
        <v>0</v>
      </c>
      <c r="BC201" s="774" t="s">
        <v>782</v>
      </c>
      <c r="BD201" s="774" t="s">
        <v>784</v>
      </c>
      <c r="BE201" s="774">
        <v>0</v>
      </c>
      <c r="BF201" s="774" t="s">
        <v>784</v>
      </c>
      <c r="BG201" s="778" t="s">
        <v>784</v>
      </c>
      <c r="BH201" s="778" t="s">
        <v>784</v>
      </c>
    </row>
    <row r="202" spans="2:60" x14ac:dyDescent="0.3">
      <c r="C202" t="s">
        <v>634</v>
      </c>
      <c r="E202" s="774" t="s">
        <v>784</v>
      </c>
      <c r="F202" s="774">
        <v>0</v>
      </c>
      <c r="G202" s="774">
        <v>0</v>
      </c>
      <c r="H202" s="774" t="s">
        <v>784</v>
      </c>
      <c r="I202" s="774">
        <v>0</v>
      </c>
      <c r="J202" s="774">
        <v>0</v>
      </c>
      <c r="K202" s="774">
        <v>0</v>
      </c>
      <c r="O202" t="s">
        <v>634</v>
      </c>
      <c r="Q202" s="774">
        <v>0</v>
      </c>
      <c r="R202" s="774">
        <v>0</v>
      </c>
      <c r="S202" s="774" t="s">
        <v>782</v>
      </c>
      <c r="T202" s="774">
        <v>0</v>
      </c>
      <c r="U202" s="774">
        <v>0</v>
      </c>
      <c r="V202" s="774">
        <v>0</v>
      </c>
      <c r="W202" s="774">
        <v>0</v>
      </c>
      <c r="Z202" t="s">
        <v>634</v>
      </c>
      <c r="AB202" s="774">
        <v>0</v>
      </c>
      <c r="AC202" s="774">
        <v>0</v>
      </c>
      <c r="AD202" s="774" t="s">
        <v>782</v>
      </c>
      <c r="AE202" s="774">
        <v>0</v>
      </c>
      <c r="AF202" s="774">
        <v>0</v>
      </c>
      <c r="AG202" s="774">
        <v>0</v>
      </c>
      <c r="AH202" s="774" t="s">
        <v>786</v>
      </c>
      <c r="AL202" t="s">
        <v>634</v>
      </c>
      <c r="AN202" s="774" t="s">
        <v>784</v>
      </c>
      <c r="AO202" s="774">
        <v>0</v>
      </c>
      <c r="AP202" s="774">
        <v>0</v>
      </c>
      <c r="AQ202" s="774" t="s">
        <v>784</v>
      </c>
      <c r="AR202" s="774">
        <v>0</v>
      </c>
      <c r="AS202" s="774">
        <v>0</v>
      </c>
      <c r="AT202" s="774">
        <v>0</v>
      </c>
      <c r="AX202" t="s">
        <v>634</v>
      </c>
      <c r="AZ202" s="774" t="s">
        <v>784</v>
      </c>
      <c r="BA202" s="774">
        <v>0</v>
      </c>
      <c r="BB202" s="774">
        <v>0</v>
      </c>
      <c r="BC202" s="774" t="s">
        <v>784</v>
      </c>
      <c r="BD202" s="774">
        <v>0</v>
      </c>
      <c r="BE202" s="774">
        <v>0</v>
      </c>
      <c r="BF202" s="774">
        <v>0</v>
      </c>
      <c r="BG202" s="778">
        <v>0</v>
      </c>
      <c r="BH202" s="778">
        <v>0</v>
      </c>
    </row>
    <row r="203" spans="2:60" x14ac:dyDescent="0.3">
      <c r="O203" t="s">
        <v>649</v>
      </c>
      <c r="P203">
        <v>25</v>
      </c>
      <c r="Q203" s="774">
        <v>21</v>
      </c>
      <c r="R203" s="774">
        <v>11</v>
      </c>
      <c r="S203" s="774">
        <v>6</v>
      </c>
      <c r="T203" s="856">
        <v>2</v>
      </c>
      <c r="U203" s="774">
        <v>60</v>
      </c>
      <c r="V203" s="774">
        <v>60</v>
      </c>
      <c r="W203" s="774">
        <v>50</v>
      </c>
    </row>
    <row r="205" spans="2:60" x14ac:dyDescent="0.3">
      <c r="C205" s="20"/>
      <c r="O205" s="854"/>
      <c r="Z205" s="854" t="s">
        <v>790</v>
      </c>
      <c r="AB205" s="774" t="s">
        <v>319</v>
      </c>
    </row>
    <row r="206" spans="2:60" x14ac:dyDescent="0.3">
      <c r="O206" s="20"/>
      <c r="AB206" s="774" t="s">
        <v>49</v>
      </c>
      <c r="AC206" s="774" t="s">
        <v>50</v>
      </c>
      <c r="AD206" s="774" t="s">
        <v>51</v>
      </c>
      <c r="AE206" s="774" t="s">
        <v>308</v>
      </c>
      <c r="AF206" s="774" t="s">
        <v>309</v>
      </c>
      <c r="AG206" s="774" t="s">
        <v>310</v>
      </c>
      <c r="AH206" s="774" t="s">
        <v>311</v>
      </c>
    </row>
    <row r="207" spans="2:60" x14ac:dyDescent="0.3">
      <c r="Z207" t="s">
        <v>628</v>
      </c>
      <c r="AB207" s="774">
        <v>0</v>
      </c>
      <c r="AC207" s="774" t="s">
        <v>782</v>
      </c>
      <c r="AD207" s="774">
        <v>0</v>
      </c>
      <c r="AE207" s="774">
        <v>0</v>
      </c>
      <c r="AF207" s="774" t="s">
        <v>784</v>
      </c>
      <c r="AG207" s="774">
        <v>0</v>
      </c>
      <c r="AH207" s="774" t="s">
        <v>782</v>
      </c>
    </row>
    <row r="208" spans="2:60" x14ac:dyDescent="0.3">
      <c r="Z208" t="s">
        <v>633</v>
      </c>
      <c r="AB208" s="774" t="s">
        <v>782</v>
      </c>
      <c r="AC208" s="774" t="s">
        <v>784</v>
      </c>
      <c r="AD208" s="774">
        <v>0</v>
      </c>
      <c r="AE208" s="774" t="s">
        <v>782</v>
      </c>
      <c r="AF208" s="774" t="s">
        <v>786</v>
      </c>
      <c r="AG208" s="774">
        <v>0</v>
      </c>
      <c r="AH208" s="774" t="s">
        <v>784</v>
      </c>
    </row>
    <row r="209" spans="26:34" x14ac:dyDescent="0.3">
      <c r="Z209" t="s">
        <v>634</v>
      </c>
      <c r="AB209" s="774">
        <v>0</v>
      </c>
      <c r="AC209" s="774">
        <v>0</v>
      </c>
      <c r="AD209" s="774" t="s">
        <v>782</v>
      </c>
      <c r="AE209" s="774">
        <v>0</v>
      </c>
      <c r="AF209" s="774">
        <v>0</v>
      </c>
      <c r="AG209" s="774">
        <v>0</v>
      </c>
      <c r="AH209" s="774" t="s">
        <v>786</v>
      </c>
    </row>
  </sheetData>
  <mergeCells count="50">
    <mergeCell ref="E146:K146"/>
    <mergeCell ref="Q146:W146"/>
    <mergeCell ref="AB146:AH146"/>
    <mergeCell ref="AN146:AT146"/>
    <mergeCell ref="AZ146:BH146"/>
    <mergeCell ref="E184:K184"/>
    <mergeCell ref="Q184:W184"/>
    <mergeCell ref="AB184:AH184"/>
    <mergeCell ref="AN184:AT184"/>
    <mergeCell ref="AZ184:BF184"/>
    <mergeCell ref="AD104:AG104"/>
    <mergeCell ref="AN104:AO104"/>
    <mergeCell ref="AP104:AS104"/>
    <mergeCell ref="AZ104:BA104"/>
    <mergeCell ref="BB104:BE104"/>
    <mergeCell ref="E127:K127"/>
    <mergeCell ref="Q127:W127"/>
    <mergeCell ref="AB127:AH127"/>
    <mergeCell ref="AN127:AT127"/>
    <mergeCell ref="AZ127:BF127"/>
    <mergeCell ref="AD82:AG82"/>
    <mergeCell ref="AN82:AO82"/>
    <mergeCell ref="AP82:AS82"/>
    <mergeCell ref="AZ82:BA82"/>
    <mergeCell ref="BB82:BE82"/>
    <mergeCell ref="E104:F104"/>
    <mergeCell ref="G104:J104"/>
    <mergeCell ref="Q104:R104"/>
    <mergeCell ref="S104:V104"/>
    <mergeCell ref="AB104:AC104"/>
    <mergeCell ref="E60:K60"/>
    <mergeCell ref="Q60:W60"/>
    <mergeCell ref="AB60:AH60"/>
    <mergeCell ref="AN60:AT60"/>
    <mergeCell ref="AZ60:BH60"/>
    <mergeCell ref="E82:F82"/>
    <mergeCell ref="G82:J82"/>
    <mergeCell ref="Q82:R82"/>
    <mergeCell ref="S82:V82"/>
    <mergeCell ref="AB82:AC82"/>
    <mergeCell ref="E15:K15"/>
    <mergeCell ref="Q15:W15"/>
    <mergeCell ref="AB15:AH15"/>
    <mergeCell ref="AN15:AT15"/>
    <mergeCell ref="AZ15:BH15"/>
    <mergeCell ref="E37:K37"/>
    <mergeCell ref="Q37:W37"/>
    <mergeCell ref="AB37:AH37"/>
    <mergeCell ref="AN37:AT37"/>
    <mergeCell ref="AZ37:BH37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workbookViewId="0">
      <selection activeCell="O25" sqref="O25"/>
    </sheetView>
  </sheetViews>
  <sheetFormatPr defaultRowHeight="14.4" x14ac:dyDescent="0.3"/>
  <cols>
    <col min="2" max="2" width="9.77734375" customWidth="1"/>
    <col min="5" max="5" width="13.109375" customWidth="1"/>
  </cols>
  <sheetData>
    <row r="1" spans="1:20" x14ac:dyDescent="0.3">
      <c r="M1" s="6"/>
    </row>
    <row r="2" spans="1:20" x14ac:dyDescent="0.3">
      <c r="A2" t="s">
        <v>1</v>
      </c>
      <c r="D2" t="s">
        <v>0</v>
      </c>
      <c r="E2" t="s">
        <v>57</v>
      </c>
      <c r="F2" t="s">
        <v>4</v>
      </c>
      <c r="H2" s="4">
        <v>44075</v>
      </c>
      <c r="I2" t="str">
        <f>TEXT(H2,"mmm-yy")</f>
        <v>Sep-20</v>
      </c>
      <c r="K2" t="s">
        <v>8</v>
      </c>
      <c r="M2" s="6" t="s">
        <v>10</v>
      </c>
      <c r="O2" t="s">
        <v>13</v>
      </c>
      <c r="Q2" t="s">
        <v>15</v>
      </c>
      <c r="T2" t="s">
        <v>20</v>
      </c>
    </row>
    <row r="3" spans="1:20" x14ac:dyDescent="0.3">
      <c r="A3" t="s">
        <v>3</v>
      </c>
      <c r="D3" t="s">
        <v>2</v>
      </c>
      <c r="E3" t="s">
        <v>58</v>
      </c>
      <c r="F3" t="s">
        <v>5</v>
      </c>
      <c r="H3" s="4">
        <v>44105</v>
      </c>
      <c r="I3" t="str">
        <f>TEXT(H3,"mmm-yy")</f>
        <v>Oct-20</v>
      </c>
      <c r="K3" t="s">
        <v>9</v>
      </c>
      <c r="M3" s="6" t="s">
        <v>11</v>
      </c>
      <c r="O3" t="s">
        <v>14</v>
      </c>
      <c r="Q3" t="s">
        <v>16</v>
      </c>
      <c r="T3" t="s">
        <v>21</v>
      </c>
    </row>
    <row r="4" spans="1:20" x14ac:dyDescent="0.3">
      <c r="E4" t="s">
        <v>60</v>
      </c>
      <c r="F4" t="s">
        <v>6</v>
      </c>
      <c r="H4" s="4">
        <v>44136</v>
      </c>
      <c r="I4" t="str">
        <f t="shared" ref="I4:I11" si="0">TEXT(H4,"mmm-yy")</f>
        <v>Nov-20</v>
      </c>
      <c r="M4" s="6" t="s">
        <v>12</v>
      </c>
    </row>
    <row r="5" spans="1:20" x14ac:dyDescent="0.3">
      <c r="E5" t="s">
        <v>59</v>
      </c>
      <c r="F5" t="s">
        <v>7</v>
      </c>
      <c r="H5" s="4">
        <v>44166</v>
      </c>
      <c r="I5" t="str">
        <f t="shared" si="0"/>
        <v>Dec-20</v>
      </c>
      <c r="M5" s="6" t="s">
        <v>52</v>
      </c>
    </row>
    <row r="6" spans="1:20" x14ac:dyDescent="0.3">
      <c r="E6" t="s">
        <v>61</v>
      </c>
      <c r="F6" t="s">
        <v>32</v>
      </c>
      <c r="H6" s="4">
        <v>44197</v>
      </c>
      <c r="I6" t="str">
        <f t="shared" si="0"/>
        <v>Jan-21</v>
      </c>
      <c r="M6" s="6"/>
    </row>
    <row r="7" spans="1:20" x14ac:dyDescent="0.3">
      <c r="E7" t="s">
        <v>62</v>
      </c>
      <c r="F7" t="s">
        <v>30</v>
      </c>
      <c r="H7" s="4">
        <v>44228</v>
      </c>
      <c r="I7" t="str">
        <f t="shared" si="0"/>
        <v>Feb-21</v>
      </c>
    </row>
    <row r="8" spans="1:20" x14ac:dyDescent="0.3">
      <c r="E8" t="s">
        <v>63</v>
      </c>
      <c r="F8" t="s">
        <v>33</v>
      </c>
      <c r="H8" s="4">
        <v>44256</v>
      </c>
      <c r="I8" t="str">
        <f t="shared" si="0"/>
        <v>Mar-21</v>
      </c>
    </row>
    <row r="9" spans="1:20" x14ac:dyDescent="0.3">
      <c r="E9" t="s">
        <v>65</v>
      </c>
      <c r="F9" t="s">
        <v>31</v>
      </c>
      <c r="H9" s="4">
        <v>44287</v>
      </c>
      <c r="I9" t="str">
        <f t="shared" si="0"/>
        <v>Apr-21</v>
      </c>
      <c r="M9" t="s">
        <v>34</v>
      </c>
      <c r="P9" t="s">
        <v>26</v>
      </c>
    </row>
    <row r="10" spans="1:20" x14ac:dyDescent="0.3">
      <c r="E10" t="s">
        <v>64</v>
      </c>
      <c r="H10" s="4">
        <v>44317</v>
      </c>
      <c r="I10" t="str">
        <f t="shared" si="0"/>
        <v>May-21</v>
      </c>
      <c r="M10" t="s">
        <v>35</v>
      </c>
      <c r="P10" t="s">
        <v>27</v>
      </c>
    </row>
    <row r="11" spans="1:20" x14ac:dyDescent="0.3">
      <c r="H11" s="4">
        <v>44348</v>
      </c>
      <c r="I11" t="str">
        <f t="shared" si="0"/>
        <v>Jun-21</v>
      </c>
      <c r="M11" t="s">
        <v>36</v>
      </c>
      <c r="P11" t="s">
        <v>28</v>
      </c>
    </row>
    <row r="12" spans="1:20" x14ac:dyDescent="0.3">
      <c r="M12" t="s">
        <v>37</v>
      </c>
      <c r="P12" t="s">
        <v>29</v>
      </c>
    </row>
    <row r="13" spans="1:20" x14ac:dyDescent="0.3">
      <c r="A13" s="13"/>
      <c r="M13" t="s">
        <v>38</v>
      </c>
    </row>
    <row r="14" spans="1:20" x14ac:dyDescent="0.3">
      <c r="M14" t="s">
        <v>39</v>
      </c>
    </row>
    <row r="15" spans="1:20" x14ac:dyDescent="0.3">
      <c r="M15" t="s">
        <v>40</v>
      </c>
      <c r="P15" t="s">
        <v>54</v>
      </c>
    </row>
    <row r="16" spans="1:20" x14ac:dyDescent="0.3">
      <c r="M16" t="s">
        <v>41</v>
      </c>
      <c r="P16" t="s">
        <v>55</v>
      </c>
    </row>
    <row r="17" spans="13:13" x14ac:dyDescent="0.3">
      <c r="M17" t="s">
        <v>42</v>
      </c>
    </row>
    <row r="18" spans="13:13" x14ac:dyDescent="0.3">
      <c r="M18" t="s">
        <v>43</v>
      </c>
    </row>
    <row r="19" spans="13:13" x14ac:dyDescent="0.3">
      <c r="M19" t="s">
        <v>44</v>
      </c>
    </row>
    <row r="20" spans="13:13" x14ac:dyDescent="0.3">
      <c r="M20" t="s">
        <v>45</v>
      </c>
    </row>
    <row r="21" spans="13:13" x14ac:dyDescent="0.3">
      <c r="M21" t="s">
        <v>46</v>
      </c>
    </row>
    <row r="22" spans="13:13" x14ac:dyDescent="0.3">
      <c r="M22" t="s">
        <v>47</v>
      </c>
    </row>
    <row r="23" spans="13:13" x14ac:dyDescent="0.3">
      <c r="M23" t="s">
        <v>48</v>
      </c>
    </row>
    <row r="24" spans="13:13" x14ac:dyDescent="0.3">
      <c r="M24" t="s">
        <v>49</v>
      </c>
    </row>
    <row r="25" spans="13:13" x14ac:dyDescent="0.3">
      <c r="M25" t="s">
        <v>50</v>
      </c>
    </row>
    <row r="26" spans="13:13" x14ac:dyDescent="0.3">
      <c r="M26" t="s">
        <v>51</v>
      </c>
    </row>
    <row r="27" spans="13:13" x14ac:dyDescent="0.3">
      <c r="M27" t="s">
        <v>53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665C-604F-4CBB-B15E-763FF62BB8D8}">
  <dimension ref="A1:AI116"/>
  <sheetViews>
    <sheetView zoomScale="85" zoomScaleNormal="85" workbookViewId="0">
      <selection activeCell="W61" sqref="W61"/>
    </sheetView>
  </sheetViews>
  <sheetFormatPr defaultRowHeight="14.4" x14ac:dyDescent="0.3"/>
  <cols>
    <col min="1" max="1" width="17.21875" customWidth="1"/>
    <col min="2" max="2" width="11.21875" bestFit="1" customWidth="1"/>
    <col min="3" max="3" width="13.33203125" bestFit="1" customWidth="1"/>
    <col min="4" max="4" width="10.5546875" bestFit="1" customWidth="1"/>
    <col min="5" max="5" width="14.5546875" customWidth="1"/>
    <col min="6" max="6" width="16.33203125" bestFit="1" customWidth="1"/>
    <col min="7" max="7" width="8.77734375" bestFit="1" customWidth="1"/>
    <col min="8" max="8" width="7.77734375" bestFit="1" customWidth="1"/>
    <col min="9" max="21" width="8.77734375" bestFit="1" customWidth="1"/>
    <col min="22" max="23" width="9.5546875" bestFit="1" customWidth="1"/>
  </cols>
  <sheetData>
    <row r="1" spans="1:27" ht="18" x14ac:dyDescent="0.35">
      <c r="A1" s="186" t="s">
        <v>222</v>
      </c>
    </row>
    <row r="2" spans="1:27" x14ac:dyDescent="0.3">
      <c r="E2" s="434" t="s">
        <v>307</v>
      </c>
    </row>
    <row r="4" spans="1:27" x14ac:dyDescent="0.3">
      <c r="A4" t="s">
        <v>565</v>
      </c>
      <c r="B4" t="s">
        <v>544</v>
      </c>
      <c r="C4" t="s">
        <v>152</v>
      </c>
      <c r="D4" t="s">
        <v>154</v>
      </c>
    </row>
    <row r="5" spans="1:27" x14ac:dyDescent="0.3">
      <c r="A5" t="s">
        <v>69</v>
      </c>
      <c r="B5" t="s">
        <v>17</v>
      </c>
      <c r="C5" t="s">
        <v>18</v>
      </c>
      <c r="D5" t="s">
        <v>19</v>
      </c>
      <c r="H5" t="s">
        <v>597</v>
      </c>
    </row>
    <row r="6" spans="1:27" x14ac:dyDescent="0.3">
      <c r="A6" t="s">
        <v>70</v>
      </c>
      <c r="B6" s="62">
        <v>2535000</v>
      </c>
      <c r="C6" s="62">
        <v>2764125</v>
      </c>
      <c r="D6" s="62">
        <v>2764125</v>
      </c>
      <c r="H6" t="s">
        <v>142</v>
      </c>
      <c r="I6" t="s">
        <v>598</v>
      </c>
    </row>
    <row r="7" spans="1:27" x14ac:dyDescent="0.3">
      <c r="A7" t="s">
        <v>71</v>
      </c>
      <c r="B7" s="62">
        <v>3290625</v>
      </c>
      <c r="C7" s="62">
        <v>3290625</v>
      </c>
      <c r="D7" s="62">
        <v>3290625</v>
      </c>
    </row>
    <row r="8" spans="1:27" x14ac:dyDescent="0.3">
      <c r="A8" t="s">
        <v>72</v>
      </c>
      <c r="B8" s="62">
        <v>2895750</v>
      </c>
      <c r="C8" s="62">
        <v>2700750</v>
      </c>
      <c r="D8" s="62">
        <v>2700750</v>
      </c>
      <c r="Z8" t="s">
        <v>280</v>
      </c>
      <c r="AA8" t="s">
        <v>281</v>
      </c>
    </row>
    <row r="9" spans="1:27" x14ac:dyDescent="0.3">
      <c r="A9" t="s">
        <v>66</v>
      </c>
      <c r="B9" s="62">
        <v>8721375</v>
      </c>
      <c r="C9" s="62">
        <v>8755500</v>
      </c>
      <c r="D9" s="62">
        <v>8755500</v>
      </c>
    </row>
    <row r="10" spans="1:27" x14ac:dyDescent="0.3">
      <c r="B10" s="62"/>
      <c r="C10" s="62"/>
      <c r="D10" s="62"/>
    </row>
    <row r="11" spans="1:27" x14ac:dyDescent="0.3">
      <c r="B11" s="62"/>
      <c r="C11" s="62" t="s">
        <v>595</v>
      </c>
      <c r="D11" s="62"/>
    </row>
    <row r="12" spans="1:27" x14ac:dyDescent="0.3">
      <c r="B12" s="62"/>
      <c r="C12" s="62"/>
      <c r="D12" s="62"/>
    </row>
    <row r="13" spans="1:27" x14ac:dyDescent="0.3">
      <c r="A13" t="s">
        <v>435</v>
      </c>
      <c r="B13" t="s">
        <v>17</v>
      </c>
      <c r="C13" t="s">
        <v>18</v>
      </c>
      <c r="D13" t="s">
        <v>19</v>
      </c>
    </row>
    <row r="14" spans="1:27" x14ac:dyDescent="0.3">
      <c r="A14" t="s">
        <v>70</v>
      </c>
      <c r="B14" s="62">
        <f>B6/4875</f>
        <v>520</v>
      </c>
      <c r="C14" s="62">
        <f t="shared" ref="C14:D14" si="0">C6/4875</f>
        <v>567</v>
      </c>
      <c r="D14" s="62">
        <f t="shared" si="0"/>
        <v>567</v>
      </c>
    </row>
    <row r="15" spans="1:27" x14ac:dyDescent="0.3">
      <c r="A15" t="s">
        <v>71</v>
      </c>
      <c r="B15" s="62">
        <f t="shared" ref="B15:D16" si="1">B7/4875</f>
        <v>675</v>
      </c>
      <c r="C15" s="62">
        <f t="shared" si="1"/>
        <v>675</v>
      </c>
      <c r="D15" s="62">
        <f t="shared" si="1"/>
        <v>675</v>
      </c>
    </row>
    <row r="16" spans="1:27" x14ac:dyDescent="0.3">
      <c r="A16" t="s">
        <v>72</v>
      </c>
      <c r="B16" s="62">
        <f t="shared" si="1"/>
        <v>594</v>
      </c>
      <c r="C16" s="62">
        <f t="shared" si="1"/>
        <v>554</v>
      </c>
      <c r="D16" s="62">
        <f t="shared" si="1"/>
        <v>554</v>
      </c>
    </row>
    <row r="17" spans="1:29" ht="15" thickBot="1" x14ac:dyDescent="0.35">
      <c r="A17" t="s">
        <v>66</v>
      </c>
      <c r="B17" s="62">
        <f>SUM(B14:B16)</f>
        <v>1789</v>
      </c>
      <c r="C17" s="62">
        <f t="shared" ref="C17:D17" si="2">SUM(C14:C16)</f>
        <v>1796</v>
      </c>
      <c r="D17" s="62">
        <f t="shared" si="2"/>
        <v>1796</v>
      </c>
    </row>
    <row r="18" spans="1:29" ht="16.2" thickBot="1" x14ac:dyDescent="0.35">
      <c r="G18" s="964" t="s">
        <v>25</v>
      </c>
      <c r="H18" s="965"/>
      <c r="I18" s="961" t="s">
        <v>248</v>
      </c>
      <c r="J18" s="962"/>
      <c r="K18" s="962"/>
      <c r="L18" s="963"/>
      <c r="M18" s="961" t="s">
        <v>249</v>
      </c>
      <c r="N18" s="962"/>
      <c r="O18" s="962"/>
      <c r="P18" s="963"/>
      <c r="Q18" s="961" t="s">
        <v>250</v>
      </c>
      <c r="R18" s="962"/>
      <c r="S18" s="962"/>
      <c r="T18" s="962"/>
      <c r="U18" s="963"/>
      <c r="Y18" t="s">
        <v>71</v>
      </c>
      <c r="Z18" t="s">
        <v>278</v>
      </c>
      <c r="AA18" t="s">
        <v>279</v>
      </c>
      <c r="AB18" t="s">
        <v>285</v>
      </c>
    </row>
    <row r="19" spans="1:29" ht="15.6" x14ac:dyDescent="0.3">
      <c r="G19" s="162" t="s">
        <v>220</v>
      </c>
      <c r="H19" s="164" t="s">
        <v>109</v>
      </c>
      <c r="I19" s="197" t="s">
        <v>110</v>
      </c>
      <c r="J19" s="198" t="s">
        <v>111</v>
      </c>
      <c r="K19" s="198" t="s">
        <v>112</v>
      </c>
      <c r="L19" s="199" t="s">
        <v>113</v>
      </c>
      <c r="M19" s="162" t="s">
        <v>114</v>
      </c>
      <c r="N19" s="163" t="s">
        <v>115</v>
      </c>
      <c r="O19" s="163" t="s">
        <v>116</v>
      </c>
      <c r="P19" s="164" t="s">
        <v>117</v>
      </c>
      <c r="Q19" s="197" t="s">
        <v>118</v>
      </c>
      <c r="R19" s="202" t="s">
        <v>119</v>
      </c>
      <c r="S19" s="198" t="s">
        <v>120</v>
      </c>
      <c r="T19" s="198" t="s">
        <v>121</v>
      </c>
      <c r="U19" s="203" t="s">
        <v>221</v>
      </c>
      <c r="Y19" t="s">
        <v>142</v>
      </c>
      <c r="Z19" t="s">
        <v>279</v>
      </c>
      <c r="AB19" s="14" t="s">
        <v>282</v>
      </c>
    </row>
    <row r="20" spans="1:29" x14ac:dyDescent="0.3">
      <c r="E20" s="966" t="s">
        <v>256</v>
      </c>
      <c r="F20" s="168" t="s">
        <v>126</v>
      </c>
      <c r="G20" s="170">
        <v>260</v>
      </c>
      <c r="H20" s="172"/>
      <c r="I20" s="170">
        <v>270</v>
      </c>
      <c r="J20" s="171"/>
      <c r="K20" s="237">
        <v>297</v>
      </c>
      <c r="L20" s="172"/>
      <c r="M20" s="170">
        <v>270</v>
      </c>
      <c r="N20" s="171"/>
      <c r="O20" s="171">
        <v>297</v>
      </c>
      <c r="P20" s="172"/>
      <c r="Q20" s="170">
        <v>270</v>
      </c>
      <c r="R20" s="171"/>
      <c r="S20" s="171">
        <v>297</v>
      </c>
      <c r="T20" s="171"/>
      <c r="U20" s="172"/>
      <c r="Z20" t="s">
        <v>283</v>
      </c>
    </row>
    <row r="21" spans="1:29" x14ac:dyDescent="0.3">
      <c r="E21" s="966"/>
      <c r="F21" s="168" t="s">
        <v>71</v>
      </c>
      <c r="G21" s="170"/>
      <c r="H21" s="172"/>
      <c r="I21" s="170"/>
      <c r="J21" s="171"/>
      <c r="K21" s="171"/>
      <c r="L21" s="172"/>
      <c r="M21" s="170"/>
      <c r="N21" s="171"/>
      <c r="O21" s="171"/>
      <c r="P21" s="172"/>
      <c r="Q21" s="170"/>
      <c r="R21" s="171"/>
      <c r="S21" s="171"/>
      <c r="T21" s="171"/>
      <c r="U21" s="172"/>
      <c r="Z21" t="s">
        <v>284</v>
      </c>
    </row>
    <row r="22" spans="1:29" x14ac:dyDescent="0.3">
      <c r="E22" s="966"/>
      <c r="F22" s="168" t="s">
        <v>72</v>
      </c>
      <c r="G22" s="170"/>
      <c r="H22" s="172"/>
      <c r="I22" s="170"/>
      <c r="J22" s="171"/>
      <c r="K22" s="171"/>
      <c r="L22" s="172"/>
      <c r="M22" s="170"/>
      <c r="N22" s="171"/>
      <c r="O22" s="171"/>
      <c r="P22" s="172"/>
      <c r="Q22" s="170"/>
      <c r="R22" s="171"/>
      <c r="S22" s="171"/>
      <c r="T22" s="171"/>
      <c r="U22" s="172"/>
      <c r="Z22" t="s">
        <v>286</v>
      </c>
      <c r="AC22" s="14" t="s">
        <v>287</v>
      </c>
    </row>
    <row r="23" spans="1:29" x14ac:dyDescent="0.3">
      <c r="G23" s="184"/>
      <c r="H23" s="185"/>
      <c r="I23" s="184"/>
      <c r="J23" s="18"/>
      <c r="K23" s="18"/>
      <c r="L23" s="185"/>
      <c r="M23" s="184"/>
      <c r="N23" s="18"/>
      <c r="O23" s="18"/>
      <c r="P23" s="185"/>
      <c r="Q23" s="184"/>
      <c r="R23" s="18"/>
      <c r="S23" s="18"/>
      <c r="T23" s="18"/>
      <c r="U23" s="185"/>
      <c r="AC23" s="14" t="s">
        <v>288</v>
      </c>
    </row>
    <row r="24" spans="1:29" ht="28.8" x14ac:dyDescent="0.3">
      <c r="E24" s="967" t="s">
        <v>82</v>
      </c>
      <c r="F24" s="169" t="s">
        <v>273</v>
      </c>
      <c r="G24" s="187">
        <f t="shared" ref="G24:U24" si="3">SUM(G20:G22)</f>
        <v>260</v>
      </c>
      <c r="H24" s="189">
        <f t="shared" si="3"/>
        <v>0</v>
      </c>
      <c r="I24" s="187">
        <f t="shared" si="3"/>
        <v>270</v>
      </c>
      <c r="J24" s="188">
        <f t="shared" si="3"/>
        <v>0</v>
      </c>
      <c r="K24" s="188">
        <f t="shared" si="3"/>
        <v>297</v>
      </c>
      <c r="L24" s="189">
        <f t="shared" si="3"/>
        <v>0</v>
      </c>
      <c r="M24" s="187">
        <f t="shared" si="3"/>
        <v>270</v>
      </c>
      <c r="N24" s="188">
        <f t="shared" si="3"/>
        <v>0</v>
      </c>
      <c r="O24" s="188">
        <f t="shared" si="3"/>
        <v>297</v>
      </c>
      <c r="P24" s="189">
        <f t="shared" si="3"/>
        <v>0</v>
      </c>
      <c r="Q24" s="187">
        <f t="shared" si="3"/>
        <v>270</v>
      </c>
      <c r="R24" s="188">
        <f t="shared" si="3"/>
        <v>0</v>
      </c>
      <c r="S24" s="188">
        <f>SUM(S20:S22)</f>
        <v>297</v>
      </c>
      <c r="T24" s="188">
        <f t="shared" si="3"/>
        <v>0</v>
      </c>
      <c r="U24" s="189">
        <f t="shared" si="3"/>
        <v>0</v>
      </c>
      <c r="Z24" t="s">
        <v>303</v>
      </c>
    </row>
    <row r="25" spans="1:29" ht="28.8" x14ac:dyDescent="0.3">
      <c r="E25" s="968"/>
      <c r="F25" s="190" t="s">
        <v>274</v>
      </c>
      <c r="G25" s="191"/>
      <c r="H25" s="193">
        <f t="shared" ref="H25:U25" si="4">G25+H24-(H29+H35+H41+H47+H53)</f>
        <v>0</v>
      </c>
      <c r="I25" s="191">
        <f t="shared" si="4"/>
        <v>-134730</v>
      </c>
      <c r="J25" s="192">
        <f t="shared" si="4"/>
        <v>-154730</v>
      </c>
      <c r="K25" s="192">
        <f t="shared" si="4"/>
        <v>-264433</v>
      </c>
      <c r="L25" s="193">
        <f t="shared" si="4"/>
        <v>-264433</v>
      </c>
      <c r="M25" s="191">
        <f t="shared" si="4"/>
        <v>-363863</v>
      </c>
      <c r="N25" s="192">
        <f t="shared" si="4"/>
        <v>-415863</v>
      </c>
      <c r="O25" s="192">
        <f t="shared" si="4"/>
        <v>-529866</v>
      </c>
      <c r="P25" s="193">
        <f t="shared" si="4"/>
        <v>-529866</v>
      </c>
      <c r="Q25" s="191">
        <f t="shared" si="4"/>
        <v>-624796</v>
      </c>
      <c r="R25" s="192">
        <f t="shared" si="4"/>
        <v>-681896</v>
      </c>
      <c r="S25" s="192">
        <f t="shared" si="4"/>
        <v>-795299</v>
      </c>
      <c r="T25" s="192">
        <f t="shared" si="4"/>
        <v>-795299</v>
      </c>
      <c r="U25" s="193">
        <f t="shared" si="4"/>
        <v>-795299</v>
      </c>
      <c r="Z25" t="s">
        <v>305</v>
      </c>
    </row>
    <row r="26" spans="1:29" x14ac:dyDescent="0.3">
      <c r="G26" s="184"/>
      <c r="H26" s="185"/>
      <c r="I26" s="184"/>
      <c r="J26" s="18"/>
      <c r="K26" s="18"/>
      <c r="L26" s="185"/>
      <c r="M26" s="184"/>
      <c r="N26" s="18"/>
      <c r="O26" s="18"/>
      <c r="P26" s="185"/>
      <c r="Q26" s="184"/>
      <c r="R26" s="18"/>
      <c r="S26" s="18"/>
      <c r="T26" s="18"/>
      <c r="U26" s="185"/>
      <c r="Z26" t="s">
        <v>304</v>
      </c>
    </row>
    <row r="27" spans="1:29" x14ac:dyDescent="0.3">
      <c r="G27" s="184"/>
      <c r="H27" s="185"/>
      <c r="I27" s="184"/>
      <c r="J27" s="18"/>
      <c r="K27" s="18"/>
      <c r="L27" s="185"/>
      <c r="M27" s="184"/>
      <c r="N27" s="18"/>
      <c r="O27" s="18"/>
      <c r="P27" s="185"/>
      <c r="Q27" s="184"/>
      <c r="R27" s="18"/>
      <c r="S27" s="18"/>
      <c r="T27" s="18"/>
      <c r="U27" s="185"/>
      <c r="Z27" t="s">
        <v>304</v>
      </c>
    </row>
    <row r="28" spans="1:29" x14ac:dyDescent="0.3">
      <c r="G28" s="184"/>
      <c r="H28" s="185"/>
      <c r="I28" s="184"/>
      <c r="J28" s="18"/>
      <c r="K28" s="18"/>
      <c r="L28" s="185"/>
      <c r="M28" s="184"/>
      <c r="N28" s="18"/>
      <c r="O28" s="18"/>
      <c r="P28" s="185"/>
      <c r="Q28" s="184"/>
      <c r="R28" s="18"/>
      <c r="S28" s="18"/>
      <c r="T28" s="18"/>
      <c r="U28" s="185"/>
      <c r="Z28" t="s">
        <v>304</v>
      </c>
    </row>
    <row r="29" spans="1:29" x14ac:dyDescent="0.3">
      <c r="B29" s="972" t="s">
        <v>252</v>
      </c>
      <c r="C29" s="165" t="s">
        <v>253</v>
      </c>
      <c r="D29" s="166">
        <v>35</v>
      </c>
      <c r="E29" s="969" t="s">
        <v>263</v>
      </c>
      <c r="F29" s="176" t="s">
        <v>251</v>
      </c>
      <c r="G29" s="182">
        <v>0</v>
      </c>
      <c r="H29" s="183">
        <v>0</v>
      </c>
      <c r="I29" s="182">
        <v>20000</v>
      </c>
      <c r="J29" s="173">
        <v>0</v>
      </c>
      <c r="K29" s="173">
        <v>20000</v>
      </c>
      <c r="L29" s="183">
        <v>0</v>
      </c>
      <c r="M29" s="182">
        <v>20000</v>
      </c>
      <c r="N29" s="173">
        <v>0</v>
      </c>
      <c r="O29" s="173">
        <v>15000</v>
      </c>
      <c r="P29" s="183">
        <v>0</v>
      </c>
      <c r="Q29" s="182">
        <v>20000</v>
      </c>
      <c r="R29" s="173">
        <v>0</v>
      </c>
      <c r="S29" s="173">
        <v>16000</v>
      </c>
      <c r="T29" s="173">
        <v>0</v>
      </c>
      <c r="U29" s="183">
        <v>0</v>
      </c>
      <c r="V29" s="175">
        <f>SUM(G29:U29)</f>
        <v>111000</v>
      </c>
      <c r="W29" s="62"/>
      <c r="Z29" t="s">
        <v>306</v>
      </c>
    </row>
    <row r="30" spans="1:29" x14ac:dyDescent="0.3">
      <c r="B30" s="918"/>
      <c r="C30" s="165" t="s">
        <v>254</v>
      </c>
      <c r="D30" s="224">
        <v>300</v>
      </c>
      <c r="E30" s="970"/>
      <c r="F30" s="177" t="s">
        <v>94</v>
      </c>
      <c r="G30" s="178"/>
      <c r="H30" s="179">
        <f t="shared" ref="H30:U30" si="5">G30+H29-H31</f>
        <v>0</v>
      </c>
      <c r="I30" s="178">
        <f t="shared" si="5"/>
        <v>15000</v>
      </c>
      <c r="J30" s="174">
        <f t="shared" si="5"/>
        <v>11000</v>
      </c>
      <c r="K30" s="174">
        <f t="shared" si="5"/>
        <v>25000</v>
      </c>
      <c r="L30" s="179">
        <f t="shared" si="5"/>
        <v>22000</v>
      </c>
      <c r="M30" s="178">
        <f t="shared" si="5"/>
        <v>27000</v>
      </c>
      <c r="N30" s="174">
        <f t="shared" si="5"/>
        <v>11000</v>
      </c>
      <c r="O30" s="174">
        <f t="shared" si="5"/>
        <v>22000</v>
      </c>
      <c r="P30" s="179">
        <f t="shared" si="5"/>
        <v>19000</v>
      </c>
      <c r="Q30" s="178">
        <f t="shared" si="5"/>
        <v>34000</v>
      </c>
      <c r="R30" s="174">
        <f t="shared" si="5"/>
        <v>28000</v>
      </c>
      <c r="S30" s="174">
        <f t="shared" si="5"/>
        <v>34000</v>
      </c>
      <c r="T30" s="174">
        <f t="shared" si="5"/>
        <v>31000</v>
      </c>
      <c r="U30" s="179">
        <f t="shared" si="5"/>
        <v>27000</v>
      </c>
      <c r="V30" s="62"/>
      <c r="W30" s="62"/>
    </row>
    <row r="31" spans="1:29" ht="28.8" x14ac:dyDescent="0.3">
      <c r="C31" s="165" t="s">
        <v>276</v>
      </c>
      <c r="D31" s="224">
        <v>500</v>
      </c>
      <c r="E31" s="970"/>
      <c r="F31" s="177" t="s">
        <v>258</v>
      </c>
      <c r="G31" s="178">
        <v>0</v>
      </c>
      <c r="H31" s="179">
        <v>0</v>
      </c>
      <c r="I31" s="178">
        <v>5000</v>
      </c>
      <c r="J31" s="174">
        <v>4000</v>
      </c>
      <c r="K31" s="174">
        <v>6000</v>
      </c>
      <c r="L31" s="179">
        <v>3000</v>
      </c>
      <c r="M31" s="178">
        <v>15000</v>
      </c>
      <c r="N31" s="174">
        <v>16000</v>
      </c>
      <c r="O31" s="174">
        <v>4000</v>
      </c>
      <c r="P31" s="179">
        <v>3000</v>
      </c>
      <c r="Q31" s="178">
        <v>5000</v>
      </c>
      <c r="R31" s="174">
        <v>6000</v>
      </c>
      <c r="S31" s="174">
        <v>10000</v>
      </c>
      <c r="T31" s="174">
        <v>3000</v>
      </c>
      <c r="U31" s="179">
        <v>4000</v>
      </c>
      <c r="V31" s="62">
        <f>SUM(G31:U31)</f>
        <v>84000</v>
      </c>
      <c r="W31" s="175">
        <f>U30+V31</f>
        <v>111000</v>
      </c>
    </row>
    <row r="32" spans="1:29" x14ac:dyDescent="0.3">
      <c r="C32" s="165" t="s">
        <v>277</v>
      </c>
      <c r="D32" s="224">
        <v>30000</v>
      </c>
      <c r="E32" s="970"/>
      <c r="F32" s="177" t="s">
        <v>255</v>
      </c>
      <c r="G32" s="178">
        <f>QUOTIENT(G29+$D$29-1,$D$29)</f>
        <v>0</v>
      </c>
      <c r="H32" s="179">
        <f t="shared" ref="H32:U32" si="6">QUOTIENT(H29+$D$29-1,$D$29)</f>
        <v>0</v>
      </c>
      <c r="I32" s="178">
        <f t="shared" si="6"/>
        <v>572</v>
      </c>
      <c r="J32" s="174">
        <f t="shared" si="6"/>
        <v>0</v>
      </c>
      <c r="K32" s="174">
        <f t="shared" si="6"/>
        <v>572</v>
      </c>
      <c r="L32" s="179">
        <f t="shared" si="6"/>
        <v>0</v>
      </c>
      <c r="M32" s="178">
        <f t="shared" si="6"/>
        <v>572</v>
      </c>
      <c r="N32" s="174">
        <f t="shared" si="6"/>
        <v>0</v>
      </c>
      <c r="O32" s="174">
        <f t="shared" si="6"/>
        <v>429</v>
      </c>
      <c r="P32" s="179">
        <f t="shared" si="6"/>
        <v>0</v>
      </c>
      <c r="Q32" s="178">
        <f t="shared" si="6"/>
        <v>572</v>
      </c>
      <c r="R32" s="174">
        <f t="shared" si="6"/>
        <v>0</v>
      </c>
      <c r="S32" s="174">
        <f t="shared" si="6"/>
        <v>458</v>
      </c>
      <c r="T32" s="174">
        <f t="shared" si="6"/>
        <v>0</v>
      </c>
      <c r="U32" s="179">
        <f t="shared" si="6"/>
        <v>0</v>
      </c>
      <c r="V32" s="62"/>
      <c r="W32" s="62"/>
    </row>
    <row r="33" spans="2:23" x14ac:dyDescent="0.3">
      <c r="E33" s="971"/>
      <c r="F33" s="177" t="s">
        <v>257</v>
      </c>
      <c r="G33" s="178">
        <f>G32*$D$30</f>
        <v>0</v>
      </c>
      <c r="H33" s="179">
        <f t="shared" ref="H33:U33" si="7">H32*$D$30</f>
        <v>0</v>
      </c>
      <c r="I33" s="178">
        <f t="shared" si="7"/>
        <v>171600</v>
      </c>
      <c r="J33" s="174">
        <f t="shared" si="7"/>
        <v>0</v>
      </c>
      <c r="K33" s="174">
        <f t="shared" si="7"/>
        <v>171600</v>
      </c>
      <c r="L33" s="179">
        <f t="shared" si="7"/>
        <v>0</v>
      </c>
      <c r="M33" s="178">
        <f t="shared" si="7"/>
        <v>171600</v>
      </c>
      <c r="N33" s="174">
        <f t="shared" si="7"/>
        <v>0</v>
      </c>
      <c r="O33" s="174">
        <f t="shared" si="7"/>
        <v>128700</v>
      </c>
      <c r="P33" s="179">
        <f t="shared" si="7"/>
        <v>0</v>
      </c>
      <c r="Q33" s="178">
        <f t="shared" si="7"/>
        <v>171600</v>
      </c>
      <c r="R33" s="174">
        <f t="shared" si="7"/>
        <v>0</v>
      </c>
      <c r="S33" s="174">
        <f t="shared" si="7"/>
        <v>137400</v>
      </c>
      <c r="T33" s="174">
        <f t="shared" si="7"/>
        <v>0</v>
      </c>
      <c r="U33" s="179">
        <f t="shared" si="7"/>
        <v>0</v>
      </c>
      <c r="V33" s="62"/>
      <c r="W33" s="62"/>
    </row>
    <row r="34" spans="2:23" x14ac:dyDescent="0.3">
      <c r="G34" s="180"/>
      <c r="H34" s="181"/>
      <c r="I34" s="180"/>
      <c r="J34" s="56"/>
      <c r="K34" s="56"/>
      <c r="L34" s="181"/>
      <c r="M34" s="180"/>
      <c r="N34" s="56"/>
      <c r="O34" s="56"/>
      <c r="P34" s="181"/>
      <c r="Q34" s="180"/>
      <c r="R34" s="56"/>
      <c r="S34" s="56"/>
      <c r="T34" s="56"/>
      <c r="U34" s="181"/>
      <c r="V34" s="62"/>
      <c r="W34" s="62"/>
    </row>
    <row r="35" spans="2:23" x14ac:dyDescent="0.3">
      <c r="B35" s="972" t="s">
        <v>252</v>
      </c>
      <c r="C35" s="165" t="s">
        <v>253</v>
      </c>
      <c r="D35" s="166">
        <v>5000</v>
      </c>
      <c r="E35" s="969" t="s">
        <v>264</v>
      </c>
      <c r="F35" s="176" t="s">
        <v>251</v>
      </c>
      <c r="G35" s="182">
        <v>0</v>
      </c>
      <c r="H35" s="183">
        <v>0</v>
      </c>
      <c r="I35" s="182">
        <v>0</v>
      </c>
      <c r="J35" s="173">
        <v>20000</v>
      </c>
      <c r="K35" s="173">
        <v>0</v>
      </c>
      <c r="L35" s="183">
        <v>0</v>
      </c>
      <c r="M35" s="182">
        <v>0</v>
      </c>
      <c r="N35" s="173">
        <v>22000</v>
      </c>
      <c r="O35" s="173">
        <v>0</v>
      </c>
      <c r="P35" s="183">
        <v>0</v>
      </c>
      <c r="Q35" s="182">
        <v>0</v>
      </c>
      <c r="R35" s="173">
        <v>21000</v>
      </c>
      <c r="S35" s="173">
        <v>0</v>
      </c>
      <c r="T35" s="173">
        <v>0</v>
      </c>
      <c r="U35" s="183">
        <v>0</v>
      </c>
      <c r="V35" s="175">
        <f>SUM(G35:U35)</f>
        <v>63000</v>
      </c>
      <c r="W35" s="62"/>
    </row>
    <row r="36" spans="2:23" x14ac:dyDescent="0.3">
      <c r="B36" s="918"/>
      <c r="C36" s="165" t="s">
        <v>254</v>
      </c>
      <c r="D36" s="167">
        <v>300</v>
      </c>
      <c r="E36" s="970"/>
      <c r="F36" s="177" t="s">
        <v>94</v>
      </c>
      <c r="G36" s="178"/>
      <c r="H36" s="179">
        <f t="shared" ref="H36" si="8">G36+H35-H37</f>
        <v>0</v>
      </c>
      <c r="I36" s="178">
        <f t="shared" ref="I36" si="9">H36+I35-I37</f>
        <v>0</v>
      </c>
      <c r="J36" s="174">
        <f t="shared" ref="J36" si="10">I36+J35-J37</f>
        <v>16000</v>
      </c>
      <c r="K36" s="174">
        <f t="shared" ref="K36" si="11">J36+K35-K37</f>
        <v>10000</v>
      </c>
      <c r="L36" s="179">
        <f t="shared" ref="L36" si="12">K36+L35-L37</f>
        <v>7000</v>
      </c>
      <c r="M36" s="178">
        <f t="shared" ref="M36" si="13">L36+M35-M37</f>
        <v>7000</v>
      </c>
      <c r="N36" s="174">
        <f t="shared" ref="N36" si="14">M36+N35-N37</f>
        <v>13000</v>
      </c>
      <c r="O36" s="174">
        <f t="shared" ref="O36" si="15">N36+O35-O37</f>
        <v>9000</v>
      </c>
      <c r="P36" s="179">
        <f t="shared" ref="P36" si="16">O36+P35-P37</f>
        <v>6000</v>
      </c>
      <c r="Q36" s="178">
        <f t="shared" ref="Q36" si="17">P36+Q35-Q37</f>
        <v>1000</v>
      </c>
      <c r="R36" s="174">
        <f t="shared" ref="R36" si="18">Q36+R35-R37</f>
        <v>16000</v>
      </c>
      <c r="S36" s="174">
        <f t="shared" ref="S36" si="19">R36+S35-S37</f>
        <v>12000</v>
      </c>
      <c r="T36" s="174">
        <f t="shared" ref="T36" si="20">S36+T35-T37</f>
        <v>9000</v>
      </c>
      <c r="U36" s="179">
        <f t="shared" ref="U36" si="21">T36+U35-U37</f>
        <v>5000</v>
      </c>
      <c r="V36" s="62"/>
      <c r="W36" s="62"/>
    </row>
    <row r="37" spans="2:23" ht="28.8" x14ac:dyDescent="0.3">
      <c r="E37" s="970"/>
      <c r="F37" s="177" t="s">
        <v>258</v>
      </c>
      <c r="G37" s="178">
        <v>0</v>
      </c>
      <c r="H37" s="179">
        <v>0</v>
      </c>
      <c r="I37" s="178">
        <v>0</v>
      </c>
      <c r="J37" s="174">
        <v>4000</v>
      </c>
      <c r="K37" s="174">
        <v>6000</v>
      </c>
      <c r="L37" s="179">
        <v>3000</v>
      </c>
      <c r="M37" s="178"/>
      <c r="N37" s="174">
        <v>16000</v>
      </c>
      <c r="O37" s="174">
        <v>4000</v>
      </c>
      <c r="P37" s="179">
        <v>3000</v>
      </c>
      <c r="Q37" s="178">
        <v>5000</v>
      </c>
      <c r="R37" s="174">
        <v>6000</v>
      </c>
      <c r="S37" s="174">
        <v>4000</v>
      </c>
      <c r="T37" s="174">
        <v>3000</v>
      </c>
      <c r="U37" s="179">
        <v>4000</v>
      </c>
      <c r="V37" s="62">
        <f>SUM(G37:U37)</f>
        <v>58000</v>
      </c>
      <c r="W37" s="175">
        <f>U36+V37</f>
        <v>63000</v>
      </c>
    </row>
    <row r="38" spans="2:23" x14ac:dyDescent="0.3">
      <c r="E38" s="970"/>
      <c r="F38" s="177" t="s">
        <v>255</v>
      </c>
      <c r="G38" s="178">
        <f>QUOTIENT(G35+$D$35-1,$D$35)</f>
        <v>0</v>
      </c>
      <c r="H38" s="179">
        <f t="shared" ref="H38:U38" si="22">QUOTIENT(H35+$D$35-1,$D$35)</f>
        <v>0</v>
      </c>
      <c r="I38" s="178">
        <f t="shared" si="22"/>
        <v>0</v>
      </c>
      <c r="J38" s="174">
        <f t="shared" si="22"/>
        <v>4</v>
      </c>
      <c r="K38" s="174">
        <f t="shared" si="22"/>
        <v>0</v>
      </c>
      <c r="L38" s="179">
        <f t="shared" si="22"/>
        <v>0</v>
      </c>
      <c r="M38" s="178">
        <f t="shared" si="22"/>
        <v>0</v>
      </c>
      <c r="N38" s="174">
        <f t="shared" si="22"/>
        <v>5</v>
      </c>
      <c r="O38" s="174">
        <f t="shared" si="22"/>
        <v>0</v>
      </c>
      <c r="P38" s="179">
        <f t="shared" si="22"/>
        <v>0</v>
      </c>
      <c r="Q38" s="178">
        <f t="shared" si="22"/>
        <v>0</v>
      </c>
      <c r="R38" s="174">
        <f t="shared" si="22"/>
        <v>5</v>
      </c>
      <c r="S38" s="174">
        <f t="shared" si="22"/>
        <v>0</v>
      </c>
      <c r="T38" s="174">
        <f t="shared" si="22"/>
        <v>0</v>
      </c>
      <c r="U38" s="179">
        <f t="shared" si="22"/>
        <v>0</v>
      </c>
      <c r="V38" s="62"/>
      <c r="W38" s="62"/>
    </row>
    <row r="39" spans="2:23" x14ac:dyDescent="0.3">
      <c r="E39" s="971"/>
      <c r="F39" s="177" t="s">
        <v>257</v>
      </c>
      <c r="G39" s="178">
        <f>G38*$D$36</f>
        <v>0</v>
      </c>
      <c r="H39" s="179">
        <f t="shared" ref="H39:U39" si="23">H38*$D$36</f>
        <v>0</v>
      </c>
      <c r="I39" s="178">
        <f t="shared" si="23"/>
        <v>0</v>
      </c>
      <c r="J39" s="174">
        <f t="shared" si="23"/>
        <v>1200</v>
      </c>
      <c r="K39" s="174">
        <f t="shared" si="23"/>
        <v>0</v>
      </c>
      <c r="L39" s="179">
        <f t="shared" si="23"/>
        <v>0</v>
      </c>
      <c r="M39" s="178">
        <f t="shared" si="23"/>
        <v>0</v>
      </c>
      <c r="N39" s="174">
        <f t="shared" si="23"/>
        <v>1500</v>
      </c>
      <c r="O39" s="174">
        <f t="shared" si="23"/>
        <v>0</v>
      </c>
      <c r="P39" s="179">
        <f t="shared" si="23"/>
        <v>0</v>
      </c>
      <c r="Q39" s="178">
        <f t="shared" si="23"/>
        <v>0</v>
      </c>
      <c r="R39" s="174">
        <f t="shared" si="23"/>
        <v>1500</v>
      </c>
      <c r="S39" s="174">
        <f t="shared" si="23"/>
        <v>0</v>
      </c>
      <c r="T39" s="174">
        <f t="shared" si="23"/>
        <v>0</v>
      </c>
      <c r="U39" s="179">
        <f t="shared" si="23"/>
        <v>0</v>
      </c>
      <c r="V39" s="62"/>
      <c r="W39" s="62"/>
    </row>
    <row r="40" spans="2:23" x14ac:dyDescent="0.3">
      <c r="G40" s="184"/>
      <c r="H40" s="185"/>
      <c r="I40" s="184"/>
      <c r="J40" s="18"/>
      <c r="K40" s="18"/>
      <c r="L40" s="185"/>
      <c r="M40" s="184"/>
      <c r="N40" s="18"/>
      <c r="O40" s="18"/>
      <c r="P40" s="185"/>
      <c r="Q40" s="184"/>
      <c r="R40" s="18"/>
      <c r="S40" s="18"/>
      <c r="T40" s="18"/>
      <c r="U40" s="185"/>
    </row>
    <row r="41" spans="2:23" x14ac:dyDescent="0.3">
      <c r="B41" s="972" t="s">
        <v>252</v>
      </c>
      <c r="C41" s="165" t="s">
        <v>253</v>
      </c>
      <c r="D41" s="166">
        <v>5000</v>
      </c>
      <c r="E41" s="969" t="s">
        <v>265</v>
      </c>
      <c r="F41" s="176" t="s">
        <v>251</v>
      </c>
      <c r="G41" s="182">
        <v>0</v>
      </c>
      <c r="H41" s="183">
        <v>0</v>
      </c>
      <c r="I41" s="182">
        <v>15000</v>
      </c>
      <c r="J41" s="173">
        <v>0</v>
      </c>
      <c r="K41" s="173">
        <v>0</v>
      </c>
      <c r="L41" s="183">
        <v>0</v>
      </c>
      <c r="M41" s="182">
        <v>17000</v>
      </c>
      <c r="N41" s="173">
        <v>0</v>
      </c>
      <c r="O41" s="173">
        <v>0</v>
      </c>
      <c r="P41" s="183">
        <v>0</v>
      </c>
      <c r="Q41" s="182">
        <v>13600</v>
      </c>
      <c r="R41" s="173">
        <v>0</v>
      </c>
      <c r="S41" s="173">
        <v>0</v>
      </c>
      <c r="T41" s="173">
        <v>0</v>
      </c>
      <c r="U41" s="183">
        <v>0</v>
      </c>
      <c r="V41" s="62">
        <f>SUM(G41:U41)</f>
        <v>45600</v>
      </c>
      <c r="W41" s="62"/>
    </row>
    <row r="42" spans="2:23" x14ac:dyDescent="0.3">
      <c r="B42" s="918"/>
      <c r="C42" s="165" t="s">
        <v>254</v>
      </c>
      <c r="D42" s="167">
        <v>250</v>
      </c>
      <c r="E42" s="970"/>
      <c r="F42" s="177" t="s">
        <v>94</v>
      </c>
      <c r="G42" s="178"/>
      <c r="H42" s="179">
        <f t="shared" ref="H42" si="24">G42+H41-H43</f>
        <v>0</v>
      </c>
      <c r="I42" s="178">
        <f t="shared" ref="I42" si="25">H42+I41-I43</f>
        <v>11000</v>
      </c>
      <c r="J42" s="174">
        <f t="shared" ref="J42" si="26">I42+J41-J43</f>
        <v>7000</v>
      </c>
      <c r="K42" s="174">
        <f t="shared" ref="K42" si="27">J42+K41-K43</f>
        <v>4000</v>
      </c>
      <c r="L42" s="179">
        <f t="shared" ref="L42" si="28">K42+L41-L43</f>
        <v>2000</v>
      </c>
      <c r="M42" s="178">
        <f t="shared" ref="M42" si="29">L42+M41-M43</f>
        <v>19000</v>
      </c>
      <c r="N42" s="174">
        <f t="shared" ref="N42" si="30">M42+N41-N43</f>
        <v>13000</v>
      </c>
      <c r="O42" s="174">
        <f t="shared" ref="O42" si="31">N42+O41-O43</f>
        <v>9000</v>
      </c>
      <c r="P42" s="179">
        <f t="shared" ref="P42" si="32">O42+P41-P43</f>
        <v>7000</v>
      </c>
      <c r="Q42" s="178">
        <f t="shared" ref="Q42" si="33">P42+Q41-Q43</f>
        <v>15600</v>
      </c>
      <c r="R42" s="174">
        <f t="shared" ref="R42" si="34">Q42+R41-R43</f>
        <v>11600</v>
      </c>
      <c r="S42" s="174">
        <f t="shared" ref="S42" si="35">R42+S41-S43</f>
        <v>8600</v>
      </c>
      <c r="T42" s="174">
        <f t="shared" ref="T42" si="36">S42+T41-T43</f>
        <v>8600</v>
      </c>
      <c r="U42" s="179">
        <f t="shared" ref="U42" si="37">T42+U41-U43</f>
        <v>4600</v>
      </c>
      <c r="V42" s="62"/>
      <c r="W42" s="62"/>
    </row>
    <row r="43" spans="2:23" ht="28.8" x14ac:dyDescent="0.3">
      <c r="E43" s="970"/>
      <c r="F43" s="177" t="s">
        <v>258</v>
      </c>
      <c r="G43" s="178">
        <v>0</v>
      </c>
      <c r="H43" s="179">
        <v>0</v>
      </c>
      <c r="I43" s="178">
        <v>4000</v>
      </c>
      <c r="J43" s="174">
        <v>4000</v>
      </c>
      <c r="K43" s="174">
        <v>3000</v>
      </c>
      <c r="L43" s="179">
        <v>2000</v>
      </c>
      <c r="M43" s="178"/>
      <c r="N43" s="174">
        <v>6000</v>
      </c>
      <c r="O43" s="174">
        <v>4000</v>
      </c>
      <c r="P43" s="179">
        <v>2000</v>
      </c>
      <c r="Q43" s="178">
        <v>5000</v>
      </c>
      <c r="R43" s="174">
        <v>4000</v>
      </c>
      <c r="S43" s="174">
        <v>3000</v>
      </c>
      <c r="T43" s="174"/>
      <c r="U43" s="179">
        <v>4000</v>
      </c>
      <c r="V43" s="62">
        <f>SUM(G43:U43)</f>
        <v>41000</v>
      </c>
      <c r="W43" s="175">
        <f>U42+V43</f>
        <v>45600</v>
      </c>
    </row>
    <row r="44" spans="2:23" x14ac:dyDescent="0.3">
      <c r="E44" s="970"/>
      <c r="F44" s="177" t="s">
        <v>255</v>
      </c>
      <c r="G44" s="178">
        <f>QUOTIENT(G41+$D$41-1,$D$41)</f>
        <v>0</v>
      </c>
      <c r="H44" s="179">
        <f t="shared" ref="H44:U44" si="38">QUOTIENT(H41+$D$41-1,$D$41)</f>
        <v>0</v>
      </c>
      <c r="I44" s="178">
        <f t="shared" si="38"/>
        <v>3</v>
      </c>
      <c r="J44" s="174">
        <f t="shared" si="38"/>
        <v>0</v>
      </c>
      <c r="K44" s="174">
        <f t="shared" si="38"/>
        <v>0</v>
      </c>
      <c r="L44" s="179">
        <f t="shared" si="38"/>
        <v>0</v>
      </c>
      <c r="M44" s="178">
        <f t="shared" si="38"/>
        <v>4</v>
      </c>
      <c r="N44" s="174">
        <f t="shared" si="38"/>
        <v>0</v>
      </c>
      <c r="O44" s="174">
        <f t="shared" si="38"/>
        <v>0</v>
      </c>
      <c r="P44" s="179">
        <f t="shared" si="38"/>
        <v>0</v>
      </c>
      <c r="Q44" s="178">
        <f t="shared" si="38"/>
        <v>3</v>
      </c>
      <c r="R44" s="174">
        <f t="shared" si="38"/>
        <v>0</v>
      </c>
      <c r="S44" s="174">
        <f t="shared" si="38"/>
        <v>0</v>
      </c>
      <c r="T44" s="174">
        <f t="shared" si="38"/>
        <v>0</v>
      </c>
      <c r="U44" s="179">
        <f t="shared" si="38"/>
        <v>0</v>
      </c>
      <c r="V44" s="62"/>
      <c r="W44" s="62"/>
    </row>
    <row r="45" spans="2:23" x14ac:dyDescent="0.3">
      <c r="E45" s="971"/>
      <c r="F45" s="177" t="s">
        <v>257</v>
      </c>
      <c r="G45" s="178">
        <f>G44*$D$42</f>
        <v>0</v>
      </c>
      <c r="H45" s="179">
        <f t="shared" ref="H45:U45" si="39">H44*$D$42</f>
        <v>0</v>
      </c>
      <c r="I45" s="178">
        <f t="shared" si="39"/>
        <v>750</v>
      </c>
      <c r="J45" s="174">
        <f t="shared" si="39"/>
        <v>0</v>
      </c>
      <c r="K45" s="174">
        <f t="shared" si="39"/>
        <v>0</v>
      </c>
      <c r="L45" s="179">
        <f t="shared" si="39"/>
        <v>0</v>
      </c>
      <c r="M45" s="178">
        <f t="shared" si="39"/>
        <v>1000</v>
      </c>
      <c r="N45" s="174">
        <f t="shared" si="39"/>
        <v>0</v>
      </c>
      <c r="O45" s="174">
        <f t="shared" si="39"/>
        <v>0</v>
      </c>
      <c r="P45" s="179">
        <f t="shared" si="39"/>
        <v>0</v>
      </c>
      <c r="Q45" s="178">
        <f t="shared" si="39"/>
        <v>750</v>
      </c>
      <c r="R45" s="174">
        <f t="shared" si="39"/>
        <v>0</v>
      </c>
      <c r="S45" s="174">
        <f t="shared" si="39"/>
        <v>0</v>
      </c>
      <c r="T45" s="174">
        <f t="shared" si="39"/>
        <v>0</v>
      </c>
      <c r="U45" s="179">
        <f t="shared" si="39"/>
        <v>0</v>
      </c>
      <c r="V45" s="62"/>
      <c r="W45" s="62"/>
    </row>
    <row r="46" spans="2:23" x14ac:dyDescent="0.3">
      <c r="G46" s="184"/>
      <c r="H46" s="185"/>
      <c r="I46" s="184"/>
      <c r="J46" s="18"/>
      <c r="K46" s="18"/>
      <c r="L46" s="185"/>
      <c r="M46" s="184"/>
      <c r="N46" s="18"/>
      <c r="O46" s="18"/>
      <c r="P46" s="185"/>
      <c r="Q46" s="184"/>
      <c r="R46" s="18"/>
      <c r="S46" s="18"/>
      <c r="T46" s="18"/>
      <c r="U46" s="185"/>
    </row>
    <row r="47" spans="2:23" x14ac:dyDescent="0.3">
      <c r="B47" s="975" t="s">
        <v>259</v>
      </c>
      <c r="C47" s="165" t="s">
        <v>253</v>
      </c>
      <c r="D47" s="166">
        <v>10000</v>
      </c>
      <c r="E47" s="969" t="s">
        <v>261</v>
      </c>
      <c r="F47" s="176" t="s">
        <v>251</v>
      </c>
      <c r="G47" s="182"/>
      <c r="H47" s="183"/>
      <c r="I47" s="182">
        <v>60000</v>
      </c>
      <c r="J47" s="173">
        <v>0</v>
      </c>
      <c r="K47" s="173">
        <v>58600</v>
      </c>
      <c r="L47" s="183">
        <v>0</v>
      </c>
      <c r="M47" s="182">
        <v>62700</v>
      </c>
      <c r="N47" s="173">
        <v>0</v>
      </c>
      <c r="O47" s="173">
        <v>62700</v>
      </c>
      <c r="P47" s="183">
        <v>0</v>
      </c>
      <c r="Q47" s="182">
        <v>61600</v>
      </c>
      <c r="R47" s="173">
        <v>0</v>
      </c>
      <c r="S47" s="173">
        <v>61600</v>
      </c>
      <c r="T47" s="173">
        <v>0</v>
      </c>
      <c r="U47" s="183">
        <v>0</v>
      </c>
      <c r="V47" s="62">
        <f>SUM(G47:U47)</f>
        <v>367200</v>
      </c>
      <c r="W47" s="62"/>
    </row>
    <row r="48" spans="2:23" x14ac:dyDescent="0.3">
      <c r="B48" s="976"/>
      <c r="C48" s="165" t="s">
        <v>254</v>
      </c>
      <c r="D48" s="167">
        <v>900</v>
      </c>
      <c r="E48" s="973"/>
      <c r="F48" s="177" t="s">
        <v>94</v>
      </c>
      <c r="G48" s="178"/>
      <c r="H48" s="179">
        <f t="shared" ref="H48" si="40">G48+H47-H49</f>
        <v>0</v>
      </c>
      <c r="I48" s="178">
        <f t="shared" ref="I48" si="41">H48+I47-I49</f>
        <v>60000</v>
      </c>
      <c r="J48" s="174">
        <f t="shared" ref="J48" si="42">I48+J47-J49</f>
        <v>60000</v>
      </c>
      <c r="K48" s="174">
        <f t="shared" ref="K48" si="43">J48+K47-K49</f>
        <v>118600</v>
      </c>
      <c r="L48" s="179">
        <f t="shared" ref="L48" si="44">K48+L47-L49</f>
        <v>118600</v>
      </c>
      <c r="M48" s="178">
        <f t="shared" ref="M48" si="45">L48+M47-M49</f>
        <v>181300</v>
      </c>
      <c r="N48" s="174">
        <f t="shared" ref="N48" si="46">M48+N47-N49</f>
        <v>181300</v>
      </c>
      <c r="O48" s="174">
        <f t="shared" ref="O48" si="47">N48+O47-O49</f>
        <v>244000</v>
      </c>
      <c r="P48" s="179">
        <f t="shared" ref="P48" si="48">O48+P47-P49</f>
        <v>244000</v>
      </c>
      <c r="Q48" s="178">
        <f t="shared" ref="Q48" si="49">P48+Q47-Q49</f>
        <v>305600</v>
      </c>
      <c r="R48" s="174">
        <f t="shared" ref="R48" si="50">Q48+R47-R49</f>
        <v>305600</v>
      </c>
      <c r="S48" s="174">
        <f t="shared" ref="S48" si="51">R48+S47-S49</f>
        <v>367200</v>
      </c>
      <c r="T48" s="174">
        <f t="shared" ref="T48" si="52">S48+T47-T49</f>
        <v>367200</v>
      </c>
      <c r="U48" s="179">
        <f t="shared" ref="U48" si="53">T48+U47-U49</f>
        <v>367200</v>
      </c>
      <c r="V48" s="62"/>
      <c r="W48" s="62"/>
    </row>
    <row r="49" spans="2:23" ht="28.8" x14ac:dyDescent="0.3">
      <c r="E49" s="973"/>
      <c r="F49" s="177" t="s">
        <v>258</v>
      </c>
      <c r="G49" s="178">
        <v>0</v>
      </c>
      <c r="H49" s="179">
        <v>0</v>
      </c>
      <c r="I49" s="178"/>
      <c r="J49" s="174"/>
      <c r="K49" s="174"/>
      <c r="L49" s="179"/>
      <c r="M49" s="178"/>
      <c r="N49" s="174"/>
      <c r="O49" s="174"/>
      <c r="P49" s="179"/>
      <c r="Q49" s="178"/>
      <c r="R49" s="174"/>
      <c r="S49" s="174"/>
      <c r="T49" s="174"/>
      <c r="U49" s="179"/>
      <c r="V49" s="62">
        <f>SUM(G49:U49)</f>
        <v>0</v>
      </c>
      <c r="W49" s="175">
        <f>U48+V49</f>
        <v>367200</v>
      </c>
    </row>
    <row r="50" spans="2:23" x14ac:dyDescent="0.3">
      <c r="E50" s="973"/>
      <c r="F50" s="177" t="s">
        <v>255</v>
      </c>
      <c r="G50" s="178">
        <f>QUOTIENT(G47+$D$47-1,$D$47)</f>
        <v>0</v>
      </c>
      <c r="H50" s="179">
        <f>QUOTIENT(H47+$D$47-1,$D$47)</f>
        <v>0</v>
      </c>
      <c r="I50" s="178">
        <f t="shared" ref="I50:U50" si="54">QUOTIENT(I47+$D$47-1,$D$47)</f>
        <v>6</v>
      </c>
      <c r="J50" s="174">
        <f t="shared" si="54"/>
        <v>0</v>
      </c>
      <c r="K50" s="174">
        <f t="shared" si="54"/>
        <v>6</v>
      </c>
      <c r="L50" s="179">
        <f t="shared" si="54"/>
        <v>0</v>
      </c>
      <c r="M50" s="178">
        <f t="shared" si="54"/>
        <v>7</v>
      </c>
      <c r="N50" s="174">
        <f t="shared" si="54"/>
        <v>0</v>
      </c>
      <c r="O50" s="174">
        <f t="shared" si="54"/>
        <v>7</v>
      </c>
      <c r="P50" s="179">
        <f t="shared" si="54"/>
        <v>0</v>
      </c>
      <c r="Q50" s="178">
        <f t="shared" si="54"/>
        <v>7</v>
      </c>
      <c r="R50" s="174">
        <f t="shared" si="54"/>
        <v>0</v>
      </c>
      <c r="S50" s="174">
        <f t="shared" si="54"/>
        <v>7</v>
      </c>
      <c r="T50" s="174">
        <f t="shared" si="54"/>
        <v>0</v>
      </c>
      <c r="U50" s="179">
        <f t="shared" si="54"/>
        <v>0</v>
      </c>
      <c r="V50" s="62"/>
      <c r="W50" s="62"/>
    </row>
    <row r="51" spans="2:23" x14ac:dyDescent="0.3">
      <c r="E51" s="974"/>
      <c r="F51" s="177" t="s">
        <v>257</v>
      </c>
      <c r="G51" s="178">
        <f>G50*$D$48</f>
        <v>0</v>
      </c>
      <c r="H51" s="179">
        <f>H50*$D$48</f>
        <v>0</v>
      </c>
      <c r="I51" s="178">
        <f t="shared" ref="I51:U51" si="55">I50*$D$48</f>
        <v>5400</v>
      </c>
      <c r="J51" s="174">
        <f t="shared" si="55"/>
        <v>0</v>
      </c>
      <c r="K51" s="174">
        <f t="shared" si="55"/>
        <v>5400</v>
      </c>
      <c r="L51" s="179">
        <f t="shared" si="55"/>
        <v>0</v>
      </c>
      <c r="M51" s="178">
        <f t="shared" si="55"/>
        <v>6300</v>
      </c>
      <c r="N51" s="174">
        <f t="shared" si="55"/>
        <v>0</v>
      </c>
      <c r="O51" s="174">
        <f t="shared" si="55"/>
        <v>6300</v>
      </c>
      <c r="P51" s="179">
        <f t="shared" si="55"/>
        <v>0</v>
      </c>
      <c r="Q51" s="178">
        <f t="shared" si="55"/>
        <v>6300</v>
      </c>
      <c r="R51" s="174">
        <f t="shared" si="55"/>
        <v>0</v>
      </c>
      <c r="S51" s="174">
        <f t="shared" si="55"/>
        <v>6300</v>
      </c>
      <c r="T51" s="174">
        <f t="shared" si="55"/>
        <v>0</v>
      </c>
      <c r="U51" s="179">
        <f t="shared" si="55"/>
        <v>0</v>
      </c>
      <c r="V51" s="62"/>
      <c r="W51" s="62"/>
    </row>
    <row r="52" spans="2:23" x14ac:dyDescent="0.3">
      <c r="G52" s="184"/>
      <c r="H52" s="185"/>
      <c r="I52" s="184"/>
      <c r="J52" s="18"/>
      <c r="K52" s="18"/>
      <c r="L52" s="185"/>
      <c r="M52" s="184"/>
      <c r="N52" s="18"/>
      <c r="O52" s="18"/>
      <c r="P52" s="185"/>
      <c r="Q52" s="184"/>
      <c r="R52" s="18"/>
      <c r="S52" s="18"/>
      <c r="T52" s="18"/>
      <c r="U52" s="185"/>
    </row>
    <row r="53" spans="2:23" x14ac:dyDescent="0.3">
      <c r="B53" s="975" t="s">
        <v>259</v>
      </c>
      <c r="C53" s="165" t="s">
        <v>253</v>
      </c>
      <c r="D53" s="166">
        <v>10000</v>
      </c>
      <c r="E53" s="969" t="s">
        <v>262</v>
      </c>
      <c r="F53" s="176" t="s">
        <v>251</v>
      </c>
      <c r="G53" s="182">
        <v>0</v>
      </c>
      <c r="H53" s="183">
        <v>0</v>
      </c>
      <c r="I53" s="182">
        <v>40000</v>
      </c>
      <c r="J53" s="173">
        <v>0</v>
      </c>
      <c r="K53" s="173">
        <v>31400</v>
      </c>
      <c r="L53" s="183">
        <v>0</v>
      </c>
      <c r="M53" s="182">
        <v>0</v>
      </c>
      <c r="N53" s="173">
        <v>30000</v>
      </c>
      <c r="O53" s="173">
        <v>36600</v>
      </c>
      <c r="P53" s="225">
        <v>0</v>
      </c>
      <c r="Q53" s="182">
        <v>0</v>
      </c>
      <c r="R53" s="173">
        <v>36100</v>
      </c>
      <c r="S53" s="173">
        <v>36100</v>
      </c>
      <c r="T53" s="173">
        <v>0</v>
      </c>
      <c r="U53" s="183">
        <v>0</v>
      </c>
      <c r="V53" s="62">
        <f>SUM(G53:U53)</f>
        <v>210200</v>
      </c>
      <c r="W53" s="62"/>
    </row>
    <row r="54" spans="2:23" x14ac:dyDescent="0.3">
      <c r="B54" s="976"/>
      <c r="C54" s="165" t="s">
        <v>254</v>
      </c>
      <c r="D54" s="167">
        <v>800</v>
      </c>
      <c r="E54" s="973"/>
      <c r="F54" s="177" t="s">
        <v>94</v>
      </c>
      <c r="G54" s="178"/>
      <c r="H54" s="179">
        <f t="shared" ref="H54" si="56">G54+H53-H55</f>
        <v>0</v>
      </c>
      <c r="I54" s="178">
        <f t="shared" ref="I54" si="57">H54+I53-I55</f>
        <v>36000</v>
      </c>
      <c r="J54" s="174">
        <f t="shared" ref="J54" si="58">I54+J53-J55</f>
        <v>32000</v>
      </c>
      <c r="K54" s="174">
        <f t="shared" ref="K54" si="59">J54+K53-K55</f>
        <v>60400</v>
      </c>
      <c r="L54" s="179">
        <f t="shared" ref="L54" si="60">K54+L53-L55</f>
        <v>58400</v>
      </c>
      <c r="M54" s="178">
        <f t="shared" ref="M54" si="61">L54+M53-M55</f>
        <v>58400</v>
      </c>
      <c r="N54" s="174">
        <f t="shared" ref="N54" si="62">M54+N53-N55</f>
        <v>76400</v>
      </c>
      <c r="O54" s="174">
        <f t="shared" ref="O54" si="63">N54+O53-O55</f>
        <v>109000</v>
      </c>
      <c r="P54" s="179">
        <f t="shared" ref="P54" si="64">O54+P53-P55</f>
        <v>107000</v>
      </c>
      <c r="Q54" s="178">
        <f t="shared" ref="Q54" si="65">P54+Q53-Q55</f>
        <v>102000</v>
      </c>
      <c r="R54" s="174">
        <f t="shared" ref="R54" si="66">Q54+R53-R55</f>
        <v>134100</v>
      </c>
      <c r="S54" s="174">
        <f t="shared" ref="S54" si="67">R54+S53-S55</f>
        <v>166200</v>
      </c>
      <c r="T54" s="174">
        <f t="shared" ref="T54" si="68">S54+T53-T55</f>
        <v>163200</v>
      </c>
      <c r="U54" s="179">
        <f t="shared" ref="U54" si="69">T54+U53-U55</f>
        <v>159200</v>
      </c>
      <c r="V54" s="62"/>
      <c r="W54" s="62"/>
    </row>
    <row r="55" spans="2:23" ht="28.8" x14ac:dyDescent="0.3">
      <c r="E55" s="973"/>
      <c r="F55" s="177" t="s">
        <v>258</v>
      </c>
      <c r="G55" s="178">
        <v>0</v>
      </c>
      <c r="H55" s="179">
        <v>0</v>
      </c>
      <c r="I55" s="178">
        <v>4000</v>
      </c>
      <c r="J55" s="174">
        <v>4000</v>
      </c>
      <c r="K55" s="174">
        <v>3000</v>
      </c>
      <c r="L55" s="179">
        <v>2000</v>
      </c>
      <c r="M55" s="178"/>
      <c r="N55" s="174">
        <v>12000</v>
      </c>
      <c r="O55" s="174">
        <v>4000</v>
      </c>
      <c r="P55" s="179">
        <v>2000</v>
      </c>
      <c r="Q55" s="178">
        <v>5000</v>
      </c>
      <c r="R55" s="174">
        <v>4000</v>
      </c>
      <c r="S55" s="174">
        <v>4000</v>
      </c>
      <c r="T55" s="174">
        <v>3000</v>
      </c>
      <c r="U55" s="179">
        <v>4000</v>
      </c>
      <c r="V55" s="62">
        <f>SUM(G55:U55)</f>
        <v>51000</v>
      </c>
      <c r="W55" s="175">
        <f>U54+V55</f>
        <v>210200</v>
      </c>
    </row>
    <row r="56" spans="2:23" x14ac:dyDescent="0.3">
      <c r="E56" s="973"/>
      <c r="F56" s="177" t="s">
        <v>255</v>
      </c>
      <c r="G56" s="178">
        <f>QUOTIENT(G53+$D$53-1,$D$53)</f>
        <v>0</v>
      </c>
      <c r="H56" s="179">
        <f>QUOTIENT(H53+$D$53-1,$D$53)</f>
        <v>0</v>
      </c>
      <c r="I56" s="178">
        <f t="shared" ref="I56:U56" si="70">QUOTIENT(I53+$D$53-1,$D$53)</f>
        <v>4</v>
      </c>
      <c r="J56" s="174">
        <f t="shared" si="70"/>
        <v>0</v>
      </c>
      <c r="K56" s="174">
        <f t="shared" si="70"/>
        <v>4</v>
      </c>
      <c r="L56" s="179">
        <f t="shared" si="70"/>
        <v>0</v>
      </c>
      <c r="M56" s="178">
        <f t="shared" si="70"/>
        <v>0</v>
      </c>
      <c r="N56" s="174">
        <f t="shared" si="70"/>
        <v>3</v>
      </c>
      <c r="O56" s="174">
        <f t="shared" si="70"/>
        <v>4</v>
      </c>
      <c r="P56" s="179">
        <f t="shared" si="70"/>
        <v>0</v>
      </c>
      <c r="Q56" s="178">
        <f t="shared" si="70"/>
        <v>0</v>
      </c>
      <c r="R56" s="174">
        <f t="shared" si="70"/>
        <v>4</v>
      </c>
      <c r="S56" s="174">
        <f t="shared" si="70"/>
        <v>4</v>
      </c>
      <c r="T56" s="174">
        <f t="shared" si="70"/>
        <v>0</v>
      </c>
      <c r="U56" s="179">
        <f t="shared" si="70"/>
        <v>0</v>
      </c>
      <c r="V56" s="62"/>
      <c r="W56" s="62"/>
    </row>
    <row r="57" spans="2:23" x14ac:dyDescent="0.3">
      <c r="E57" s="974"/>
      <c r="F57" s="177" t="s">
        <v>257</v>
      </c>
      <c r="G57" s="207">
        <f t="shared" ref="G57:H57" si="71">G56*$D$54</f>
        <v>0</v>
      </c>
      <c r="H57" s="206">
        <f t="shared" si="71"/>
        <v>0</v>
      </c>
      <c r="I57" s="207">
        <f>I56*$D$54</f>
        <v>3200</v>
      </c>
      <c r="J57" s="205">
        <f t="shared" ref="J57" si="72">J56*$D$54</f>
        <v>0</v>
      </c>
      <c r="K57" s="205">
        <f t="shared" ref="K57:L57" si="73">K56*$D$54</f>
        <v>3200</v>
      </c>
      <c r="L57" s="206">
        <f t="shared" si="73"/>
        <v>0</v>
      </c>
      <c r="M57" s="207">
        <f t="shared" ref="M57" si="74">M56*$D$54</f>
        <v>0</v>
      </c>
      <c r="N57" s="205">
        <f t="shared" ref="N57:O57" si="75">N56*$D$54</f>
        <v>2400</v>
      </c>
      <c r="O57" s="205">
        <f t="shared" si="75"/>
        <v>3200</v>
      </c>
      <c r="P57" s="206">
        <f t="shared" ref="P57" si="76">P56*$D$54</f>
        <v>0</v>
      </c>
      <c r="Q57" s="207">
        <f t="shared" ref="Q57:R57" si="77">Q56*$D$54</f>
        <v>0</v>
      </c>
      <c r="R57" s="205">
        <f t="shared" si="77"/>
        <v>3200</v>
      </c>
      <c r="S57" s="205">
        <f t="shared" ref="S57" si="78">S56*$D$54</f>
        <v>3200</v>
      </c>
      <c r="T57" s="205">
        <f t="shared" ref="T57:U57" si="79">T56*$D$54</f>
        <v>0</v>
      </c>
      <c r="U57" s="206">
        <f t="shared" si="79"/>
        <v>0</v>
      </c>
      <c r="V57" s="62"/>
      <c r="W57" s="62"/>
    </row>
    <row r="58" spans="2:23" x14ac:dyDescent="0.3">
      <c r="G58" s="210"/>
      <c r="H58" s="209"/>
      <c r="I58" s="210"/>
      <c r="J58" s="208"/>
      <c r="K58" s="208"/>
      <c r="L58" s="209"/>
      <c r="M58" s="210"/>
      <c r="N58" s="208"/>
      <c r="O58" s="208"/>
      <c r="P58" s="209"/>
      <c r="Q58" s="210"/>
      <c r="R58" s="208"/>
      <c r="S58" s="208"/>
      <c r="T58" s="208"/>
      <c r="U58" s="209"/>
    </row>
    <row r="59" spans="2:23" x14ac:dyDescent="0.3">
      <c r="F59" s="222" t="s">
        <v>271</v>
      </c>
      <c r="G59" s="195"/>
      <c r="H59" s="196"/>
      <c r="I59" s="200">
        <f t="shared" ref="I59:U59" si="80">I32+I38+I44</f>
        <v>575</v>
      </c>
      <c r="J59" s="194">
        <f t="shared" si="80"/>
        <v>4</v>
      </c>
      <c r="K59" s="194">
        <f t="shared" si="80"/>
        <v>572</v>
      </c>
      <c r="L59" s="201">
        <f t="shared" si="80"/>
        <v>0</v>
      </c>
      <c r="M59" s="200">
        <f t="shared" si="80"/>
        <v>576</v>
      </c>
      <c r="N59" s="194">
        <f t="shared" si="80"/>
        <v>5</v>
      </c>
      <c r="O59" s="194">
        <f t="shared" si="80"/>
        <v>429</v>
      </c>
      <c r="P59" s="201">
        <f t="shared" si="80"/>
        <v>0</v>
      </c>
      <c r="Q59" s="200">
        <f t="shared" si="80"/>
        <v>575</v>
      </c>
      <c r="R59" s="194">
        <f t="shared" si="80"/>
        <v>5</v>
      </c>
      <c r="S59" s="194">
        <f t="shared" si="80"/>
        <v>458</v>
      </c>
      <c r="T59" s="194">
        <f t="shared" si="80"/>
        <v>0</v>
      </c>
      <c r="U59" s="201">
        <f t="shared" si="80"/>
        <v>0</v>
      </c>
    </row>
    <row r="60" spans="2:23" x14ac:dyDescent="0.3">
      <c r="F60" s="223" t="s">
        <v>272</v>
      </c>
      <c r="G60" s="195"/>
      <c r="H60" s="196"/>
      <c r="I60" s="200">
        <f t="shared" ref="I60:U60" si="81">I50+I56</f>
        <v>10</v>
      </c>
      <c r="J60" s="194">
        <f t="shared" si="81"/>
        <v>0</v>
      </c>
      <c r="K60" s="194">
        <f t="shared" si="81"/>
        <v>10</v>
      </c>
      <c r="L60" s="201">
        <f t="shared" si="81"/>
        <v>0</v>
      </c>
      <c r="M60" s="200">
        <f t="shared" si="81"/>
        <v>7</v>
      </c>
      <c r="N60" s="194">
        <f t="shared" si="81"/>
        <v>3</v>
      </c>
      <c r="O60" s="194">
        <f t="shared" si="81"/>
        <v>11</v>
      </c>
      <c r="P60" s="201">
        <f t="shared" si="81"/>
        <v>0</v>
      </c>
      <c r="Q60" s="200">
        <f t="shared" si="81"/>
        <v>7</v>
      </c>
      <c r="R60" s="194">
        <f t="shared" si="81"/>
        <v>4</v>
      </c>
      <c r="S60" s="194">
        <f t="shared" si="81"/>
        <v>11</v>
      </c>
      <c r="T60" s="194">
        <f t="shared" si="81"/>
        <v>0</v>
      </c>
      <c r="U60" s="201">
        <f t="shared" si="81"/>
        <v>0</v>
      </c>
    </row>
    <row r="61" spans="2:23" x14ac:dyDescent="0.3">
      <c r="G61" s="184"/>
      <c r="H61" s="185"/>
      <c r="I61" s="184"/>
      <c r="J61" s="18"/>
      <c r="K61" s="18"/>
      <c r="L61" s="185"/>
      <c r="M61" s="184"/>
      <c r="N61" s="18"/>
      <c r="O61" s="18"/>
      <c r="P61" s="185"/>
      <c r="Q61" s="184"/>
      <c r="R61" s="18"/>
      <c r="S61" s="18"/>
      <c r="T61" s="18"/>
      <c r="U61" s="185"/>
    </row>
    <row r="62" spans="2:23" x14ac:dyDescent="0.3">
      <c r="E62" s="958" t="s">
        <v>275</v>
      </c>
      <c r="F62" s="211" t="s">
        <v>251</v>
      </c>
      <c r="G62" s="212">
        <v>0</v>
      </c>
      <c r="H62" s="213">
        <v>0</v>
      </c>
      <c r="I62" s="212">
        <v>15000</v>
      </c>
      <c r="J62" s="214">
        <v>0</v>
      </c>
      <c r="K62" s="214">
        <v>0</v>
      </c>
      <c r="L62" s="213">
        <v>0</v>
      </c>
      <c r="M62" s="212">
        <v>17000</v>
      </c>
      <c r="N62" s="214">
        <v>0</v>
      </c>
      <c r="O62" s="214">
        <v>0</v>
      </c>
      <c r="P62" s="213">
        <v>0</v>
      </c>
      <c r="Q62" s="212">
        <v>13600</v>
      </c>
      <c r="R62" s="214">
        <v>0</v>
      </c>
      <c r="S62" s="214">
        <v>0</v>
      </c>
      <c r="T62" s="214">
        <v>0</v>
      </c>
      <c r="U62" s="213">
        <v>0</v>
      </c>
    </row>
    <row r="63" spans="2:23" x14ac:dyDescent="0.3">
      <c r="E63" s="959"/>
      <c r="F63" s="215" t="s">
        <v>94</v>
      </c>
      <c r="G63" s="216"/>
      <c r="H63" s="217">
        <f t="shared" ref="H63" si="82">G63+H62-H64</f>
        <v>0</v>
      </c>
      <c r="I63" s="216">
        <f t="shared" ref="I63" si="83">H63+I62-I64</f>
        <v>11000</v>
      </c>
      <c r="J63" s="218">
        <f t="shared" ref="J63" si="84">I63+J62-J64</f>
        <v>7000</v>
      </c>
      <c r="K63" s="218">
        <f t="shared" ref="K63" si="85">J63+K62-K64</f>
        <v>4000</v>
      </c>
      <c r="L63" s="217">
        <f t="shared" ref="L63" si="86">K63+L62-L64</f>
        <v>2000</v>
      </c>
      <c r="M63" s="216">
        <f t="shared" ref="M63" si="87">L63+M62-M64</f>
        <v>19000</v>
      </c>
      <c r="N63" s="218">
        <f t="shared" ref="N63" si="88">M63+N62-N64</f>
        <v>7000</v>
      </c>
      <c r="O63" s="218">
        <f t="shared" ref="O63" si="89">N63+O62-O64</f>
        <v>3000</v>
      </c>
      <c r="P63" s="217">
        <f t="shared" ref="P63" si="90">O63+P62-P64</f>
        <v>1000</v>
      </c>
      <c r="Q63" s="216">
        <f t="shared" ref="Q63" si="91">P63+Q62-Q64</f>
        <v>9600</v>
      </c>
      <c r="R63" s="218">
        <f t="shared" ref="R63" si="92">Q63+R62-R64</f>
        <v>5600</v>
      </c>
      <c r="S63" s="218">
        <f t="shared" ref="S63" si="93">R63+S62-S64</f>
        <v>1600</v>
      </c>
      <c r="T63" s="218">
        <f t="shared" ref="T63" si="94">S63+T62-T64</f>
        <v>-1400</v>
      </c>
      <c r="U63" s="217">
        <f t="shared" ref="U63" si="95">T63+U62-U64</f>
        <v>-5400</v>
      </c>
    </row>
    <row r="64" spans="2:23" ht="28.8" x14ac:dyDescent="0.3">
      <c r="E64" s="959"/>
      <c r="F64" s="215" t="s">
        <v>258</v>
      </c>
      <c r="G64" s="216">
        <v>0</v>
      </c>
      <c r="H64" s="217">
        <v>0</v>
      </c>
      <c r="I64" s="216">
        <v>4000</v>
      </c>
      <c r="J64" s="218">
        <v>4000</v>
      </c>
      <c r="K64" s="218">
        <v>3000</v>
      </c>
      <c r="L64" s="217">
        <v>2000</v>
      </c>
      <c r="M64" s="216"/>
      <c r="N64" s="218">
        <v>12000</v>
      </c>
      <c r="O64" s="218">
        <v>4000</v>
      </c>
      <c r="P64" s="217">
        <v>2000</v>
      </c>
      <c r="Q64" s="216">
        <v>5000</v>
      </c>
      <c r="R64" s="218">
        <v>4000</v>
      </c>
      <c r="S64" s="218">
        <v>4000</v>
      </c>
      <c r="T64" s="218">
        <v>3000</v>
      </c>
      <c r="U64" s="217">
        <v>4000</v>
      </c>
    </row>
    <row r="65" spans="5:33" x14ac:dyDescent="0.3">
      <c r="E65" s="959"/>
      <c r="F65" s="215" t="s">
        <v>255</v>
      </c>
      <c r="G65" s="216">
        <f>QUOTIENT(G62+$D$41-1,$D$41)</f>
        <v>0</v>
      </c>
      <c r="H65" s="217">
        <f t="shared" ref="H65:U65" si="96">QUOTIENT(H62+$D$41-1,$D$41)</f>
        <v>0</v>
      </c>
      <c r="I65" s="216">
        <f t="shared" si="96"/>
        <v>3</v>
      </c>
      <c r="J65" s="218">
        <f t="shared" si="96"/>
        <v>0</v>
      </c>
      <c r="K65" s="218">
        <f t="shared" si="96"/>
        <v>0</v>
      </c>
      <c r="L65" s="217">
        <f t="shared" si="96"/>
        <v>0</v>
      </c>
      <c r="M65" s="216">
        <f t="shared" si="96"/>
        <v>4</v>
      </c>
      <c r="N65" s="218">
        <f t="shared" si="96"/>
        <v>0</v>
      </c>
      <c r="O65" s="218">
        <f t="shared" si="96"/>
        <v>0</v>
      </c>
      <c r="P65" s="217">
        <f t="shared" si="96"/>
        <v>0</v>
      </c>
      <c r="Q65" s="216">
        <f t="shared" si="96"/>
        <v>3</v>
      </c>
      <c r="R65" s="218">
        <f t="shared" si="96"/>
        <v>0</v>
      </c>
      <c r="S65" s="218">
        <f t="shared" si="96"/>
        <v>0</v>
      </c>
      <c r="T65" s="218">
        <f t="shared" si="96"/>
        <v>0</v>
      </c>
      <c r="U65" s="217">
        <f t="shared" si="96"/>
        <v>0</v>
      </c>
    </row>
    <row r="66" spans="5:33" ht="15" thickBot="1" x14ac:dyDescent="0.35">
      <c r="E66" s="960"/>
      <c r="F66" s="215" t="s">
        <v>257</v>
      </c>
      <c r="G66" s="219">
        <f>G65*$D$42</f>
        <v>0</v>
      </c>
      <c r="H66" s="220">
        <f t="shared" ref="H66:U66" si="97">H65*$D$42</f>
        <v>0</v>
      </c>
      <c r="I66" s="219">
        <f t="shared" si="97"/>
        <v>750</v>
      </c>
      <c r="J66" s="221">
        <f t="shared" si="97"/>
        <v>0</v>
      </c>
      <c r="K66" s="221">
        <f t="shared" si="97"/>
        <v>0</v>
      </c>
      <c r="L66" s="220">
        <f t="shared" si="97"/>
        <v>0</v>
      </c>
      <c r="M66" s="219">
        <f t="shared" si="97"/>
        <v>1000</v>
      </c>
      <c r="N66" s="221">
        <f t="shared" si="97"/>
        <v>0</v>
      </c>
      <c r="O66" s="221">
        <f t="shared" si="97"/>
        <v>0</v>
      </c>
      <c r="P66" s="220">
        <f t="shared" si="97"/>
        <v>0</v>
      </c>
      <c r="Q66" s="219">
        <f t="shared" si="97"/>
        <v>750</v>
      </c>
      <c r="R66" s="221">
        <f t="shared" si="97"/>
        <v>0</v>
      </c>
      <c r="S66" s="221">
        <f t="shared" si="97"/>
        <v>0</v>
      </c>
      <c r="T66" s="221">
        <f t="shared" si="97"/>
        <v>0</v>
      </c>
      <c r="U66" s="220">
        <f t="shared" si="97"/>
        <v>0</v>
      </c>
    </row>
    <row r="68" spans="5:33" x14ac:dyDescent="0.3">
      <c r="E68" s="958" t="s">
        <v>275</v>
      </c>
      <c r="F68" s="211" t="s">
        <v>251</v>
      </c>
      <c r="G68" s="212">
        <v>0</v>
      </c>
      <c r="H68" s="213">
        <v>0</v>
      </c>
      <c r="I68" s="212">
        <v>15000</v>
      </c>
      <c r="J68" s="214">
        <v>0</v>
      </c>
      <c r="K68" s="214">
        <v>0</v>
      </c>
      <c r="L68" s="213">
        <v>0</v>
      </c>
      <c r="M68" s="212">
        <v>17000</v>
      </c>
      <c r="N68" s="214">
        <v>0</v>
      </c>
      <c r="O68" s="214">
        <v>0</v>
      </c>
      <c r="P68" s="213">
        <v>0</v>
      </c>
      <c r="Q68" s="212">
        <v>13600</v>
      </c>
      <c r="R68" s="214">
        <v>0</v>
      </c>
      <c r="S68" s="214">
        <v>0</v>
      </c>
      <c r="T68" s="214">
        <v>0</v>
      </c>
      <c r="U68" s="213">
        <v>0</v>
      </c>
    </row>
    <row r="69" spans="5:33" x14ac:dyDescent="0.3">
      <c r="E69" s="959"/>
      <c r="F69" s="215" t="s">
        <v>94</v>
      </c>
      <c r="G69" s="216"/>
      <c r="H69" s="217">
        <f t="shared" ref="H69" si="98">G69+H68-H70</f>
        <v>0</v>
      </c>
      <c r="I69" s="216">
        <f t="shared" ref="I69" si="99">H69+I68-I70</f>
        <v>11000</v>
      </c>
      <c r="J69" s="218">
        <f t="shared" ref="J69" si="100">I69+J68-J70</f>
        <v>7000</v>
      </c>
      <c r="K69" s="218">
        <f t="shared" ref="K69" si="101">J69+K68-K70</f>
        <v>4000</v>
      </c>
      <c r="L69" s="217">
        <f t="shared" ref="L69" si="102">K69+L68-L70</f>
        <v>2000</v>
      </c>
      <c r="M69" s="216">
        <f t="shared" ref="M69" si="103">L69+M68-M70</f>
        <v>19000</v>
      </c>
      <c r="N69" s="218">
        <f t="shared" ref="N69" si="104">M69+N68-N70</f>
        <v>7000</v>
      </c>
      <c r="O69" s="218">
        <f t="shared" ref="O69" si="105">N69+O68-O70</f>
        <v>3000</v>
      </c>
      <c r="P69" s="217">
        <f t="shared" ref="P69" si="106">O69+P68-P70</f>
        <v>1000</v>
      </c>
      <c r="Q69" s="216">
        <f t="shared" ref="Q69" si="107">P69+Q68-Q70</f>
        <v>9600</v>
      </c>
      <c r="R69" s="218">
        <f t="shared" ref="R69" si="108">Q69+R68-R70</f>
        <v>5600</v>
      </c>
      <c r="S69" s="218">
        <f t="shared" ref="S69" si="109">R69+S68-S70</f>
        <v>1600</v>
      </c>
      <c r="T69" s="218">
        <f t="shared" ref="T69" si="110">S69+T68-T70</f>
        <v>-1400</v>
      </c>
      <c r="U69" s="217">
        <f t="shared" ref="U69" si="111">T69+U68-U70</f>
        <v>-5400</v>
      </c>
    </row>
    <row r="70" spans="5:33" ht="28.8" x14ac:dyDescent="0.3">
      <c r="E70" s="959"/>
      <c r="F70" s="215" t="s">
        <v>258</v>
      </c>
      <c r="G70" s="216">
        <v>0</v>
      </c>
      <c r="H70" s="217">
        <v>0</v>
      </c>
      <c r="I70" s="216">
        <v>4000</v>
      </c>
      <c r="J70" s="218">
        <v>4000</v>
      </c>
      <c r="K70" s="218">
        <v>3000</v>
      </c>
      <c r="L70" s="217">
        <v>2000</v>
      </c>
      <c r="M70" s="216"/>
      <c r="N70" s="218">
        <v>12000</v>
      </c>
      <c r="O70" s="218">
        <v>4000</v>
      </c>
      <c r="P70" s="217">
        <v>2000</v>
      </c>
      <c r="Q70" s="216">
        <v>5000</v>
      </c>
      <c r="R70" s="218">
        <v>4000</v>
      </c>
      <c r="S70" s="218">
        <v>4000</v>
      </c>
      <c r="T70" s="218">
        <v>3000</v>
      </c>
      <c r="U70" s="217">
        <v>4000</v>
      </c>
    </row>
    <row r="71" spans="5:33" x14ac:dyDescent="0.3">
      <c r="E71" s="959"/>
      <c r="F71" s="215" t="s">
        <v>255</v>
      </c>
      <c r="G71" s="216">
        <f>QUOTIENT(G68+$D$41-1,$D$41)</f>
        <v>0</v>
      </c>
      <c r="H71" s="217">
        <f t="shared" ref="H71:U71" si="112">QUOTIENT(H68+$D$41-1,$D$41)</f>
        <v>0</v>
      </c>
      <c r="I71" s="216">
        <f t="shared" si="112"/>
        <v>3</v>
      </c>
      <c r="J71" s="218">
        <f t="shared" si="112"/>
        <v>0</v>
      </c>
      <c r="K71" s="218">
        <f t="shared" si="112"/>
        <v>0</v>
      </c>
      <c r="L71" s="217">
        <f t="shared" si="112"/>
        <v>0</v>
      </c>
      <c r="M71" s="216">
        <f t="shared" si="112"/>
        <v>4</v>
      </c>
      <c r="N71" s="218">
        <f t="shared" si="112"/>
        <v>0</v>
      </c>
      <c r="O71" s="218">
        <f t="shared" si="112"/>
        <v>0</v>
      </c>
      <c r="P71" s="217">
        <f t="shared" si="112"/>
        <v>0</v>
      </c>
      <c r="Q71" s="216">
        <f t="shared" si="112"/>
        <v>3</v>
      </c>
      <c r="R71" s="218">
        <f t="shared" si="112"/>
        <v>0</v>
      </c>
      <c r="S71" s="218">
        <f t="shared" si="112"/>
        <v>0</v>
      </c>
      <c r="T71" s="218">
        <f t="shared" si="112"/>
        <v>0</v>
      </c>
      <c r="U71" s="217">
        <f t="shared" si="112"/>
        <v>0</v>
      </c>
    </row>
    <row r="72" spans="5:33" ht="15" thickBot="1" x14ac:dyDescent="0.35">
      <c r="E72" s="960"/>
      <c r="F72" s="215" t="s">
        <v>257</v>
      </c>
      <c r="G72" s="219">
        <f>G71*$D$42</f>
        <v>0</v>
      </c>
      <c r="H72" s="220">
        <f t="shared" ref="H72:U72" si="113">H71*$D$42</f>
        <v>0</v>
      </c>
      <c r="I72" s="219">
        <f t="shared" si="113"/>
        <v>750</v>
      </c>
      <c r="J72" s="221">
        <f t="shared" si="113"/>
        <v>0</v>
      </c>
      <c r="K72" s="221">
        <f t="shared" si="113"/>
        <v>0</v>
      </c>
      <c r="L72" s="220">
        <f t="shared" si="113"/>
        <v>0</v>
      </c>
      <c r="M72" s="219">
        <f t="shared" si="113"/>
        <v>1000</v>
      </c>
      <c r="N72" s="221">
        <f t="shared" si="113"/>
        <v>0</v>
      </c>
      <c r="O72" s="221">
        <f t="shared" si="113"/>
        <v>0</v>
      </c>
      <c r="P72" s="220">
        <f t="shared" si="113"/>
        <v>0</v>
      </c>
      <c r="Q72" s="219">
        <f t="shared" si="113"/>
        <v>750</v>
      </c>
      <c r="R72" s="221">
        <f t="shared" si="113"/>
        <v>0</v>
      </c>
      <c r="S72" s="221">
        <f t="shared" si="113"/>
        <v>0</v>
      </c>
      <c r="T72" s="221">
        <f t="shared" si="113"/>
        <v>0</v>
      </c>
      <c r="U72" s="220">
        <f t="shared" si="113"/>
        <v>0</v>
      </c>
    </row>
    <row r="77" spans="5:33" ht="28.8" x14ac:dyDescent="0.3">
      <c r="I77" s="5" t="s">
        <v>56</v>
      </c>
      <c r="J77" s="24" t="s">
        <v>169</v>
      </c>
      <c r="K77" s="24" t="s">
        <v>168</v>
      </c>
      <c r="L77" s="27" t="s">
        <v>152</v>
      </c>
      <c r="M77" s="27" t="s">
        <v>154</v>
      </c>
      <c r="N77" s="27" t="s">
        <v>155</v>
      </c>
    </row>
    <row r="78" spans="5:33" x14ac:dyDescent="0.3">
      <c r="I78" s="7" t="s">
        <v>57</v>
      </c>
      <c r="J78" s="7">
        <v>1</v>
      </c>
      <c r="K78" s="7" t="s">
        <v>10</v>
      </c>
      <c r="L78" s="56">
        <v>40000</v>
      </c>
      <c r="M78" s="56">
        <v>35000</v>
      </c>
      <c r="N78" s="56">
        <v>36000</v>
      </c>
      <c r="O78" s="119">
        <f>SUM(L78:N78)</f>
        <v>111000</v>
      </c>
      <c r="Z78" s="26" t="s">
        <v>266</v>
      </c>
    </row>
    <row r="79" spans="5:33" x14ac:dyDescent="0.3">
      <c r="I79" s="1" t="s">
        <v>57</v>
      </c>
      <c r="J79" s="1">
        <v>3</v>
      </c>
      <c r="K79" s="1" t="s">
        <v>11</v>
      </c>
      <c r="L79" s="56">
        <v>20000</v>
      </c>
      <c r="M79" s="56">
        <v>22000</v>
      </c>
      <c r="N79" s="56">
        <v>21000</v>
      </c>
      <c r="O79" s="119">
        <f t="shared" ref="O79:O89" si="114">SUM(L79:N79)</f>
        <v>63000</v>
      </c>
    </row>
    <row r="80" spans="5:33" x14ac:dyDescent="0.3">
      <c r="I80" s="10" t="s">
        <v>57</v>
      </c>
      <c r="J80" s="10">
        <v>6</v>
      </c>
      <c r="K80" s="10" t="s">
        <v>12</v>
      </c>
      <c r="L80" s="151">
        <v>15000</v>
      </c>
      <c r="M80" s="151">
        <v>17000</v>
      </c>
      <c r="N80" s="151">
        <v>13600</v>
      </c>
      <c r="O80" s="119">
        <f t="shared" si="114"/>
        <v>45600</v>
      </c>
      <c r="Z80" s="3" t="s">
        <v>242</v>
      </c>
      <c r="AB80" t="s">
        <v>243</v>
      </c>
      <c r="AD80" s="3"/>
      <c r="AE80" s="3" t="s">
        <v>242</v>
      </c>
      <c r="AG80" t="s">
        <v>245</v>
      </c>
    </row>
    <row r="81" spans="2:35" x14ac:dyDescent="0.3">
      <c r="I81" s="1" t="s">
        <v>60</v>
      </c>
      <c r="J81" s="1">
        <v>13</v>
      </c>
      <c r="K81" s="1" t="s">
        <v>10</v>
      </c>
      <c r="L81" s="151">
        <v>35000</v>
      </c>
      <c r="M81" s="151">
        <v>33000</v>
      </c>
      <c r="N81" s="151">
        <v>37000</v>
      </c>
      <c r="O81" s="119">
        <f t="shared" si="114"/>
        <v>105000</v>
      </c>
      <c r="P81" s="119">
        <f>SUM(O81:O83)</f>
        <v>210200</v>
      </c>
      <c r="Z81" t="s">
        <v>184</v>
      </c>
      <c r="AB81" t="s">
        <v>82</v>
      </c>
      <c r="AG81" t="s">
        <v>183</v>
      </c>
    </row>
    <row r="82" spans="2:35" x14ac:dyDescent="0.3">
      <c r="I82" s="1" t="s">
        <v>60</v>
      </c>
      <c r="J82" s="1">
        <v>14</v>
      </c>
      <c r="K82" s="1" t="s">
        <v>11</v>
      </c>
      <c r="L82" s="151">
        <v>30000</v>
      </c>
      <c r="M82" s="151">
        <v>28000</v>
      </c>
      <c r="N82" s="151">
        <v>28000</v>
      </c>
      <c r="O82" s="119">
        <f t="shared" si="114"/>
        <v>86000</v>
      </c>
      <c r="AG82" t="s">
        <v>270</v>
      </c>
    </row>
    <row r="83" spans="2:35" x14ac:dyDescent="0.3">
      <c r="I83" s="10" t="s">
        <v>218</v>
      </c>
      <c r="J83" s="10">
        <v>16</v>
      </c>
      <c r="K83" s="10" t="s">
        <v>12</v>
      </c>
      <c r="L83" s="151">
        <v>6400</v>
      </c>
      <c r="M83" s="151">
        <v>5600</v>
      </c>
      <c r="N83" s="151">
        <v>7200</v>
      </c>
      <c r="O83" s="119">
        <f t="shared" si="114"/>
        <v>19200</v>
      </c>
    </row>
    <row r="84" spans="2:35" x14ac:dyDescent="0.3">
      <c r="F84" s="23" t="s">
        <v>228</v>
      </c>
      <c r="I84" s="1" t="s">
        <v>59</v>
      </c>
      <c r="J84" s="1">
        <v>43</v>
      </c>
      <c r="K84" s="1" t="s">
        <v>11</v>
      </c>
      <c r="L84" s="151">
        <v>32000</v>
      </c>
      <c r="M84" s="151">
        <v>35000</v>
      </c>
      <c r="N84" s="151">
        <v>34000</v>
      </c>
      <c r="O84" s="119">
        <f t="shared" si="114"/>
        <v>101000</v>
      </c>
      <c r="P84" s="119">
        <f>SUM(O84:O89)</f>
        <v>367200</v>
      </c>
      <c r="AD84" t="s">
        <v>186</v>
      </c>
    </row>
    <row r="85" spans="2:35" x14ac:dyDescent="0.3">
      <c r="F85" s="23" t="s">
        <v>233</v>
      </c>
      <c r="I85" s="1" t="s">
        <v>59</v>
      </c>
      <c r="J85" s="1">
        <v>45</v>
      </c>
      <c r="K85" s="1" t="s">
        <v>10</v>
      </c>
      <c r="L85" s="151">
        <v>17000</v>
      </c>
      <c r="M85" s="151">
        <v>18000</v>
      </c>
      <c r="N85" s="151">
        <v>13000</v>
      </c>
      <c r="O85" s="119">
        <f t="shared" si="114"/>
        <v>48000</v>
      </c>
      <c r="AB85" t="s">
        <v>186</v>
      </c>
      <c r="AF85" t="s">
        <v>260</v>
      </c>
    </row>
    <row r="86" spans="2:35" x14ac:dyDescent="0.3">
      <c r="F86" s="204" t="s">
        <v>228</v>
      </c>
      <c r="I86" s="10" t="s">
        <v>59</v>
      </c>
      <c r="J86" s="10">
        <v>46</v>
      </c>
      <c r="K86" s="10" t="s">
        <v>12</v>
      </c>
      <c r="L86" s="151">
        <v>7200</v>
      </c>
      <c r="M86" s="151">
        <v>6400</v>
      </c>
      <c r="N86" s="151">
        <v>8000</v>
      </c>
      <c r="O86" s="119">
        <f t="shared" si="114"/>
        <v>21600</v>
      </c>
      <c r="AF86" t="s">
        <v>244</v>
      </c>
    </row>
    <row r="87" spans="2:35" x14ac:dyDescent="0.3">
      <c r="F87" s="23" t="s">
        <v>229</v>
      </c>
      <c r="I87" s="1" t="s">
        <v>65</v>
      </c>
      <c r="J87" s="1">
        <v>47</v>
      </c>
      <c r="K87" s="1" t="s">
        <v>10</v>
      </c>
      <c r="L87" s="151">
        <v>33000</v>
      </c>
      <c r="M87" s="151">
        <v>34000</v>
      </c>
      <c r="N87" s="151">
        <v>35000</v>
      </c>
      <c r="O87" s="119">
        <f t="shared" si="114"/>
        <v>102000</v>
      </c>
      <c r="AF87" t="s">
        <v>83</v>
      </c>
      <c r="AI87" t="s">
        <v>269</v>
      </c>
    </row>
    <row r="88" spans="2:35" x14ac:dyDescent="0.3">
      <c r="F88" s="23" t="s">
        <v>230</v>
      </c>
      <c r="I88" s="1" t="s">
        <v>65</v>
      </c>
      <c r="J88" s="1">
        <v>48</v>
      </c>
      <c r="K88" s="1" t="s">
        <v>11</v>
      </c>
      <c r="L88" s="151">
        <v>23000</v>
      </c>
      <c r="M88" s="151">
        <v>24000</v>
      </c>
      <c r="N88" s="151">
        <v>26000</v>
      </c>
      <c r="O88" s="119">
        <f t="shared" si="114"/>
        <v>73000</v>
      </c>
    </row>
    <row r="89" spans="2:35" x14ac:dyDescent="0.3">
      <c r="F89" s="23" t="s">
        <v>231</v>
      </c>
      <c r="I89" s="1" t="s">
        <v>65</v>
      </c>
      <c r="J89" s="1">
        <v>50</v>
      </c>
      <c r="K89" s="1" t="s">
        <v>12</v>
      </c>
      <c r="L89" s="151">
        <v>6400</v>
      </c>
      <c r="M89" s="151">
        <v>8000</v>
      </c>
      <c r="N89" s="151">
        <v>7200</v>
      </c>
      <c r="O89" s="119">
        <f t="shared" si="114"/>
        <v>21600</v>
      </c>
    </row>
    <row r="90" spans="2:35" x14ac:dyDescent="0.3">
      <c r="L90" s="119">
        <f>L80</f>
        <v>15000</v>
      </c>
      <c r="M90" s="119">
        <f t="shared" ref="M90:N90" si="115">M80</f>
        <v>17000</v>
      </c>
      <c r="N90" s="119">
        <f t="shared" si="115"/>
        <v>13600</v>
      </c>
    </row>
    <row r="91" spans="2:35" x14ac:dyDescent="0.3">
      <c r="L91" s="119">
        <f>L90/4</f>
        <v>3750</v>
      </c>
      <c r="M91" s="119">
        <f t="shared" ref="M91:N91" si="116">M90/4</f>
        <v>4250</v>
      </c>
      <c r="N91" s="119">
        <f t="shared" si="116"/>
        <v>3400</v>
      </c>
    </row>
    <row r="92" spans="2:35" x14ac:dyDescent="0.3">
      <c r="AI92" t="s">
        <v>268</v>
      </c>
    </row>
    <row r="93" spans="2:35" x14ac:dyDescent="0.3">
      <c r="L93">
        <v>265000</v>
      </c>
      <c r="M93">
        <v>266000</v>
      </c>
      <c r="N93">
        <v>266000</v>
      </c>
      <c r="AC93" t="s">
        <v>267</v>
      </c>
    </row>
    <row r="94" spans="2:35" x14ac:dyDescent="0.3">
      <c r="L94">
        <v>77000</v>
      </c>
      <c r="M94">
        <v>84000</v>
      </c>
      <c r="N94">
        <v>84000</v>
      </c>
      <c r="AC94" t="s">
        <v>185</v>
      </c>
    </row>
    <row r="95" spans="2:35" x14ac:dyDescent="0.3">
      <c r="L95">
        <v>100000</v>
      </c>
      <c r="M95">
        <v>100000</v>
      </c>
      <c r="N95">
        <v>100000</v>
      </c>
    </row>
    <row r="96" spans="2:35" x14ac:dyDescent="0.3">
      <c r="B96" t="s">
        <v>815</v>
      </c>
      <c r="C96">
        <v>4875</v>
      </c>
      <c r="L96">
        <v>88000</v>
      </c>
      <c r="M96">
        <v>82000</v>
      </c>
      <c r="N96">
        <v>82000</v>
      </c>
    </row>
    <row r="97" spans="1:7" x14ac:dyDescent="0.3">
      <c r="A97" s="20" t="s">
        <v>596</v>
      </c>
    </row>
    <row r="98" spans="1:7" ht="43.2" x14ac:dyDescent="0.3">
      <c r="A98" s="5" t="s">
        <v>56</v>
      </c>
      <c r="B98" s="24" t="s">
        <v>169</v>
      </c>
      <c r="C98" s="24" t="s">
        <v>168</v>
      </c>
      <c r="D98" s="891"/>
      <c r="E98" s="27" t="s">
        <v>695</v>
      </c>
      <c r="F98" s="27" t="s">
        <v>696</v>
      </c>
      <c r="G98" s="27" t="s">
        <v>697</v>
      </c>
    </row>
    <row r="99" spans="1:7" x14ac:dyDescent="0.3">
      <c r="A99" s="28" t="s">
        <v>57</v>
      </c>
      <c r="B99" s="7" t="s">
        <v>224</v>
      </c>
      <c r="C99" s="7" t="s">
        <v>10</v>
      </c>
      <c r="D99" s="891"/>
      <c r="E99" s="56">
        <v>124800</v>
      </c>
      <c r="F99" s="56">
        <v>124800</v>
      </c>
      <c r="G99" s="56">
        <v>124800</v>
      </c>
    </row>
    <row r="100" spans="1:7" x14ac:dyDescent="0.3">
      <c r="A100" s="11" t="s">
        <v>57</v>
      </c>
      <c r="B100" s="8" t="s">
        <v>225</v>
      </c>
      <c r="C100" s="8" t="s">
        <v>10</v>
      </c>
      <c r="D100" s="891"/>
      <c r="E100" s="56">
        <v>57600</v>
      </c>
      <c r="F100" s="56">
        <v>57600</v>
      </c>
      <c r="G100" s="56">
        <v>57600</v>
      </c>
    </row>
    <row r="101" spans="1:7" x14ac:dyDescent="0.3">
      <c r="A101" s="29" t="s">
        <v>57</v>
      </c>
      <c r="B101" s="10" t="s">
        <v>223</v>
      </c>
      <c r="C101" s="10" t="s">
        <v>11</v>
      </c>
      <c r="D101" s="891"/>
      <c r="E101" s="151">
        <v>32100.000000000004</v>
      </c>
      <c r="F101" s="151">
        <v>23359.297520661159</v>
      </c>
      <c r="G101" s="151">
        <v>57600</v>
      </c>
    </row>
    <row r="103" spans="1:7" x14ac:dyDescent="0.3">
      <c r="A103" s="979" t="s">
        <v>738</v>
      </c>
    </row>
    <row r="104" spans="1:7" ht="43.2" x14ac:dyDescent="0.3">
      <c r="A104" s="5" t="s">
        <v>56</v>
      </c>
      <c r="B104" s="24" t="s">
        <v>169</v>
      </c>
      <c r="C104" s="24" t="s">
        <v>168</v>
      </c>
      <c r="D104" s="891"/>
      <c r="E104" s="27" t="s">
        <v>695</v>
      </c>
      <c r="F104" s="27" t="s">
        <v>696</v>
      </c>
      <c r="G104" s="27" t="s">
        <v>697</v>
      </c>
    </row>
    <row r="105" spans="1:7" x14ac:dyDescent="0.3">
      <c r="A105" s="28" t="s">
        <v>57</v>
      </c>
      <c r="B105" s="7" t="s">
        <v>224</v>
      </c>
      <c r="C105" s="7" t="s">
        <v>10</v>
      </c>
      <c r="D105" s="891"/>
      <c r="E105" s="56">
        <f>E99/$C$96</f>
        <v>25.6</v>
      </c>
      <c r="F105" s="56">
        <f t="shared" ref="F105:G105" si="117">F99/$C$96</f>
        <v>25.6</v>
      </c>
      <c r="G105" s="56">
        <f t="shared" si="117"/>
        <v>25.6</v>
      </c>
    </row>
    <row r="106" spans="1:7" x14ac:dyDescent="0.3">
      <c r="A106" s="11" t="s">
        <v>57</v>
      </c>
      <c r="B106" s="8" t="s">
        <v>225</v>
      </c>
      <c r="C106" s="8" t="s">
        <v>10</v>
      </c>
      <c r="D106" s="891"/>
      <c r="E106" s="56">
        <f t="shared" ref="E106:G107" si="118">E100/$C$96</f>
        <v>11.815384615384616</v>
      </c>
      <c r="F106" s="56">
        <f t="shared" si="118"/>
        <v>11.815384615384616</v>
      </c>
      <c r="G106" s="56">
        <f t="shared" si="118"/>
        <v>11.815384615384616</v>
      </c>
    </row>
    <row r="107" spans="1:7" x14ac:dyDescent="0.3">
      <c r="A107" s="29" t="s">
        <v>57</v>
      </c>
      <c r="B107" s="10" t="s">
        <v>223</v>
      </c>
      <c r="C107" s="10" t="s">
        <v>11</v>
      </c>
      <c r="D107" s="891"/>
      <c r="E107" s="56">
        <f t="shared" si="118"/>
        <v>6.5846153846153852</v>
      </c>
      <c r="F107" s="56">
        <f t="shared" si="118"/>
        <v>4.7916507734689553</v>
      </c>
      <c r="G107" s="56">
        <f t="shared" si="118"/>
        <v>11.815384615384616</v>
      </c>
    </row>
    <row r="110" spans="1:7" x14ac:dyDescent="0.3">
      <c r="B110" s="151" t="s">
        <v>808</v>
      </c>
      <c r="C110" s="151"/>
    </row>
    <row r="111" spans="1:7" x14ac:dyDescent="0.3">
      <c r="B111" s="151" t="s">
        <v>809</v>
      </c>
      <c r="C111" s="151"/>
    </row>
    <row r="112" spans="1:7" x14ac:dyDescent="0.3">
      <c r="B112" s="151" t="s">
        <v>811</v>
      </c>
      <c r="C112" s="151"/>
    </row>
    <row r="113" spans="2:3" x14ac:dyDescent="0.3">
      <c r="B113" s="151" t="s">
        <v>810</v>
      </c>
      <c r="C113" s="151"/>
    </row>
    <row r="114" spans="2:3" x14ac:dyDescent="0.3">
      <c r="B114" s="151" t="s">
        <v>812</v>
      </c>
      <c r="C114" s="151"/>
    </row>
    <row r="115" spans="2:3" x14ac:dyDescent="0.3">
      <c r="B115" s="151" t="s">
        <v>813</v>
      </c>
      <c r="C115" s="151"/>
    </row>
    <row r="116" spans="2:3" x14ac:dyDescent="0.3">
      <c r="B116" s="151" t="s">
        <v>814</v>
      </c>
      <c r="C116" s="151"/>
    </row>
  </sheetData>
  <mergeCells count="18">
    <mergeCell ref="B41:B42"/>
    <mergeCell ref="E47:E51"/>
    <mergeCell ref="B47:B48"/>
    <mergeCell ref="E53:E57"/>
    <mergeCell ref="B53:B54"/>
    <mergeCell ref="B29:B30"/>
    <mergeCell ref="E29:E33"/>
    <mergeCell ref="E35:E39"/>
    <mergeCell ref="B35:B36"/>
    <mergeCell ref="I18:L18"/>
    <mergeCell ref="E62:E66"/>
    <mergeCell ref="E68:E72"/>
    <mergeCell ref="M18:P18"/>
    <mergeCell ref="Q18:U18"/>
    <mergeCell ref="G18:H18"/>
    <mergeCell ref="E20:E22"/>
    <mergeCell ref="E24:E25"/>
    <mergeCell ref="E41:E45"/>
  </mergeCells>
  <conditionalFormatting sqref="K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K87 K8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N8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{59EE451D-A48A-4B4F-A1B4-EAFC8431E3EE}</x14:id>
        </ext>
      </extLst>
    </cfRule>
  </conditionalFormatting>
  <conditionalFormatting sqref="K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N7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{72338F52-8324-4E70-8BF1-9FAEF5F65BD7}</x14:id>
        </ext>
      </extLst>
    </cfRule>
  </conditionalFormatting>
  <conditionalFormatting sqref="C99:C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G10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{3AABDC21-5EBB-4CDB-9D88-74033573FDC0}</x14:id>
        </ext>
      </extLst>
    </cfRule>
  </conditionalFormatting>
  <conditionalFormatting sqref="C105:C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:G10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{00987268-A3F3-4066-9DBF-A454897DCB96}</x14:id>
        </ext>
      </extLst>
    </cfRule>
  </conditionalFormatting>
  <conditionalFormatting sqref="B110:C1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{2093C14A-7289-43AF-988B-1AB04E3E4DD3}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EE451D-A48A-4B4F-A1B4-EAFC8431E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L79:N89</xm:sqref>
        </x14:conditionalFormatting>
        <x14:conditionalFormatting xmlns:xm="http://schemas.microsoft.com/office/excel/2006/main">
          <x14:cfRule type="dataBar" id="{72338F52-8324-4E70-8BF1-9FAEF5F65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L78:N78</xm:sqref>
        </x14:conditionalFormatting>
        <x14:conditionalFormatting xmlns:xm="http://schemas.microsoft.com/office/excel/2006/main">
          <x14:cfRule type="dataBar" id="{3AABDC21-5EBB-4CDB-9D88-74033573F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E99:G101</xm:sqref>
        </x14:conditionalFormatting>
        <x14:conditionalFormatting xmlns:xm="http://schemas.microsoft.com/office/excel/2006/main">
          <x14:cfRule type="containsText" priority="9" operator="containsText" id="{F30D0A88-C2DA-4CFA-AF5C-97DEE1F65350}">
            <xm:f>NOT(ISERROR(SEARCH(Selection!$M$4,C99)))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" operator="containsText" id="{3B0C92AF-5BAA-4F8B-8120-421A4C9A769B}">
            <xm:f>NOT(ISERROR(SEARCH(Selection!$M$3,C99)))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" operator="containsText" id="{20E0254C-EE09-4BEF-9BA2-C46CDC0998EF}">
            <xm:f>NOT(ISERROR(SEARCH(Selection!$M$2,C99)))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C99:C101</xm:sqref>
        </x14:conditionalFormatting>
        <x14:conditionalFormatting xmlns:xm="http://schemas.microsoft.com/office/excel/2006/main">
          <x14:cfRule type="containsText" priority="8" operator="containsText" id="{B621F17E-457B-4A45-B64C-EE2F3CD258CF}">
            <xm:f>NOT(ISERROR(SEARCH(Selection!$M$5,C99)))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C99:C101</xm:sqref>
        </x14:conditionalFormatting>
        <x14:conditionalFormatting xmlns:xm="http://schemas.microsoft.com/office/excel/2006/main">
          <x14:cfRule type="dataBar" id="{00987268-A3F3-4066-9DBF-A454897DC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E105:G107</xm:sqref>
        </x14:conditionalFormatting>
        <x14:conditionalFormatting xmlns:xm="http://schemas.microsoft.com/office/excel/2006/main">
          <x14:cfRule type="containsText" priority="3" operator="containsText" id="{98ACC0BF-EC8F-4281-BD9A-851EDC9F59E5}">
            <xm:f>NOT(ISERROR(SEARCH(Selection!$M$4,C105)))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38138439-C348-491C-98AF-57A9E4CBB7B5}">
            <xm:f>NOT(ISERROR(SEARCH(Selection!$M$3,C105)))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" operator="containsText" id="{99FE2B73-1220-4CD0-8D0C-A582BF9324BC}">
            <xm:f>NOT(ISERROR(SEARCH(Selection!$M$2,C105)))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C105:C107</xm:sqref>
        </x14:conditionalFormatting>
        <x14:conditionalFormatting xmlns:xm="http://schemas.microsoft.com/office/excel/2006/main">
          <x14:cfRule type="containsText" priority="2" operator="containsText" id="{4509F38E-86D6-47F1-950B-D1837E690898}">
            <xm:f>NOT(ISERROR(SEARCH(Selection!$M$5,C105)))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C105:C107</xm:sqref>
        </x14:conditionalFormatting>
        <x14:conditionalFormatting xmlns:xm="http://schemas.microsoft.com/office/excel/2006/main">
          <x14:cfRule type="dataBar" id="{2093C14A-7289-43AF-988B-1AB04E3E4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B110:C116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53E39A5-F0CB-4F9F-833F-5803F095DE46}">
          <x14:formula1>
            <xm:f>Selection!$M$2:$M$5</xm:f>
          </x14:formula1>
          <xm:sqref>C99:C101 C105:C107</xm:sqref>
        </x14:dataValidation>
        <x14:dataValidation type="list" allowBlank="1" showInputMessage="1" showErrorMessage="1" xr:uid="{8332264B-BA3F-4C94-A255-1439D424D0F6}">
          <x14:formula1>
            <xm:f>Selection!$E$2:$E$10</xm:f>
          </x14:formula1>
          <xm:sqref>A99:A101 A105:A107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C7A-2A08-43A7-A580-6180B47B5EB8}">
  <sheetPr>
    <tabColor theme="4" tint="0.39997558519241921"/>
  </sheetPr>
  <dimension ref="A1:Z177"/>
  <sheetViews>
    <sheetView topLeftCell="A48" zoomScale="85" zoomScaleNormal="85" workbookViewId="0">
      <selection activeCell="U60" sqref="U60"/>
    </sheetView>
  </sheetViews>
  <sheetFormatPr defaultRowHeight="14.4" x14ac:dyDescent="0.3"/>
  <cols>
    <col min="2" max="2" width="38.6640625" bestFit="1" customWidth="1"/>
    <col min="3" max="3" width="42.33203125" bestFit="1" customWidth="1"/>
    <col min="4" max="4" width="7.21875" bestFit="1" customWidth="1"/>
    <col min="5" max="7" width="9.88671875" style="1" bestFit="1" customWidth="1"/>
    <col min="8" max="8" width="10" style="1" bestFit="1" customWidth="1"/>
    <col min="9" max="9" width="10.21875" style="1" bestFit="1" customWidth="1"/>
    <col min="10" max="10" width="9.88671875" style="1" bestFit="1" customWidth="1"/>
    <col min="11" max="11" width="10" style="1" bestFit="1" customWidth="1"/>
    <col min="12" max="14" width="10.6640625" style="1" bestFit="1" customWidth="1"/>
    <col min="15" max="15" width="17.6640625" bestFit="1" customWidth="1"/>
    <col min="16" max="16" width="11.44140625" customWidth="1"/>
    <col min="17" max="17" width="21.5546875" bestFit="1" customWidth="1"/>
    <col min="18" max="18" width="11" customWidth="1"/>
    <col min="28" max="28" width="5.5546875" customWidth="1"/>
    <col min="29" max="29" width="6" customWidth="1"/>
    <col min="30" max="30" width="5.6640625" customWidth="1"/>
    <col min="32" max="32" width="5.6640625" customWidth="1"/>
  </cols>
  <sheetData>
    <row r="1" spans="1:15" ht="21" x14ac:dyDescent="0.4">
      <c r="A1" s="152" t="s">
        <v>619</v>
      </c>
      <c r="L1"/>
    </row>
    <row r="2" spans="1:15" ht="21" x14ac:dyDescent="0.4">
      <c r="B2" s="152"/>
      <c r="F2" s="518" t="s">
        <v>631</v>
      </c>
      <c r="J2" s="19" t="s">
        <v>540</v>
      </c>
    </row>
    <row r="3" spans="1:15" ht="18" x14ac:dyDescent="0.3">
      <c r="B3" s="334" t="s">
        <v>545</v>
      </c>
      <c r="I3" s="40"/>
      <c r="J3" s="19" t="s">
        <v>225</v>
      </c>
    </row>
    <row r="4" spans="1:15" x14ac:dyDescent="0.3">
      <c r="A4" s="40"/>
      <c r="C4" s="26"/>
      <c r="H4" s="1" t="s">
        <v>82</v>
      </c>
      <c r="I4" s="40"/>
      <c r="J4" s="19" t="s">
        <v>223</v>
      </c>
    </row>
    <row r="5" spans="1:15" ht="18" x14ac:dyDescent="0.35">
      <c r="B5" s="517" t="s">
        <v>628</v>
      </c>
      <c r="C5" s="26"/>
      <c r="J5" s="1" t="s">
        <v>627</v>
      </c>
    </row>
    <row r="6" spans="1:15" hidden="1" x14ac:dyDescent="0.3">
      <c r="C6" s="437" t="s">
        <v>600</v>
      </c>
      <c r="D6" s="446">
        <v>20</v>
      </c>
      <c r="O6" s="1"/>
    </row>
    <row r="7" spans="1:15" ht="14.4" hidden="1" customHeight="1" x14ac:dyDescent="0.3">
      <c r="C7" s="437" t="s">
        <v>601</v>
      </c>
      <c r="D7" s="446">
        <v>10</v>
      </c>
      <c r="L7"/>
      <c r="O7" s="1"/>
    </row>
    <row r="8" spans="1:15" ht="14.4" hidden="1" customHeight="1" x14ac:dyDescent="0.3">
      <c r="C8" s="438" t="s">
        <v>602</v>
      </c>
      <c r="D8" s="446">
        <v>20</v>
      </c>
      <c r="L8" s="439"/>
      <c r="M8" s="439"/>
      <c r="N8" s="439"/>
      <c r="O8" s="1"/>
    </row>
    <row r="9" spans="1:15" ht="14.4" hidden="1" customHeight="1" x14ac:dyDescent="0.3">
      <c r="C9" s="438" t="s">
        <v>603</v>
      </c>
      <c r="D9" s="446">
        <v>10</v>
      </c>
      <c r="L9" s="439"/>
      <c r="M9" s="439"/>
      <c r="N9" s="439"/>
      <c r="O9" s="1"/>
    </row>
    <row r="10" spans="1:15" ht="14.4" customHeight="1" x14ac:dyDescent="0.3">
      <c r="C10" s="437" t="s">
        <v>644</v>
      </c>
      <c r="D10" s="446">
        <v>0</v>
      </c>
      <c r="M10" s="1" t="s">
        <v>791</v>
      </c>
    </row>
    <row r="11" spans="1:15" ht="14.4" customHeight="1" x14ac:dyDescent="0.3">
      <c r="C11" s="437" t="s">
        <v>604</v>
      </c>
      <c r="D11" s="446">
        <v>6</v>
      </c>
      <c r="E11" s="441"/>
      <c r="M11" s="1" t="s">
        <v>269</v>
      </c>
    </row>
    <row r="12" spans="1:15" ht="15" customHeight="1" x14ac:dyDescent="0.3">
      <c r="C12" s="437" t="s">
        <v>605</v>
      </c>
      <c r="D12" s="446">
        <f>Scheduling!C17</f>
        <v>3</v>
      </c>
    </row>
    <row r="13" spans="1:15" ht="15" customHeight="1" thickBot="1" x14ac:dyDescent="0.35">
      <c r="C13" s="437" t="s">
        <v>638</v>
      </c>
      <c r="D13" s="446">
        <f>Scheduling!C16</f>
        <v>20</v>
      </c>
      <c r="E13" s="435"/>
      <c r="F13" s="435"/>
      <c r="G13" s="435"/>
      <c r="H13" s="435"/>
      <c r="I13" s="435"/>
      <c r="J13" s="435"/>
      <c r="K13" s="435"/>
      <c r="L13" s="435"/>
      <c r="M13" s="435"/>
      <c r="N13" s="435"/>
    </row>
    <row r="14" spans="1:15" ht="15" customHeight="1" thickBot="1" x14ac:dyDescent="0.35">
      <c r="E14" s="952" t="s">
        <v>25</v>
      </c>
      <c r="F14" s="953"/>
      <c r="G14" s="952" t="s">
        <v>248</v>
      </c>
      <c r="H14" s="954"/>
      <c r="I14" s="954"/>
      <c r="J14" s="953"/>
      <c r="K14" s="977" t="s">
        <v>249</v>
      </c>
      <c r="L14" s="954"/>
      <c r="M14" s="954"/>
      <c r="N14" s="953"/>
    </row>
    <row r="15" spans="1:15" ht="15" thickBot="1" x14ac:dyDescent="0.35">
      <c r="D15" s="608" t="s">
        <v>606</v>
      </c>
      <c r="E15" s="560" t="s">
        <v>220</v>
      </c>
      <c r="F15" s="561" t="s">
        <v>109</v>
      </c>
      <c r="G15" s="555" t="s">
        <v>110</v>
      </c>
      <c r="H15" s="558" t="s">
        <v>111</v>
      </c>
      <c r="I15" s="558" t="s">
        <v>112</v>
      </c>
      <c r="J15" s="557" t="s">
        <v>113</v>
      </c>
      <c r="K15" s="556" t="s">
        <v>114</v>
      </c>
      <c r="L15" s="558" t="s">
        <v>115</v>
      </c>
      <c r="M15" s="558" t="s">
        <v>116</v>
      </c>
      <c r="N15" s="557" t="s">
        <v>117</v>
      </c>
      <c r="O15" s="442" t="s">
        <v>607</v>
      </c>
    </row>
    <row r="16" spans="1:15" x14ac:dyDescent="0.3">
      <c r="C16" s="443" t="s">
        <v>660</v>
      </c>
      <c r="D16" s="444"/>
      <c r="E16" s="453">
        <v>6</v>
      </c>
      <c r="F16" s="567">
        <v>6</v>
      </c>
      <c r="G16" s="570">
        <v>6</v>
      </c>
      <c r="H16" s="453">
        <v>6</v>
      </c>
      <c r="I16" s="453">
        <v>7</v>
      </c>
      <c r="J16" s="567">
        <v>7</v>
      </c>
      <c r="K16" s="570">
        <v>6</v>
      </c>
      <c r="L16" s="567">
        <v>6</v>
      </c>
      <c r="M16" s="567">
        <v>7</v>
      </c>
      <c r="N16" s="485">
        <v>7</v>
      </c>
      <c r="O16" s="445" t="s">
        <v>622</v>
      </c>
    </row>
    <row r="17" spans="2:16" ht="15" thickBot="1" x14ac:dyDescent="0.35">
      <c r="C17" s="447" t="s">
        <v>621</v>
      </c>
      <c r="D17" s="448"/>
      <c r="E17" s="449">
        <f t="shared" ref="E17:N17" si="0">SUM(E16:E16)</f>
        <v>6</v>
      </c>
      <c r="F17" s="539">
        <f t="shared" si="0"/>
        <v>6</v>
      </c>
      <c r="G17" s="448">
        <f t="shared" si="0"/>
        <v>6</v>
      </c>
      <c r="H17" s="449">
        <f t="shared" si="0"/>
        <v>6</v>
      </c>
      <c r="I17" s="449">
        <f t="shared" si="0"/>
        <v>7</v>
      </c>
      <c r="J17" s="450">
        <f t="shared" si="0"/>
        <v>7</v>
      </c>
      <c r="K17" s="546">
        <f t="shared" si="0"/>
        <v>6</v>
      </c>
      <c r="L17" s="539">
        <f t="shared" si="0"/>
        <v>6</v>
      </c>
      <c r="M17" s="449">
        <f t="shared" si="0"/>
        <v>7</v>
      </c>
      <c r="N17" s="532">
        <f t="shared" si="0"/>
        <v>7</v>
      </c>
    </row>
    <row r="18" spans="2:16" x14ac:dyDescent="0.3">
      <c r="C18" s="489" t="s">
        <v>651</v>
      </c>
      <c r="D18" s="452"/>
      <c r="E18" s="629">
        <v>6</v>
      </c>
      <c r="F18" s="629">
        <v>0</v>
      </c>
      <c r="G18" s="452"/>
      <c r="H18" s="454"/>
      <c r="I18" s="454"/>
      <c r="J18" s="455"/>
      <c r="K18" s="547"/>
      <c r="L18" s="540"/>
      <c r="M18" s="454"/>
      <c r="N18" s="533"/>
      <c r="O18" s="40" t="s">
        <v>609</v>
      </c>
    </row>
    <row r="19" spans="2:16" x14ac:dyDescent="0.3">
      <c r="C19" s="492" t="s">
        <v>617</v>
      </c>
      <c r="D19" s="457">
        <v>5</v>
      </c>
      <c r="E19" s="528">
        <f t="shared" ref="E19:K19" si="1">D19+E18+E21-E17</f>
        <v>5</v>
      </c>
      <c r="F19" s="528">
        <f t="shared" si="1"/>
        <v>5</v>
      </c>
      <c r="G19" s="461">
        <f t="shared" si="1"/>
        <v>5</v>
      </c>
      <c r="H19" s="458">
        <f t="shared" si="1"/>
        <v>5</v>
      </c>
      <c r="I19" s="458">
        <f t="shared" si="1"/>
        <v>4</v>
      </c>
      <c r="J19" s="459">
        <f t="shared" si="1"/>
        <v>3</v>
      </c>
      <c r="K19" s="548">
        <f t="shared" si="1"/>
        <v>3</v>
      </c>
      <c r="L19" s="548">
        <f t="shared" ref="L19" si="2">K19+L18+L21-L17</f>
        <v>3</v>
      </c>
      <c r="M19" s="548">
        <f t="shared" ref="M19" si="3">L19+M18+M21-M17</f>
        <v>8</v>
      </c>
      <c r="N19" s="548">
        <f t="shared" ref="N19" si="4">M19+N18+N21-N17</f>
        <v>7</v>
      </c>
      <c r="P19" s="460"/>
    </row>
    <row r="20" spans="2:16" x14ac:dyDescent="0.3">
      <c r="C20" s="492" t="s">
        <v>642</v>
      </c>
      <c r="D20" s="461"/>
      <c r="E20" s="528">
        <f t="shared" ref="E20:K20" si="5">IF(D19-E17+E18&lt;=$D$12, E17-E18-D19+$D$12,0)</f>
        <v>0</v>
      </c>
      <c r="F20" s="528">
        <f t="shared" si="5"/>
        <v>4</v>
      </c>
      <c r="G20" s="461">
        <f t="shared" si="5"/>
        <v>4</v>
      </c>
      <c r="H20" s="458">
        <f t="shared" si="5"/>
        <v>4</v>
      </c>
      <c r="I20" s="458">
        <f t="shared" si="5"/>
        <v>5</v>
      </c>
      <c r="J20" s="459">
        <f t="shared" si="5"/>
        <v>6</v>
      </c>
      <c r="K20" s="548">
        <f t="shared" si="5"/>
        <v>6</v>
      </c>
      <c r="L20" s="548">
        <f t="shared" ref="L20" si="6">IF(K19-L17+L18&lt;=$D$12, L17-L18-K19+$D$12,0)</f>
        <v>6</v>
      </c>
      <c r="M20" s="548">
        <f t="shared" ref="M20" si="7">IF(L19-M17+M18&lt;=$D$12, M17-M18-L19+$D$12,0)</f>
        <v>7</v>
      </c>
      <c r="N20" s="548">
        <f t="shared" ref="N20" si="8">IF(M19-N17+N18&lt;=$D$12, N17-N18-M19+$D$12,0)</f>
        <v>2</v>
      </c>
      <c r="P20" s="460"/>
    </row>
    <row r="21" spans="2:16" x14ac:dyDescent="0.3">
      <c r="C21" s="496" t="s">
        <v>647</v>
      </c>
      <c r="D21" s="461"/>
      <c r="E21" s="528">
        <f t="shared" ref="E21:N21" si="9" xml:space="preserve"> CEILING(E20/$D$11,1)*$D$11</f>
        <v>0</v>
      </c>
      <c r="F21" s="528">
        <f t="shared" si="9"/>
        <v>6</v>
      </c>
      <c r="G21" s="461">
        <f t="shared" si="9"/>
        <v>6</v>
      </c>
      <c r="H21" s="458">
        <f t="shared" si="9"/>
        <v>6</v>
      </c>
      <c r="I21" s="458">
        <f t="shared" si="9"/>
        <v>6</v>
      </c>
      <c r="J21" s="459">
        <f t="shared" si="9"/>
        <v>6</v>
      </c>
      <c r="K21" s="548">
        <f t="shared" si="9"/>
        <v>6</v>
      </c>
      <c r="L21" s="548">
        <f t="shared" si="9"/>
        <v>6</v>
      </c>
      <c r="M21" s="548">
        <f t="shared" si="9"/>
        <v>12</v>
      </c>
      <c r="N21" s="548">
        <f t="shared" si="9"/>
        <v>6</v>
      </c>
    </row>
    <row r="22" spans="2:16" ht="15" thickBot="1" x14ac:dyDescent="0.35">
      <c r="C22" s="571" t="s">
        <v>652</v>
      </c>
      <c r="D22" s="463"/>
      <c r="E22" s="463">
        <f t="shared" ref="E22:F22" si="10">E21</f>
        <v>0</v>
      </c>
      <c r="F22" s="463">
        <f t="shared" si="10"/>
        <v>6</v>
      </c>
      <c r="G22" s="463">
        <f>G21</f>
        <v>6</v>
      </c>
      <c r="H22" s="463">
        <f t="shared" ref="H22:N22" si="11">H21</f>
        <v>6</v>
      </c>
      <c r="I22" s="463">
        <f t="shared" si="11"/>
        <v>6</v>
      </c>
      <c r="J22" s="463">
        <f t="shared" si="11"/>
        <v>6</v>
      </c>
      <c r="K22" s="463">
        <f t="shared" si="11"/>
        <v>6</v>
      </c>
      <c r="L22" s="463">
        <f t="shared" si="11"/>
        <v>6</v>
      </c>
      <c r="M22" s="463">
        <f t="shared" si="11"/>
        <v>12</v>
      </c>
      <c r="N22" s="463">
        <f t="shared" si="11"/>
        <v>6</v>
      </c>
    </row>
    <row r="23" spans="2:16" hidden="1" x14ac:dyDescent="0.3">
      <c r="C23" s="466" t="s">
        <v>612</v>
      </c>
      <c r="D23" s="467"/>
      <c r="E23" s="468">
        <f t="shared" ref="E23:N23" si="12">QUOTIENT(MOD(E22+$D$7-1,$D$6),$D$7)</f>
        <v>0</v>
      </c>
      <c r="F23" s="542">
        <f t="shared" si="12"/>
        <v>1</v>
      </c>
      <c r="G23" s="537">
        <f t="shared" si="12"/>
        <v>1</v>
      </c>
      <c r="H23" s="468">
        <f t="shared" si="12"/>
        <v>1</v>
      </c>
      <c r="I23" s="468">
        <f t="shared" si="12"/>
        <v>1</v>
      </c>
      <c r="J23" s="469">
        <f t="shared" si="12"/>
        <v>1</v>
      </c>
      <c r="K23" s="550">
        <f t="shared" si="12"/>
        <v>1</v>
      </c>
      <c r="L23" s="542">
        <f t="shared" ref="L23" si="13">QUOTIENT(MOD(L22+$D$7-1,$D$6),$D$7)</f>
        <v>1</v>
      </c>
      <c r="M23" s="468">
        <f t="shared" ref="M23" si="14">QUOTIENT(MOD(M22+$D$7-1,$D$6),$D$7)</f>
        <v>0</v>
      </c>
      <c r="N23" s="534">
        <f t="shared" si="12"/>
        <v>1</v>
      </c>
    </row>
    <row r="24" spans="2:16" hidden="1" x14ac:dyDescent="0.3">
      <c r="B24" s="40"/>
      <c r="C24" s="470" t="s">
        <v>613</v>
      </c>
      <c r="D24" s="471"/>
      <c r="E24" s="472">
        <f t="shared" ref="E24:N24" si="15">QUOTIENT(E22+$D$7-1,$D$6)</f>
        <v>0</v>
      </c>
      <c r="F24" s="543">
        <f t="shared" si="15"/>
        <v>0</v>
      </c>
      <c r="G24" s="538">
        <f t="shared" si="15"/>
        <v>0</v>
      </c>
      <c r="H24" s="472">
        <f t="shared" si="15"/>
        <v>0</v>
      </c>
      <c r="I24" s="472">
        <f t="shared" si="15"/>
        <v>0</v>
      </c>
      <c r="J24" s="473">
        <f t="shared" si="15"/>
        <v>0</v>
      </c>
      <c r="K24" s="551">
        <f t="shared" si="15"/>
        <v>0</v>
      </c>
      <c r="L24" s="543">
        <f t="shared" ref="L24" si="16">QUOTIENT(L22+$D$7-1,$D$6)</f>
        <v>0</v>
      </c>
      <c r="M24" s="472">
        <f t="shared" ref="M24" si="17">QUOTIENT(M22+$D$7-1,$D$6)</f>
        <v>1</v>
      </c>
      <c r="N24" s="535">
        <f t="shared" si="15"/>
        <v>0</v>
      </c>
    </row>
    <row r="25" spans="2:16" ht="15" hidden="1" thickBot="1" x14ac:dyDescent="0.35">
      <c r="C25" s="545" t="s">
        <v>614</v>
      </c>
      <c r="D25" s="474"/>
      <c r="E25" s="475" t="e">
        <f>IF($O$25="Choosing Supplier 1", E24*#REF!+E23*#REF!,E24*#REF!+E23*#REF!)</f>
        <v>#REF!</v>
      </c>
      <c r="F25" s="544" t="e">
        <f>IF($O$25="Choosing Supplier 1", F24*#REF!+F23*#REF!,F24*#REF!+F23*#REF!)</f>
        <v>#REF!</v>
      </c>
      <c r="G25" s="474" t="e">
        <f>IF($O$25="Choosing Supplier 1", G24*#REF!+G23*#REF!,G24*#REF!+G23*#REF!)</f>
        <v>#REF!</v>
      </c>
      <c r="H25" s="475" t="e">
        <f>IF($O$25="Choosing Supplier 1", H24*#REF!+H23*#REF!,H24*#REF!+H23*#REF!)</f>
        <v>#REF!</v>
      </c>
      <c r="I25" s="475" t="e">
        <f>IF($O$25="Choosing Supplier 1", I24*#REF!+I23*#REF!,I24*#REF!+I23*#REF!)</f>
        <v>#REF!</v>
      </c>
      <c r="J25" s="476" t="e">
        <f>IF($O$25="Choosing Supplier 1", J24*#REF!+J23*#REF!,J24*#REF!+J23*#REF!)</f>
        <v>#REF!</v>
      </c>
      <c r="K25" s="552" t="e">
        <f>IF($O$25="Choosing Supplier 1", K24*#REF!+K23*#REF!,K24*#REF!+K23*#REF!)</f>
        <v>#REF!</v>
      </c>
      <c r="L25" s="544" t="e">
        <f>IF($O$25="Choosing Supplier 1", L24*#REF!+L23*#REF!,L24*#REF!+L23*#REF!)</f>
        <v>#REF!</v>
      </c>
      <c r="M25" s="475" t="e">
        <f>IF($O$25="Choosing Supplier 1", M24*#REF!+M23*#REF!,M24*#REF!+M23*#REF!)</f>
        <v>#REF!</v>
      </c>
      <c r="N25" s="536" t="e">
        <f>IF($O$25="Choosing Supplier 1", N24*#REF!+N23*#REF!,N24*#REF!+N23*#REF!)</f>
        <v>#REF!</v>
      </c>
      <c r="O25" s="477" t="e">
        <f>IF(#REF!&lt;#REF!,IF($D$145="Yes","Choosing Supplier 1", "Choosing Supplier 2"),IF($D$164="Yes", "Choosing Supplier 2","Choosing Supplier 1"))</f>
        <v>#REF!</v>
      </c>
      <c r="P25" t="s">
        <v>623</v>
      </c>
    </row>
    <row r="26" spans="2:16" x14ac:dyDescent="0.3">
      <c r="D26" s="1"/>
    </row>
    <row r="27" spans="2:16" ht="18" x14ac:dyDescent="0.35">
      <c r="B27" s="517" t="s">
        <v>629</v>
      </c>
      <c r="C27" s="435"/>
      <c r="D27" s="1"/>
    </row>
    <row r="28" spans="2:16" hidden="1" x14ac:dyDescent="0.3">
      <c r="C28" s="437" t="s">
        <v>600</v>
      </c>
      <c r="D28" s="446">
        <v>20</v>
      </c>
      <c r="F28" s="460"/>
      <c r="O28" s="1"/>
    </row>
    <row r="29" spans="2:16" ht="14.4" hidden="1" customHeight="1" x14ac:dyDescent="0.3">
      <c r="C29" s="437" t="s">
        <v>601</v>
      </c>
      <c r="D29" s="446">
        <v>10</v>
      </c>
      <c r="L29" s="439"/>
      <c r="M29" s="439"/>
      <c r="N29" s="439"/>
      <c r="O29" s="1"/>
    </row>
    <row r="30" spans="2:16" ht="14.4" hidden="1" customHeight="1" x14ac:dyDescent="0.3">
      <c r="C30" s="438" t="s">
        <v>602</v>
      </c>
      <c r="D30" s="446">
        <v>0</v>
      </c>
      <c r="L30" s="439"/>
      <c r="M30" s="439"/>
      <c r="N30" s="439"/>
      <c r="O30" s="1"/>
    </row>
    <row r="31" spans="2:16" ht="14.4" hidden="1" customHeight="1" x14ac:dyDescent="0.3">
      <c r="C31" s="438" t="s">
        <v>603</v>
      </c>
      <c r="D31" s="446">
        <v>0</v>
      </c>
      <c r="L31" s="439"/>
      <c r="M31" s="439"/>
      <c r="N31" s="439"/>
      <c r="O31" s="1"/>
    </row>
    <row r="32" spans="2:16" ht="14.4" customHeight="1" x14ac:dyDescent="0.3">
      <c r="C32" s="437" t="s">
        <v>639</v>
      </c>
      <c r="D32" s="446">
        <v>0</v>
      </c>
    </row>
    <row r="33" spans="2:26" ht="14.4" customHeight="1" x14ac:dyDescent="0.3">
      <c r="C33" s="437" t="s">
        <v>604</v>
      </c>
      <c r="D33" s="446">
        <v>6</v>
      </c>
      <c r="E33" s="1" t="s">
        <v>435</v>
      </c>
      <c r="L33" s="439"/>
      <c r="M33" s="439"/>
      <c r="N33" s="439"/>
      <c r="P33" s="5" t="s">
        <v>56</v>
      </c>
      <c r="Q33" s="24" t="s">
        <v>169</v>
      </c>
      <c r="R33" s="24" t="s">
        <v>168</v>
      </c>
      <c r="S33" s="891"/>
      <c r="T33" s="27" t="s">
        <v>695</v>
      </c>
      <c r="U33" s="27" t="s">
        <v>696</v>
      </c>
      <c r="V33" s="27" t="s">
        <v>697</v>
      </c>
    </row>
    <row r="34" spans="2:26" ht="15" customHeight="1" x14ac:dyDescent="0.3">
      <c r="C34" s="437" t="s">
        <v>605</v>
      </c>
      <c r="D34" s="446">
        <v>3</v>
      </c>
      <c r="E34" s="435" t="s">
        <v>435</v>
      </c>
      <c r="L34" s="439"/>
      <c r="M34" s="439"/>
      <c r="N34" s="439"/>
      <c r="P34" s="28" t="s">
        <v>57</v>
      </c>
      <c r="Q34" s="7" t="s">
        <v>224</v>
      </c>
      <c r="R34" s="7" t="s">
        <v>10</v>
      </c>
      <c r="S34" s="891"/>
      <c r="T34" s="56">
        <v>25.6</v>
      </c>
      <c r="U34" s="56">
        <v>25.6</v>
      </c>
      <c r="V34" s="56">
        <v>25.6</v>
      </c>
    </row>
    <row r="35" spans="2:26" ht="15" customHeight="1" thickBot="1" x14ac:dyDescent="0.35">
      <c r="C35" s="437" t="s">
        <v>638</v>
      </c>
      <c r="D35" s="446">
        <v>15</v>
      </c>
      <c r="E35" s="435" t="s">
        <v>435</v>
      </c>
      <c r="F35" s="435"/>
      <c r="G35" s="435"/>
      <c r="H35" s="435"/>
      <c r="I35" s="435"/>
      <c r="J35" s="435"/>
      <c r="K35" s="435"/>
      <c r="L35" s="439"/>
      <c r="M35" s="439"/>
      <c r="N35" s="439"/>
      <c r="P35" s="11" t="s">
        <v>57</v>
      </c>
      <c r="Q35" s="8" t="s">
        <v>225</v>
      </c>
      <c r="R35" s="8" t="s">
        <v>10</v>
      </c>
      <c r="S35" s="891"/>
      <c r="T35" s="56">
        <v>11.815384615384616</v>
      </c>
      <c r="U35" s="56">
        <v>11.815384615384616</v>
      </c>
      <c r="V35" s="56">
        <v>11.815384615384616</v>
      </c>
    </row>
    <row r="36" spans="2:26" ht="15" customHeight="1" thickBot="1" x14ac:dyDescent="0.35">
      <c r="E36" s="952" t="s">
        <v>25</v>
      </c>
      <c r="F36" s="953"/>
      <c r="G36" s="952" t="s">
        <v>248</v>
      </c>
      <c r="H36" s="954"/>
      <c r="I36" s="954"/>
      <c r="J36" s="953"/>
      <c r="K36" s="977" t="s">
        <v>249</v>
      </c>
      <c r="L36" s="954"/>
      <c r="M36" s="954"/>
      <c r="N36" s="953"/>
      <c r="P36" s="29" t="s">
        <v>57</v>
      </c>
      <c r="Q36" s="10" t="s">
        <v>223</v>
      </c>
      <c r="R36" s="10" t="s">
        <v>11</v>
      </c>
      <c r="S36" s="891"/>
      <c r="T36" s="56">
        <v>6.5846153846153852</v>
      </c>
      <c r="U36" s="56">
        <v>4.7916507734689553</v>
      </c>
      <c r="V36" s="56">
        <v>11.815384615384616</v>
      </c>
    </row>
    <row r="37" spans="2:26" ht="15" thickBot="1" x14ac:dyDescent="0.35">
      <c r="B37" s="481"/>
      <c r="D37" s="608" t="s">
        <v>606</v>
      </c>
      <c r="E37" s="560" t="s">
        <v>220</v>
      </c>
      <c r="F37" s="561" t="s">
        <v>109</v>
      </c>
      <c r="G37" s="555" t="s">
        <v>110</v>
      </c>
      <c r="H37" s="558" t="s">
        <v>111</v>
      </c>
      <c r="I37" s="558" t="s">
        <v>112</v>
      </c>
      <c r="J37" s="557" t="s">
        <v>113</v>
      </c>
      <c r="K37" s="556" t="s">
        <v>114</v>
      </c>
      <c r="L37" s="558" t="s">
        <v>115</v>
      </c>
      <c r="M37" s="558" t="s">
        <v>116</v>
      </c>
      <c r="N37" s="557" t="s">
        <v>117</v>
      </c>
    </row>
    <row r="38" spans="2:26" x14ac:dyDescent="0.3">
      <c r="C38" s="514" t="s">
        <v>620</v>
      </c>
      <c r="D38" s="444"/>
      <c r="E38" s="453">
        <v>6</v>
      </c>
      <c r="F38" s="567">
        <v>0</v>
      </c>
      <c r="G38" s="570">
        <v>0</v>
      </c>
      <c r="H38" s="453">
        <v>6</v>
      </c>
      <c r="I38" s="453">
        <v>0</v>
      </c>
      <c r="J38" s="567">
        <v>6</v>
      </c>
      <c r="K38" s="570">
        <v>0</v>
      </c>
      <c r="L38" s="567">
        <v>6</v>
      </c>
      <c r="M38" s="567">
        <v>0</v>
      </c>
      <c r="N38" s="485">
        <v>6</v>
      </c>
      <c r="P38" s="980" t="s">
        <v>816</v>
      </c>
      <c r="Q38" s="982">
        <v>4</v>
      </c>
    </row>
    <row r="39" spans="2:26" ht="43.8" thickBot="1" x14ac:dyDescent="0.35">
      <c r="C39" s="515" t="s">
        <v>608</v>
      </c>
      <c r="D39" s="448"/>
      <c r="E39" s="449">
        <f t="shared" ref="E39:N39" si="18">SUM(E38:E38)</f>
        <v>6</v>
      </c>
      <c r="F39" s="539">
        <f>SUM(F38:F38)</f>
        <v>0</v>
      </c>
      <c r="G39" s="448">
        <f t="shared" si="18"/>
        <v>0</v>
      </c>
      <c r="H39" s="449">
        <f t="shared" si="18"/>
        <v>6</v>
      </c>
      <c r="I39" s="449">
        <f t="shared" si="18"/>
        <v>0</v>
      </c>
      <c r="J39" s="450">
        <f t="shared" si="18"/>
        <v>6</v>
      </c>
      <c r="K39" s="546">
        <f t="shared" si="18"/>
        <v>0</v>
      </c>
      <c r="L39" s="539">
        <f t="shared" si="18"/>
        <v>6</v>
      </c>
      <c r="M39" s="449">
        <f t="shared" si="18"/>
        <v>0</v>
      </c>
      <c r="N39" s="532">
        <f t="shared" si="18"/>
        <v>6</v>
      </c>
      <c r="P39" s="5" t="s">
        <v>56</v>
      </c>
      <c r="Q39" s="24" t="s">
        <v>169</v>
      </c>
      <c r="R39" s="24" t="s">
        <v>168</v>
      </c>
      <c r="S39" s="891"/>
      <c r="T39" s="27" t="s">
        <v>695</v>
      </c>
      <c r="U39" s="27" t="s">
        <v>696</v>
      </c>
      <c r="V39" s="27" t="s">
        <v>697</v>
      </c>
    </row>
    <row r="40" spans="2:26" x14ac:dyDescent="0.3">
      <c r="C40" s="489" t="s">
        <v>651</v>
      </c>
      <c r="D40" s="452"/>
      <c r="E40" s="629">
        <v>0</v>
      </c>
      <c r="F40" s="629">
        <v>0</v>
      </c>
      <c r="G40" s="452"/>
      <c r="H40" s="454"/>
      <c r="I40" s="454"/>
      <c r="J40" s="455"/>
      <c r="K40" s="547"/>
      <c r="L40" s="540"/>
      <c r="M40" s="454"/>
      <c r="N40" s="533"/>
      <c r="P40" s="28" t="s">
        <v>57</v>
      </c>
      <c r="Q40" s="7" t="s">
        <v>224</v>
      </c>
      <c r="R40" s="7" t="s">
        <v>10</v>
      </c>
      <c r="S40" s="891"/>
      <c r="T40" s="983">
        <f>T34/$Q$38</f>
        <v>6.4</v>
      </c>
      <c r="U40" s="983">
        <f t="shared" ref="U40:V40" si="19">U34/$Q$38</f>
        <v>6.4</v>
      </c>
      <c r="V40" s="983">
        <f t="shared" si="19"/>
        <v>6.4</v>
      </c>
    </row>
    <row r="41" spans="2:26" x14ac:dyDescent="0.3">
      <c r="C41" s="492" t="s">
        <v>617</v>
      </c>
      <c r="D41" s="457">
        <v>4</v>
      </c>
      <c r="E41" s="528">
        <f t="shared" ref="E41:K41" si="20">D41+E40+E43-E39</f>
        <v>4</v>
      </c>
      <c r="F41" s="528">
        <f t="shared" si="20"/>
        <v>4</v>
      </c>
      <c r="G41" s="461">
        <f t="shared" si="20"/>
        <v>4</v>
      </c>
      <c r="H41" s="458">
        <f t="shared" si="20"/>
        <v>4</v>
      </c>
      <c r="I41" s="458">
        <f t="shared" si="20"/>
        <v>4</v>
      </c>
      <c r="J41" s="459">
        <f t="shared" si="20"/>
        <v>4</v>
      </c>
      <c r="K41" s="548">
        <f t="shared" si="20"/>
        <v>4</v>
      </c>
      <c r="L41" s="548">
        <f t="shared" ref="L41" si="21">K41+L40+L43-L39</f>
        <v>4</v>
      </c>
      <c r="M41" s="548">
        <f t="shared" ref="M41" si="22">L41+M40+M43-M39</f>
        <v>4</v>
      </c>
      <c r="N41" s="548">
        <f t="shared" ref="N41" si="23">M41+N40+N43-N39</f>
        <v>4</v>
      </c>
      <c r="P41" s="11" t="s">
        <v>57</v>
      </c>
      <c r="Q41" s="8" t="s">
        <v>225</v>
      </c>
      <c r="R41" s="8" t="s">
        <v>10</v>
      </c>
      <c r="S41" s="891"/>
      <c r="T41" s="983">
        <f t="shared" ref="T41:V41" si="24">T35/$Q$38</f>
        <v>2.953846153846154</v>
      </c>
      <c r="U41" s="983">
        <f t="shared" si="24"/>
        <v>2.953846153846154</v>
      </c>
      <c r="V41" s="983">
        <f t="shared" si="24"/>
        <v>2.953846153846154</v>
      </c>
    </row>
    <row r="42" spans="2:26" x14ac:dyDescent="0.3">
      <c r="B42" s="40"/>
      <c r="C42" s="492" t="s">
        <v>642</v>
      </c>
      <c r="D42" s="461"/>
      <c r="E42" s="528">
        <f t="shared" ref="E42:K42" si="25">IF(D41-E39+E40&lt;=$D$34, E39-E40-D41+$D$34,0)</f>
        <v>5</v>
      </c>
      <c r="F42" s="528">
        <f t="shared" si="25"/>
        <v>0</v>
      </c>
      <c r="G42" s="461">
        <f t="shared" si="25"/>
        <v>0</v>
      </c>
      <c r="H42" s="458">
        <f t="shared" si="25"/>
        <v>5</v>
      </c>
      <c r="I42" s="458">
        <f t="shared" si="25"/>
        <v>0</v>
      </c>
      <c r="J42" s="459">
        <f t="shared" si="25"/>
        <v>5</v>
      </c>
      <c r="K42" s="548">
        <f t="shared" si="25"/>
        <v>0</v>
      </c>
      <c r="L42" s="548">
        <f t="shared" ref="L42" si="26">IF(K41-L39+L40&lt;=$D$34, L39-L40-K41+$D$34,0)</f>
        <v>5</v>
      </c>
      <c r="M42" s="548">
        <f t="shared" ref="M42" si="27">IF(L41-M39+M40&lt;=$D$34, M39-M40-L41+$D$34,0)</f>
        <v>0</v>
      </c>
      <c r="N42" s="548">
        <f t="shared" ref="N42" si="28">IF(M41-N39+N40&lt;=$D$34, N39-N40-M41+$D$34,0)</f>
        <v>5</v>
      </c>
      <c r="P42" s="29" t="s">
        <v>57</v>
      </c>
      <c r="Q42" s="10" t="s">
        <v>223</v>
      </c>
      <c r="R42" s="10" t="s">
        <v>11</v>
      </c>
      <c r="S42" s="891"/>
      <c r="T42" s="983">
        <f t="shared" ref="T42:V42" si="29">T36/$Q$38</f>
        <v>1.6461538461538463</v>
      </c>
      <c r="U42" s="983">
        <f t="shared" si="29"/>
        <v>1.1979126933672388</v>
      </c>
      <c r="V42" s="983">
        <f t="shared" si="29"/>
        <v>2.953846153846154</v>
      </c>
    </row>
    <row r="43" spans="2:26" x14ac:dyDescent="0.3">
      <c r="C43" s="496" t="s">
        <v>647</v>
      </c>
      <c r="D43" s="461"/>
      <c r="E43" s="528">
        <f t="shared" ref="E43" si="30" xml:space="preserve"> CEILING(E42/$D$33,1)*$D$33</f>
        <v>6</v>
      </c>
      <c r="F43" s="528">
        <f t="shared" ref="F43:N43" si="31" xml:space="preserve"> CEILING(F42/$D$33,1)*$D$33</f>
        <v>0</v>
      </c>
      <c r="G43" s="461">
        <f t="shared" si="31"/>
        <v>0</v>
      </c>
      <c r="H43" s="458">
        <f t="shared" si="31"/>
        <v>6</v>
      </c>
      <c r="I43" s="458">
        <f t="shared" si="31"/>
        <v>0</v>
      </c>
      <c r="J43" s="459">
        <f t="shared" si="31"/>
        <v>6</v>
      </c>
      <c r="K43" s="548">
        <f t="shared" si="31"/>
        <v>0</v>
      </c>
      <c r="L43" s="528">
        <f t="shared" ref="L43:M43" si="32" xml:space="preserve"> CEILING(L42/$D$33,1)*$D$33</f>
        <v>6</v>
      </c>
      <c r="M43" s="458">
        <f t="shared" si="32"/>
        <v>0</v>
      </c>
      <c r="N43" s="530">
        <f t="shared" si="31"/>
        <v>6</v>
      </c>
    </row>
    <row r="44" spans="2:26" ht="15" thickBot="1" x14ac:dyDescent="0.35">
      <c r="C44" s="571" t="s">
        <v>652</v>
      </c>
      <c r="D44" s="463"/>
      <c r="E44" s="464">
        <f>E43</f>
        <v>6</v>
      </c>
      <c r="F44" s="464">
        <f t="shared" ref="F44:K44" si="33">F43</f>
        <v>0</v>
      </c>
      <c r="G44" s="464">
        <f t="shared" si="33"/>
        <v>0</v>
      </c>
      <c r="H44" s="464">
        <f t="shared" si="33"/>
        <v>6</v>
      </c>
      <c r="I44" s="464">
        <f t="shared" si="33"/>
        <v>0</v>
      </c>
      <c r="J44" s="464">
        <f t="shared" si="33"/>
        <v>6</v>
      </c>
      <c r="K44" s="464">
        <f t="shared" si="33"/>
        <v>0</v>
      </c>
      <c r="L44" s="464">
        <f t="shared" ref="L44" si="34">L43</f>
        <v>6</v>
      </c>
      <c r="M44" s="464">
        <f t="shared" ref="M44" si="35">M43</f>
        <v>0</v>
      </c>
      <c r="N44" s="464">
        <f t="shared" ref="N44" si="36">N43</f>
        <v>6</v>
      </c>
    </row>
    <row r="45" spans="2:26" hidden="1" x14ac:dyDescent="0.3">
      <c r="C45" s="466" t="s">
        <v>612</v>
      </c>
      <c r="D45" s="467"/>
      <c r="E45" s="468">
        <f t="shared" ref="E45:N45" si="37">QUOTIENT(MOD(E44+$D$29-1,$D$28),$D$29)</f>
        <v>1</v>
      </c>
      <c r="F45" s="468">
        <f t="shared" si="37"/>
        <v>0</v>
      </c>
      <c r="G45" s="468">
        <f t="shared" si="37"/>
        <v>0</v>
      </c>
      <c r="H45" s="468">
        <f t="shared" si="37"/>
        <v>1</v>
      </c>
      <c r="I45" s="468">
        <f t="shared" si="37"/>
        <v>0</v>
      </c>
      <c r="J45" s="468">
        <f t="shared" si="37"/>
        <v>1</v>
      </c>
      <c r="K45" s="468">
        <f t="shared" si="37"/>
        <v>0</v>
      </c>
      <c r="L45" s="542">
        <f t="shared" ref="L45:M45" si="38">QUOTIENT(MOD(L44+$D$29-1,$D$28),$D$29)</f>
        <v>1</v>
      </c>
      <c r="M45" s="468">
        <f t="shared" si="38"/>
        <v>0</v>
      </c>
      <c r="N45" s="534">
        <f t="shared" si="37"/>
        <v>1</v>
      </c>
    </row>
    <row r="46" spans="2:26" hidden="1" x14ac:dyDescent="0.3">
      <c r="B46" s="40"/>
      <c r="C46" s="470" t="s">
        <v>613</v>
      </c>
      <c r="D46" s="482"/>
      <c r="E46" s="472">
        <f t="shared" ref="E46:N46" si="39">QUOTIENT(E44+$D$29-1,$D$28)</f>
        <v>0</v>
      </c>
      <c r="F46" s="472">
        <f t="shared" si="39"/>
        <v>0</v>
      </c>
      <c r="G46" s="472">
        <f t="shared" si="39"/>
        <v>0</v>
      </c>
      <c r="H46" s="472">
        <f t="shared" si="39"/>
        <v>0</v>
      </c>
      <c r="I46" s="472">
        <f t="shared" si="39"/>
        <v>0</v>
      </c>
      <c r="J46" s="472">
        <f t="shared" si="39"/>
        <v>0</v>
      </c>
      <c r="K46" s="472">
        <f t="shared" si="39"/>
        <v>0</v>
      </c>
      <c r="L46" s="543">
        <f t="shared" ref="L46:M46" si="40">QUOTIENT(L44+$D$29-1,$D$28)</f>
        <v>0</v>
      </c>
      <c r="M46" s="472">
        <f t="shared" si="40"/>
        <v>0</v>
      </c>
      <c r="N46" s="535">
        <f t="shared" si="39"/>
        <v>0</v>
      </c>
    </row>
    <row r="47" spans="2:26" ht="15" hidden="1" thickBot="1" x14ac:dyDescent="0.35">
      <c r="C47" s="516" t="s">
        <v>614</v>
      </c>
      <c r="D47" s="474"/>
      <c r="E47" s="475" t="e">
        <f>IF($O$47="Choosing Supplier 1", E46*#REF!+E45*#REF!,E46*#REF!+E45*#REF!)</f>
        <v>#REF!</v>
      </c>
      <c r="F47" s="475" t="e">
        <f>IF($O$47="Choosing Supplier 1", F46*#REF!+F45*#REF!,F46*#REF!+F45*#REF!)</f>
        <v>#REF!</v>
      </c>
      <c r="G47" s="475" t="e">
        <f>IF($O$47="Choosing Supplier 1", G46*#REF!+G45*#REF!,G46*#REF!+G45*#REF!)</f>
        <v>#REF!</v>
      </c>
      <c r="H47" s="475" t="e">
        <f>IF($O$47="Choosing Supplier 1", H46*#REF!+H45*#REF!,H46*#REF!+H45*#REF!)</f>
        <v>#REF!</v>
      </c>
      <c r="I47" s="475" t="e">
        <f>IF($O$47="Choosing Supplier 1", I46*#REF!+I45*#REF!,I46*#REF!+I45*#REF!)</f>
        <v>#REF!</v>
      </c>
      <c r="J47" s="475" t="e">
        <f>IF($O$47="Choosing Supplier 1", J46*#REF!+J45*#REF!,J46*#REF!+J45*#REF!)</f>
        <v>#REF!</v>
      </c>
      <c r="K47" s="475" t="e">
        <f>IF($O$47="Choosing Supplier 1", K46*#REF!+K45*#REF!,K46*#REF!+K45*#REF!)</f>
        <v>#REF!</v>
      </c>
      <c r="L47" s="544" t="e">
        <f>IF($O$47="Choosing Supplier 1", L46*#REF!+L45*#REF!,L46*#REF!+L45*#REF!)</f>
        <v>#REF!</v>
      </c>
      <c r="M47" s="475" t="e">
        <f>IF($O$47="Choosing Supplier 1", M46*#REF!+M45*#REF!,M46*#REF!+M45*#REF!)</f>
        <v>#REF!</v>
      </c>
      <c r="N47" s="536" t="e">
        <f>IF($O$47="Choosing Supplier 1", N46*#REF!+N45*#REF!,N46*#REF!+N45*#REF!)</f>
        <v>#REF!</v>
      </c>
      <c r="O47" s="477" t="e">
        <f>IF(#REF!&lt;#REF!,IF($D$145="Yes","Choosing Supplier 1","Choosing Supplier 2"),IF($D$164="Yes","Choosing Supplier 2","Choosing Supplier 1"))</f>
        <v>#REF!</v>
      </c>
      <c r="P47" t="s">
        <v>615</v>
      </c>
    </row>
    <row r="48" spans="2:26" x14ac:dyDescent="0.3">
      <c r="C48" s="73"/>
      <c r="D48" s="483"/>
      <c r="E48" s="484"/>
      <c r="F48" s="484"/>
      <c r="G48" s="484"/>
      <c r="H48" s="484"/>
      <c r="I48" s="484"/>
      <c r="J48" s="484"/>
      <c r="K48" s="484"/>
      <c r="L48" s="484"/>
      <c r="M48" s="484"/>
      <c r="N48" s="484"/>
      <c r="Z48" s="304"/>
    </row>
    <row r="49" spans="2:26" x14ac:dyDescent="0.3">
      <c r="D49" s="1"/>
      <c r="Z49" s="304"/>
    </row>
    <row r="50" spans="2:26" ht="18" x14ac:dyDescent="0.35">
      <c r="B50" s="517" t="s">
        <v>630</v>
      </c>
      <c r="D50" s="1"/>
      <c r="Z50" s="304"/>
    </row>
    <row r="51" spans="2:26" hidden="1" x14ac:dyDescent="0.3">
      <c r="C51" s="437" t="s">
        <v>600</v>
      </c>
      <c r="D51" s="479">
        <v>20</v>
      </c>
      <c r="Z51" s="304"/>
    </row>
    <row r="52" spans="2:26" ht="14.4" hidden="1" customHeight="1" x14ac:dyDescent="0.3">
      <c r="C52" s="437" t="s">
        <v>601</v>
      </c>
      <c r="D52" s="479">
        <v>10</v>
      </c>
      <c r="L52" s="439"/>
      <c r="M52" s="439"/>
      <c r="N52" s="439"/>
      <c r="Z52" s="304"/>
    </row>
    <row r="53" spans="2:26" ht="14.4" hidden="1" customHeight="1" x14ac:dyDescent="0.3">
      <c r="C53" s="438" t="s">
        <v>602</v>
      </c>
      <c r="D53" s="480">
        <v>20</v>
      </c>
      <c r="L53" s="439"/>
      <c r="M53" s="439"/>
      <c r="N53" s="439"/>
      <c r="Z53" s="304"/>
    </row>
    <row r="54" spans="2:26" ht="14.4" hidden="1" customHeight="1" x14ac:dyDescent="0.3">
      <c r="C54" s="438" t="s">
        <v>603</v>
      </c>
      <c r="D54" s="480">
        <v>10</v>
      </c>
      <c r="L54" s="439"/>
      <c r="M54" s="439"/>
      <c r="N54" s="439"/>
      <c r="Z54" s="304"/>
    </row>
    <row r="55" spans="2:26" ht="14.4" customHeight="1" x14ac:dyDescent="0.3">
      <c r="C55" s="437" t="s">
        <v>639</v>
      </c>
      <c r="D55" s="446">
        <v>0</v>
      </c>
      <c r="H55" s="435"/>
      <c r="L55" s="435"/>
      <c r="M55" s="435"/>
      <c r="N55" s="435"/>
      <c r="Z55" s="304"/>
    </row>
    <row r="56" spans="2:26" ht="14.4" customHeight="1" x14ac:dyDescent="0.3">
      <c r="C56" s="437" t="s">
        <v>604</v>
      </c>
      <c r="D56" s="446">
        <v>5</v>
      </c>
      <c r="E56" s="435" t="s">
        <v>435</v>
      </c>
      <c r="H56" s="435"/>
      <c r="L56" s="435"/>
      <c r="M56" s="435"/>
      <c r="N56" s="435"/>
    </row>
    <row r="57" spans="2:26" ht="15" customHeight="1" x14ac:dyDescent="0.3">
      <c r="C57" s="437" t="s">
        <v>605</v>
      </c>
      <c r="D57" s="446">
        <v>2</v>
      </c>
      <c r="E57" s="435" t="s">
        <v>435</v>
      </c>
      <c r="H57" s="435"/>
      <c r="L57" s="435"/>
      <c r="M57" s="435"/>
      <c r="N57" s="435"/>
    </row>
    <row r="58" spans="2:26" ht="15" customHeight="1" thickBot="1" x14ac:dyDescent="0.35">
      <c r="C58" s="437" t="s">
        <v>638</v>
      </c>
      <c r="D58" s="446">
        <v>10</v>
      </c>
      <c r="E58" s="435" t="s">
        <v>435</v>
      </c>
      <c r="F58" s="435"/>
      <c r="G58" s="435"/>
      <c r="H58" s="435"/>
      <c r="I58" s="435"/>
      <c r="J58" s="435"/>
      <c r="K58" s="435"/>
      <c r="L58" s="435"/>
      <c r="M58" s="435"/>
      <c r="N58" s="435"/>
    </row>
    <row r="59" spans="2:26" ht="15" customHeight="1" thickBot="1" x14ac:dyDescent="0.35">
      <c r="E59" s="952" t="s">
        <v>25</v>
      </c>
      <c r="F59" s="953"/>
      <c r="G59" s="952" t="s">
        <v>248</v>
      </c>
      <c r="H59" s="954"/>
      <c r="I59" s="954"/>
      <c r="J59" s="953"/>
      <c r="K59" s="952" t="s">
        <v>249</v>
      </c>
      <c r="L59" s="954"/>
      <c r="M59" s="954"/>
      <c r="N59" s="953"/>
    </row>
    <row r="60" spans="2:26" ht="15" thickBot="1" x14ac:dyDescent="0.35">
      <c r="D60" s="608" t="s">
        <v>606</v>
      </c>
      <c r="E60" s="560" t="s">
        <v>220</v>
      </c>
      <c r="F60" s="561" t="s">
        <v>109</v>
      </c>
      <c r="G60" s="555" t="s">
        <v>110</v>
      </c>
      <c r="H60" s="558" t="s">
        <v>111</v>
      </c>
      <c r="I60" s="558" t="s">
        <v>112</v>
      </c>
      <c r="J60" s="559" t="s">
        <v>113</v>
      </c>
      <c r="K60" s="555" t="s">
        <v>114</v>
      </c>
      <c r="L60" s="558" t="s">
        <v>115</v>
      </c>
      <c r="M60" s="558" t="s">
        <v>116</v>
      </c>
      <c r="N60" s="557" t="s">
        <v>117</v>
      </c>
    </row>
    <row r="61" spans="2:26" x14ac:dyDescent="0.3">
      <c r="C61" s="514" t="s">
        <v>620</v>
      </c>
      <c r="D61" s="444"/>
      <c r="E61" s="453">
        <v>0</v>
      </c>
      <c r="F61" s="567">
        <v>0</v>
      </c>
      <c r="G61" s="570">
        <v>6</v>
      </c>
      <c r="H61" s="453">
        <v>0</v>
      </c>
      <c r="I61" s="453">
        <v>0</v>
      </c>
      <c r="J61" s="567">
        <v>0</v>
      </c>
      <c r="K61" s="570">
        <v>6</v>
      </c>
      <c r="L61" s="567">
        <v>0</v>
      </c>
      <c r="M61" s="567">
        <v>0</v>
      </c>
      <c r="N61" s="485">
        <v>0</v>
      </c>
    </row>
    <row r="62" spans="2:26" ht="15" thickBot="1" x14ac:dyDescent="0.35">
      <c r="C62" s="447" t="s">
        <v>608</v>
      </c>
      <c r="D62" s="486"/>
      <c r="E62" s="487">
        <f t="shared" ref="E62:N62" si="41">SUM(E61:E61)</f>
        <v>0</v>
      </c>
      <c r="F62" s="487">
        <f t="shared" si="41"/>
        <v>0</v>
      </c>
      <c r="G62" s="487">
        <f t="shared" si="41"/>
        <v>6</v>
      </c>
      <c r="H62" s="487">
        <f t="shared" si="41"/>
        <v>0</v>
      </c>
      <c r="I62" s="487">
        <f t="shared" si="41"/>
        <v>0</v>
      </c>
      <c r="J62" s="487">
        <f t="shared" si="41"/>
        <v>0</v>
      </c>
      <c r="K62" s="487">
        <f t="shared" si="41"/>
        <v>6</v>
      </c>
      <c r="L62" s="487">
        <f t="shared" si="41"/>
        <v>0</v>
      </c>
      <c r="M62" s="487">
        <f t="shared" si="41"/>
        <v>0</v>
      </c>
      <c r="N62" s="487">
        <f t="shared" si="41"/>
        <v>0</v>
      </c>
    </row>
    <row r="63" spans="2:26" x14ac:dyDescent="0.3">
      <c r="C63" s="489" t="s">
        <v>651</v>
      </c>
      <c r="D63" s="452"/>
      <c r="E63" s="629">
        <v>0</v>
      </c>
      <c r="F63" s="629">
        <v>0</v>
      </c>
      <c r="G63" s="509"/>
      <c r="H63" s="490"/>
      <c r="I63" s="490"/>
      <c r="J63" s="562"/>
      <c r="K63" s="509"/>
      <c r="L63" s="562"/>
      <c r="M63" s="490"/>
      <c r="N63" s="564"/>
    </row>
    <row r="64" spans="2:26" x14ac:dyDescent="0.3">
      <c r="C64" s="492" t="s">
        <v>617</v>
      </c>
      <c r="D64" s="457">
        <v>3</v>
      </c>
      <c r="E64" s="563">
        <f t="shared" ref="E64" si="42">D64+E63+E66-E62</f>
        <v>3</v>
      </c>
      <c r="F64" s="563">
        <f t="shared" ref="F64" si="43">E64+F63+F66-F62</f>
        <v>3</v>
      </c>
      <c r="G64" s="563">
        <f t="shared" ref="G64" si="44">F64+G63+G66-G62</f>
        <v>2</v>
      </c>
      <c r="H64" s="563">
        <f t="shared" ref="H64" si="45">G64+H63+H66-H62</f>
        <v>2</v>
      </c>
      <c r="I64" s="563">
        <f t="shared" ref="I64" si="46">H64+I63+I66-I62</f>
        <v>2</v>
      </c>
      <c r="J64" s="563">
        <f t="shared" ref="J64" si="47">I64+J63+J66-J62</f>
        <v>2</v>
      </c>
      <c r="K64" s="563">
        <f t="shared" ref="K64" si="48">J64+K63+K66-K62</f>
        <v>6</v>
      </c>
      <c r="L64" s="563">
        <f t="shared" ref="L64" si="49">K64+L63+L66-L62</f>
        <v>6</v>
      </c>
      <c r="M64" s="563">
        <f t="shared" ref="M64" si="50">L64+M63+M66-M62</f>
        <v>6</v>
      </c>
      <c r="N64" s="563">
        <f t="shared" ref="N64" si="51">M64+N63+N66-N62</f>
        <v>6</v>
      </c>
      <c r="P64" s="460"/>
    </row>
    <row r="65" spans="2:26" x14ac:dyDescent="0.3">
      <c r="C65" s="492" t="s">
        <v>642</v>
      </c>
      <c r="D65" s="495"/>
      <c r="E65" s="528">
        <f t="shared" ref="E65" si="52">IF(D64-E62+E63&lt;=$D$57, E62-E63-D64+$D$57,0)</f>
        <v>0</v>
      </c>
      <c r="F65" s="528">
        <f t="shared" ref="F65" si="53">IF(E64-F62+F63&lt;=$D$57, F62-F63-E64+$D$57,0)</f>
        <v>0</v>
      </c>
      <c r="G65" s="528">
        <f t="shared" ref="G65" si="54">IF(F64-G62+G63&lt;=$D$57, G62-G63-F64+$D$57,0)</f>
        <v>5</v>
      </c>
      <c r="H65" s="528">
        <f t="shared" ref="H65" si="55">IF(G64-H62+H63&lt;=$D$57, H62-H63-G64+$D$57,0)</f>
        <v>0</v>
      </c>
      <c r="I65" s="528">
        <f t="shared" ref="I65" si="56">IF(H64-I62+I63&lt;=$D$57, I62-I63-H64+$D$57,0)</f>
        <v>0</v>
      </c>
      <c r="J65" s="528">
        <f t="shared" ref="J65" si="57">IF(I64-J62+J63&lt;=$D$57, J62-J63-I64+$D$57,0)</f>
        <v>0</v>
      </c>
      <c r="K65" s="528">
        <f t="shared" ref="K65" si="58">IF(J64-K62+K63&lt;=$D$57, K62-K63-J64+$D$57,0)</f>
        <v>6</v>
      </c>
      <c r="L65" s="528">
        <f t="shared" ref="L65" si="59">IF(K64-L62+L63&lt;=$D$57, L62-L63-K64+$D$57,0)</f>
        <v>0</v>
      </c>
      <c r="M65" s="528">
        <f t="shared" ref="M65" si="60">IF(L64-M62+M63&lt;=$D$57, M62-M63-L64+$D$57,0)</f>
        <v>0</v>
      </c>
      <c r="N65" s="528">
        <f t="shared" ref="N65" si="61">IF(M64-N62+N63&lt;=$D$57, N62-N63-M64+$D$57,0)</f>
        <v>0</v>
      </c>
      <c r="P65" s="460"/>
    </row>
    <row r="66" spans="2:26" x14ac:dyDescent="0.3">
      <c r="C66" s="496" t="s">
        <v>647</v>
      </c>
      <c r="D66" s="495"/>
      <c r="E66" s="563">
        <f t="shared" ref="E66:N66" si="62" xml:space="preserve"> CEILING(E65/$D$56,1)*$D$56</f>
        <v>0</v>
      </c>
      <c r="F66" s="563">
        <f t="shared" si="62"/>
        <v>0</v>
      </c>
      <c r="G66" s="563">
        <f t="shared" si="62"/>
        <v>5</v>
      </c>
      <c r="H66" s="563">
        <f t="shared" si="62"/>
        <v>0</v>
      </c>
      <c r="I66" s="563">
        <f t="shared" si="62"/>
        <v>0</v>
      </c>
      <c r="J66" s="563">
        <f t="shared" si="62"/>
        <v>0</v>
      </c>
      <c r="K66" s="563">
        <f t="shared" si="62"/>
        <v>10</v>
      </c>
      <c r="L66" s="563">
        <f t="shared" si="62"/>
        <v>0</v>
      </c>
      <c r="M66" s="563">
        <f t="shared" si="62"/>
        <v>0</v>
      </c>
      <c r="N66" s="563">
        <f t="shared" si="62"/>
        <v>0</v>
      </c>
    </row>
    <row r="67" spans="2:26" ht="15" thickBot="1" x14ac:dyDescent="0.35">
      <c r="C67" s="571" t="s">
        <v>652</v>
      </c>
      <c r="D67" s="463"/>
      <c r="E67" s="464">
        <f>E66</f>
        <v>0</v>
      </c>
      <c r="F67" s="464">
        <f>F66</f>
        <v>0</v>
      </c>
      <c r="G67" s="464">
        <f t="shared" ref="G67:N67" si="63">G66</f>
        <v>5</v>
      </c>
      <c r="H67" s="464">
        <f t="shared" si="63"/>
        <v>0</v>
      </c>
      <c r="I67" s="464">
        <f t="shared" si="63"/>
        <v>0</v>
      </c>
      <c r="J67" s="464">
        <f t="shared" si="63"/>
        <v>0</v>
      </c>
      <c r="K67" s="464">
        <f t="shared" si="63"/>
        <v>10</v>
      </c>
      <c r="L67" s="464">
        <f t="shared" si="63"/>
        <v>0</v>
      </c>
      <c r="M67" s="464">
        <f t="shared" si="63"/>
        <v>0</v>
      </c>
      <c r="N67" s="464">
        <f t="shared" si="63"/>
        <v>0</v>
      </c>
    </row>
    <row r="68" spans="2:26" hidden="1" x14ac:dyDescent="0.3">
      <c r="C68" s="478" t="s">
        <v>612</v>
      </c>
      <c r="D68" s="467"/>
      <c r="E68" s="468">
        <f>QUOTIENT(MOD(E67+$D$52-1,$D$51),$D$52)</f>
        <v>0</v>
      </c>
      <c r="F68" s="468">
        <f t="shared" ref="F68:N68" si="64">QUOTIENT(MOD(F67+$D$52-1,$D$51),$D$52)</f>
        <v>0</v>
      </c>
      <c r="G68" s="468">
        <f t="shared" si="64"/>
        <v>1</v>
      </c>
      <c r="H68" s="468">
        <f t="shared" si="64"/>
        <v>0</v>
      </c>
      <c r="I68" s="468">
        <f t="shared" si="64"/>
        <v>0</v>
      </c>
      <c r="J68" s="468">
        <f t="shared" si="64"/>
        <v>0</v>
      </c>
      <c r="K68" s="468">
        <f t="shared" si="64"/>
        <v>1</v>
      </c>
      <c r="L68" s="542">
        <f t="shared" ref="L68:M68" si="65">QUOTIENT(MOD(L67+$D$52-1,$D$51),$D$52)</f>
        <v>0</v>
      </c>
      <c r="M68" s="468">
        <f t="shared" si="65"/>
        <v>0</v>
      </c>
      <c r="N68" s="534">
        <f t="shared" si="64"/>
        <v>0</v>
      </c>
    </row>
    <row r="69" spans="2:26" hidden="1" x14ac:dyDescent="0.3">
      <c r="B69" s="40"/>
      <c r="C69" s="497" t="s">
        <v>613</v>
      </c>
      <c r="D69" s="482"/>
      <c r="E69" s="472">
        <f t="shared" ref="E69:N69" si="66">QUOTIENT(E67+$D$52-1,$D$51)</f>
        <v>0</v>
      </c>
      <c r="F69" s="472">
        <f t="shared" si="66"/>
        <v>0</v>
      </c>
      <c r="G69" s="472">
        <f t="shared" si="66"/>
        <v>0</v>
      </c>
      <c r="H69" s="472">
        <f t="shared" si="66"/>
        <v>0</v>
      </c>
      <c r="I69" s="472">
        <f t="shared" si="66"/>
        <v>0</v>
      </c>
      <c r="J69" s="472">
        <f t="shared" si="66"/>
        <v>0</v>
      </c>
      <c r="K69" s="472">
        <f t="shared" si="66"/>
        <v>0</v>
      </c>
      <c r="L69" s="543">
        <f t="shared" ref="L69:M69" si="67">QUOTIENT(L67+$D$52-1,$D$51)</f>
        <v>0</v>
      </c>
      <c r="M69" s="472">
        <f t="shared" si="67"/>
        <v>0</v>
      </c>
      <c r="N69" s="535">
        <f t="shared" si="66"/>
        <v>0</v>
      </c>
    </row>
    <row r="70" spans="2:26" ht="15" hidden="1" thickBot="1" x14ac:dyDescent="0.35">
      <c r="C70" s="516" t="s">
        <v>614</v>
      </c>
      <c r="D70" s="474"/>
      <c r="E70" s="475" t="e">
        <f>IF($O$70="Choosing Supplier 1", E69*#REF!+E68*#REF!,E69*#REF!+E68*#REF!)</f>
        <v>#REF!</v>
      </c>
      <c r="F70" s="475" t="e">
        <f>IF($O$70="Choosing Supplier 1", F69*#REF!+F68*#REF!,F69*#REF!+F68*#REF!)</f>
        <v>#REF!</v>
      </c>
      <c r="G70" s="475" t="e">
        <f>IF($O$70="Choosing Supplier 1", G69*#REF!+G68*#REF!,G69*#REF!+G68*#REF!)</f>
        <v>#REF!</v>
      </c>
      <c r="H70" s="475" t="e">
        <f>IF($O$70="Choosing Supplier 1", H69*#REF!+H68*#REF!,H69*#REF!+H68*#REF!)</f>
        <v>#REF!</v>
      </c>
      <c r="I70" s="475" t="e">
        <f>IF($O$70="Choosing Supplier 1", I69*#REF!+I68*#REF!,I69*#REF!+I68*#REF!)</f>
        <v>#REF!</v>
      </c>
      <c r="J70" s="475" t="e">
        <f>IF($O$70="Choosing Supplier 1", J69*#REF!+J68*#REF!,J69*#REF!+J68*#REF!)</f>
        <v>#REF!</v>
      </c>
      <c r="K70" s="475" t="e">
        <f>IF($O$70="Choosing Supplier 1", K69*#REF!+K68*#REF!,K69*#REF!+K68*#REF!)</f>
        <v>#REF!</v>
      </c>
      <c r="L70" s="544" t="e">
        <f>IF($O$70="Choosing Supplier 1", L69*#REF!+L68*#REF!,L69*#REF!+L68*#REF!)</f>
        <v>#REF!</v>
      </c>
      <c r="M70" s="475" t="e">
        <f>IF($O$70="Choosing Supplier 1", M69*#REF!+M68*#REF!,M69*#REF!+M68*#REF!)</f>
        <v>#REF!</v>
      </c>
      <c r="N70" s="536" t="e">
        <f>IF($O$70="Choosing Supplier 1", N69*#REF!+N68*#REF!,N69*#REF!+N68*#REF!)</f>
        <v>#REF!</v>
      </c>
      <c r="O70" s="477" t="e">
        <f>IF(#REF!&lt;#REF!,IF($D$145="Yes","Choosing Supplier 1","Choosing Supplier 2"),IF($D$164="Yes","Choosing Supplier 2","Choosing Supplier 1"))</f>
        <v>#REF!</v>
      </c>
      <c r="P70" t="s">
        <v>615</v>
      </c>
    </row>
    <row r="71" spans="2:26" x14ac:dyDescent="0.3">
      <c r="C71" s="498"/>
      <c r="D71" s="483"/>
      <c r="E71" s="484"/>
      <c r="F71" s="484"/>
      <c r="G71" s="484"/>
      <c r="H71" s="484"/>
      <c r="I71" s="484"/>
      <c r="J71" s="484"/>
      <c r="K71" s="484"/>
      <c r="L71" s="484"/>
      <c r="M71" s="484"/>
      <c r="N71" s="484"/>
    </row>
    <row r="72" spans="2:26" x14ac:dyDescent="0.3">
      <c r="C72" s="519" t="s">
        <v>337</v>
      </c>
      <c r="D72" s="435"/>
      <c r="E72" s="435"/>
      <c r="F72" s="435"/>
      <c r="G72" s="435"/>
      <c r="H72" s="435"/>
      <c r="I72" s="435"/>
      <c r="J72" s="435"/>
      <c r="K72" s="435"/>
      <c r="L72" s="435"/>
      <c r="M72" s="435"/>
      <c r="N72" s="435"/>
      <c r="P72" s="460"/>
      <c r="Z72" s="304"/>
    </row>
    <row r="73" spans="2:26" hidden="1" x14ac:dyDescent="0.3">
      <c r="C73" s="437" t="s">
        <v>600</v>
      </c>
      <c r="D73" s="479" t="str">
        <f>[1]DC3!C2</f>
        <v>Value</v>
      </c>
      <c r="E73" s="435"/>
      <c r="F73" s="435"/>
      <c r="G73" s="435"/>
      <c r="H73" s="435"/>
      <c r="I73" s="435"/>
      <c r="J73" s="435"/>
      <c r="K73" s="435"/>
      <c r="L73" s="435"/>
      <c r="M73" s="435"/>
      <c r="N73" s="435"/>
      <c r="P73" s="460"/>
      <c r="Z73" s="304"/>
    </row>
    <row r="74" spans="2:26" ht="14.4" hidden="1" customHeight="1" x14ac:dyDescent="0.3">
      <c r="C74" s="437" t="s">
        <v>601</v>
      </c>
      <c r="D74" s="479">
        <f>[1]DC3!C3</f>
        <v>20</v>
      </c>
      <c r="E74" s="435"/>
      <c r="F74" s="435"/>
      <c r="G74" s="435"/>
      <c r="H74" s="435"/>
      <c r="I74" s="435"/>
      <c r="J74" s="435"/>
      <c r="K74" s="435"/>
      <c r="L74" s="439"/>
      <c r="M74" s="439"/>
      <c r="N74" s="439"/>
      <c r="Z74" s="304"/>
    </row>
    <row r="75" spans="2:26" ht="14.4" hidden="1" customHeight="1" x14ac:dyDescent="0.3">
      <c r="C75" s="438" t="s">
        <v>602</v>
      </c>
      <c r="D75" s="480">
        <f>[1]DC3!C4</f>
        <v>10</v>
      </c>
      <c r="E75" s="435"/>
      <c r="F75" s="435"/>
      <c r="G75" s="435"/>
      <c r="H75" s="435"/>
      <c r="I75" s="435"/>
      <c r="J75" s="435"/>
      <c r="K75" s="435"/>
      <c r="L75" s="439"/>
      <c r="M75" s="439"/>
      <c r="N75" s="439"/>
      <c r="Z75" s="304"/>
    </row>
    <row r="76" spans="2:26" ht="14.4" hidden="1" customHeight="1" x14ac:dyDescent="0.3">
      <c r="C76" s="438" t="s">
        <v>603</v>
      </c>
      <c r="D76" s="480">
        <f>[1]DC3!C5</f>
        <v>20</v>
      </c>
      <c r="E76" s="435"/>
      <c r="F76" s="435"/>
      <c r="G76" s="435"/>
      <c r="H76" s="435"/>
      <c r="I76" s="435"/>
      <c r="J76" s="435"/>
      <c r="K76" s="435"/>
      <c r="L76" s="439"/>
      <c r="M76" s="439"/>
      <c r="N76" s="439"/>
      <c r="Z76" s="304"/>
    </row>
    <row r="77" spans="2:26" ht="14.4" customHeight="1" x14ac:dyDescent="0.3">
      <c r="C77" s="437" t="s">
        <v>644</v>
      </c>
      <c r="D77" s="446">
        <v>0</v>
      </c>
      <c r="E77" s="435"/>
      <c r="F77" s="435"/>
      <c r="G77" s="435"/>
      <c r="H77" s="435"/>
      <c r="I77" s="435"/>
      <c r="J77" s="435"/>
      <c r="K77" s="435"/>
      <c r="L77" s="435"/>
      <c r="M77" s="435"/>
      <c r="N77" s="435"/>
      <c r="P77" s="11" t="s">
        <v>59</v>
      </c>
      <c r="Q77" s="8" t="s">
        <v>337</v>
      </c>
      <c r="R77" s="8" t="s">
        <v>10</v>
      </c>
      <c r="S77" s="891"/>
      <c r="T77" s="151">
        <v>28800</v>
      </c>
      <c r="U77" s="151">
        <v>28800</v>
      </c>
      <c r="V77" s="151">
        <v>28800</v>
      </c>
      <c r="Z77" s="304"/>
    </row>
    <row r="78" spans="2:26" ht="14.4" customHeight="1" x14ac:dyDescent="0.3">
      <c r="C78" s="437" t="s">
        <v>604</v>
      </c>
      <c r="D78" s="446">
        <v>6</v>
      </c>
      <c r="E78" s="435"/>
      <c r="F78" s="435"/>
      <c r="G78" s="435"/>
      <c r="H78" s="435"/>
      <c r="I78" s="435"/>
      <c r="J78" s="435"/>
      <c r="K78" s="435"/>
      <c r="L78" s="435"/>
      <c r="M78" s="435"/>
      <c r="N78" s="435"/>
      <c r="P78" s="11" t="s">
        <v>59</v>
      </c>
      <c r="Q78" s="8" t="s">
        <v>233</v>
      </c>
      <c r="R78" s="8" t="s">
        <v>11</v>
      </c>
      <c r="S78" s="891"/>
      <c r="T78" s="151">
        <v>10700</v>
      </c>
      <c r="U78" s="151">
        <v>7786.432506887053</v>
      </c>
      <c r="V78" s="151">
        <v>19200</v>
      </c>
    </row>
    <row r="79" spans="2:26" ht="15" customHeight="1" x14ac:dyDescent="0.3">
      <c r="C79" s="437" t="s">
        <v>605</v>
      </c>
      <c r="D79" s="446">
        <v>1</v>
      </c>
      <c r="E79" s="435"/>
      <c r="F79" s="435"/>
      <c r="G79" s="435"/>
      <c r="H79" s="435"/>
      <c r="I79" s="435"/>
      <c r="J79" s="435"/>
      <c r="K79" s="435"/>
      <c r="L79" s="435"/>
      <c r="M79" s="435"/>
      <c r="N79" s="435"/>
      <c r="P79" s="29" t="s">
        <v>59</v>
      </c>
      <c r="Q79" s="29" t="s">
        <v>228</v>
      </c>
      <c r="R79" s="10" t="s">
        <v>12</v>
      </c>
      <c r="S79" s="891"/>
      <c r="T79" s="151">
        <v>5350</v>
      </c>
      <c r="U79" s="151">
        <v>9536.363636363636</v>
      </c>
      <c r="V79" s="151">
        <v>9600</v>
      </c>
    </row>
    <row r="80" spans="2:26" ht="15" customHeight="1" thickBot="1" x14ac:dyDescent="0.35">
      <c r="C80" s="437" t="s">
        <v>638</v>
      </c>
      <c r="D80" s="446">
        <v>69</v>
      </c>
      <c r="E80" s="435"/>
      <c r="F80" s="435"/>
      <c r="G80" s="435"/>
      <c r="H80" s="435"/>
      <c r="I80" s="435"/>
      <c r="J80" s="435"/>
      <c r="K80" s="435"/>
      <c r="L80" s="435"/>
      <c r="M80" s="435"/>
      <c r="N80" s="435"/>
      <c r="P80" s="11" t="s">
        <v>65</v>
      </c>
      <c r="Q80" s="8" t="s">
        <v>229</v>
      </c>
      <c r="R80" s="8" t="s">
        <v>10</v>
      </c>
      <c r="S80" s="891"/>
      <c r="T80" s="151">
        <v>14400</v>
      </c>
      <c r="U80" s="151">
        <v>14400</v>
      </c>
      <c r="V80" s="151">
        <v>14400</v>
      </c>
    </row>
    <row r="81" spans="2:26" ht="15" customHeight="1" thickBot="1" x14ac:dyDescent="0.35">
      <c r="E81" s="952" t="s">
        <v>25</v>
      </c>
      <c r="F81" s="953"/>
      <c r="G81" s="952" t="s">
        <v>248</v>
      </c>
      <c r="H81" s="954"/>
      <c r="I81" s="954"/>
      <c r="J81" s="953"/>
      <c r="K81" s="952" t="s">
        <v>249</v>
      </c>
      <c r="L81" s="954"/>
      <c r="M81" s="954"/>
      <c r="N81" s="953"/>
      <c r="P81" s="11" t="s">
        <v>65</v>
      </c>
      <c r="Q81" s="8" t="s">
        <v>230</v>
      </c>
      <c r="R81" s="8" t="s">
        <v>11</v>
      </c>
      <c r="S81" s="891"/>
      <c r="T81" s="151">
        <v>5350</v>
      </c>
      <c r="U81" s="151">
        <v>3893.2162534435265</v>
      </c>
      <c r="V81" s="151">
        <v>9600</v>
      </c>
    </row>
    <row r="82" spans="2:26" ht="15" thickBot="1" x14ac:dyDescent="0.35">
      <c r="D82" s="608" t="s">
        <v>606</v>
      </c>
      <c r="E82" s="560" t="s">
        <v>220</v>
      </c>
      <c r="F82" s="561" t="s">
        <v>109</v>
      </c>
      <c r="G82" s="555" t="s">
        <v>110</v>
      </c>
      <c r="H82" s="558" t="s">
        <v>111</v>
      </c>
      <c r="I82" s="558" t="s">
        <v>112</v>
      </c>
      <c r="J82" s="557" t="s">
        <v>113</v>
      </c>
      <c r="K82" s="555" t="s">
        <v>114</v>
      </c>
      <c r="L82" s="558" t="s">
        <v>115</v>
      </c>
      <c r="M82" s="558" t="s">
        <v>116</v>
      </c>
      <c r="N82" s="557" t="s">
        <v>117</v>
      </c>
      <c r="P82" s="11" t="s">
        <v>65</v>
      </c>
      <c r="Q82" s="8" t="s">
        <v>231</v>
      </c>
      <c r="R82" s="8" t="s">
        <v>12</v>
      </c>
      <c r="S82" s="891"/>
      <c r="T82" s="151">
        <v>5350</v>
      </c>
      <c r="U82" s="151">
        <v>9536.363636363636</v>
      </c>
      <c r="V82" s="151">
        <v>9600</v>
      </c>
    </row>
    <row r="83" spans="2:26" x14ac:dyDescent="0.3">
      <c r="C83" s="514" t="s">
        <v>641</v>
      </c>
      <c r="D83" s="444"/>
      <c r="E83" s="453">
        <v>0</v>
      </c>
      <c r="F83" s="567">
        <v>0</v>
      </c>
      <c r="G83" s="570">
        <v>6</v>
      </c>
      <c r="H83" s="453">
        <v>0</v>
      </c>
      <c r="I83" s="453">
        <v>0</v>
      </c>
      <c r="J83" s="567">
        <v>0</v>
      </c>
      <c r="K83" s="570">
        <v>6</v>
      </c>
      <c r="L83" s="567">
        <v>0</v>
      </c>
      <c r="M83" s="567">
        <v>0</v>
      </c>
      <c r="N83" s="485">
        <v>0</v>
      </c>
    </row>
    <row r="84" spans="2:26" ht="15" thickBot="1" x14ac:dyDescent="0.35">
      <c r="C84" s="447" t="s">
        <v>643</v>
      </c>
      <c r="D84" s="486"/>
      <c r="E84" s="487">
        <f t="shared" ref="E84:N84" si="68">SUM(E83:E83)</f>
        <v>0</v>
      </c>
      <c r="F84" s="568">
        <f t="shared" si="68"/>
        <v>0</v>
      </c>
      <c r="G84" s="486">
        <f t="shared" si="68"/>
        <v>6</v>
      </c>
      <c r="H84" s="487">
        <f t="shared" si="68"/>
        <v>0</v>
      </c>
      <c r="I84" s="487">
        <f t="shared" si="68"/>
        <v>0</v>
      </c>
      <c r="J84" s="488">
        <f t="shared" si="68"/>
        <v>0</v>
      </c>
      <c r="K84" s="486">
        <f t="shared" si="68"/>
        <v>6</v>
      </c>
      <c r="L84" s="568">
        <f t="shared" si="68"/>
        <v>0</v>
      </c>
      <c r="M84" s="487">
        <f t="shared" si="68"/>
        <v>0</v>
      </c>
      <c r="N84" s="569">
        <f t="shared" si="68"/>
        <v>0</v>
      </c>
      <c r="P84">
        <v>4875</v>
      </c>
    </row>
    <row r="85" spans="2:26" x14ac:dyDescent="0.3">
      <c r="C85" s="489" t="s">
        <v>651</v>
      </c>
      <c r="D85" s="452"/>
      <c r="E85" s="629">
        <v>0</v>
      </c>
      <c r="F85" s="629">
        <v>0</v>
      </c>
      <c r="G85" s="573"/>
      <c r="H85" s="490"/>
      <c r="I85" s="490"/>
      <c r="J85" s="491"/>
      <c r="K85" s="509"/>
      <c r="L85" s="562"/>
      <c r="M85" s="490"/>
      <c r="N85" s="564"/>
    </row>
    <row r="86" spans="2:26" x14ac:dyDescent="0.3">
      <c r="C86" s="492" t="s">
        <v>617</v>
      </c>
      <c r="D86" s="457">
        <v>2</v>
      </c>
      <c r="E86" s="494">
        <f t="shared" ref="E86:F86" si="69">D86+E85+E88-E84</f>
        <v>2</v>
      </c>
      <c r="F86" s="494">
        <f t="shared" si="69"/>
        <v>2</v>
      </c>
      <c r="G86" s="574">
        <f t="shared" ref="G86" si="70">F86+G85+G88-G84</f>
        <v>2</v>
      </c>
      <c r="H86" s="493">
        <f t="shared" ref="H86" si="71">G86+H85+H88-H84</f>
        <v>2</v>
      </c>
      <c r="I86" s="493">
        <f t="shared" ref="I86" si="72">H86+I85+I88-I84</f>
        <v>2</v>
      </c>
      <c r="J86" s="493">
        <f t="shared" ref="J86" si="73">I86+J85+J88-J84</f>
        <v>2</v>
      </c>
      <c r="K86" s="493">
        <f t="shared" ref="K86" si="74">J86+K85+K88-K84</f>
        <v>2</v>
      </c>
      <c r="L86" s="493">
        <f t="shared" ref="L86" si="75">K86+L85+L88-L84</f>
        <v>2</v>
      </c>
      <c r="M86" s="493">
        <f t="shared" ref="M86" si="76">L86+M85+M88-M84</f>
        <v>2</v>
      </c>
      <c r="N86" s="493">
        <f t="shared" ref="N86" si="77">M86+N85+N88-N84</f>
        <v>2</v>
      </c>
      <c r="P86" s="11"/>
      <c r="Q86" s="8"/>
      <c r="R86" s="8"/>
      <c r="S86" s="891"/>
      <c r="T86" s="151"/>
      <c r="U86" s="151"/>
      <c r="V86" s="151"/>
    </row>
    <row r="87" spans="2:26" x14ac:dyDescent="0.3">
      <c r="C87" s="492" t="s">
        <v>642</v>
      </c>
      <c r="D87" s="495"/>
      <c r="E87" s="459">
        <f t="shared" ref="E87" si="78">IF(D86-E84+E85&lt;=$D$79, E84-E85-D86+$D$79,0)</f>
        <v>0</v>
      </c>
      <c r="F87" s="459">
        <f t="shared" ref="F87:N87" si="79">IF(E86-F84+F85&lt;=$D$79, F84-F85-E86+$D$79,0)</f>
        <v>0</v>
      </c>
      <c r="G87" s="548">
        <f t="shared" si="79"/>
        <v>5</v>
      </c>
      <c r="H87" s="458">
        <f t="shared" si="79"/>
        <v>0</v>
      </c>
      <c r="I87" s="458">
        <f t="shared" si="79"/>
        <v>0</v>
      </c>
      <c r="J87" s="459">
        <f t="shared" si="79"/>
        <v>0</v>
      </c>
      <c r="K87" s="461">
        <f t="shared" si="79"/>
        <v>5</v>
      </c>
      <c r="L87" s="458">
        <f t="shared" si="79"/>
        <v>0</v>
      </c>
      <c r="M87" s="458">
        <f t="shared" si="79"/>
        <v>0</v>
      </c>
      <c r="N87" s="459">
        <f t="shared" si="79"/>
        <v>0</v>
      </c>
      <c r="P87" s="11"/>
      <c r="Q87" s="8"/>
      <c r="R87" s="8"/>
      <c r="S87" s="891"/>
      <c r="T87" s="151"/>
      <c r="U87" s="151"/>
      <c r="V87" s="151"/>
    </row>
    <row r="88" spans="2:26" x14ac:dyDescent="0.3">
      <c r="C88" s="496" t="s">
        <v>647</v>
      </c>
      <c r="D88" s="495"/>
      <c r="E88" s="494">
        <f t="shared" ref="E88:N88" si="80" xml:space="preserve"> CEILING(E87/$D$78,1)*$D$78</f>
        <v>0</v>
      </c>
      <c r="F88" s="494">
        <f t="shared" si="80"/>
        <v>0</v>
      </c>
      <c r="G88" s="574">
        <f t="shared" si="80"/>
        <v>6</v>
      </c>
      <c r="H88" s="493">
        <f t="shared" si="80"/>
        <v>0</v>
      </c>
      <c r="I88" s="493">
        <f t="shared" si="80"/>
        <v>0</v>
      </c>
      <c r="J88" s="494">
        <f t="shared" si="80"/>
        <v>0</v>
      </c>
      <c r="K88" s="495">
        <f t="shared" si="80"/>
        <v>6</v>
      </c>
      <c r="L88" s="493">
        <f t="shared" si="80"/>
        <v>0</v>
      </c>
      <c r="M88" s="493">
        <f t="shared" si="80"/>
        <v>0</v>
      </c>
      <c r="N88" s="494">
        <f t="shared" si="80"/>
        <v>0</v>
      </c>
      <c r="P88" s="29"/>
      <c r="Q88" s="29"/>
      <c r="R88" s="10"/>
      <c r="S88" s="891"/>
      <c r="T88" s="151"/>
      <c r="U88" s="151"/>
      <c r="V88" s="151"/>
    </row>
    <row r="89" spans="2:26" ht="15" thickBot="1" x14ac:dyDescent="0.35">
      <c r="C89" s="571" t="s">
        <v>652</v>
      </c>
      <c r="D89" s="463"/>
      <c r="E89" s="464">
        <f t="shared" ref="E89:N89" si="81">E88</f>
        <v>0</v>
      </c>
      <c r="F89" s="465">
        <f t="shared" si="81"/>
        <v>0</v>
      </c>
      <c r="G89" s="549">
        <f t="shared" si="81"/>
        <v>6</v>
      </c>
      <c r="H89" s="464">
        <f t="shared" si="81"/>
        <v>0</v>
      </c>
      <c r="I89" s="464">
        <f t="shared" si="81"/>
        <v>0</v>
      </c>
      <c r="J89" s="465">
        <f t="shared" si="81"/>
        <v>0</v>
      </c>
      <c r="K89" s="463">
        <f t="shared" si="81"/>
        <v>6</v>
      </c>
      <c r="L89" s="464">
        <f t="shared" si="81"/>
        <v>0</v>
      </c>
      <c r="M89" s="464">
        <f t="shared" si="81"/>
        <v>0</v>
      </c>
      <c r="N89" s="465">
        <f t="shared" si="81"/>
        <v>0</v>
      </c>
      <c r="P89" s="11"/>
      <c r="Q89" s="8"/>
      <c r="R89" s="8"/>
      <c r="S89" s="891"/>
      <c r="T89" s="151"/>
      <c r="U89" s="151"/>
      <c r="V89" s="151"/>
    </row>
    <row r="90" spans="2:26" hidden="1" x14ac:dyDescent="0.3">
      <c r="C90" s="478" t="s">
        <v>612</v>
      </c>
      <c r="D90" s="467"/>
      <c r="E90" s="468">
        <f>QUOTIENT(MOD(E89+$D$52-1,$D$51),$D$52)</f>
        <v>0</v>
      </c>
      <c r="F90" s="468">
        <f t="shared" ref="F90:N90" si="82">QUOTIENT(MOD(F89+$D$52-1,$D$51),$D$52)</f>
        <v>0</v>
      </c>
      <c r="G90" s="468">
        <f t="shared" si="82"/>
        <v>1</v>
      </c>
      <c r="H90" s="468">
        <f t="shared" si="82"/>
        <v>0</v>
      </c>
      <c r="I90" s="468">
        <f t="shared" si="82"/>
        <v>0</v>
      </c>
      <c r="J90" s="468">
        <f t="shared" si="82"/>
        <v>0</v>
      </c>
      <c r="K90" s="468">
        <f t="shared" si="82"/>
        <v>1</v>
      </c>
      <c r="L90" s="542">
        <f t="shared" si="82"/>
        <v>0</v>
      </c>
      <c r="M90" s="468">
        <f t="shared" si="82"/>
        <v>0</v>
      </c>
      <c r="N90" s="534">
        <f t="shared" si="82"/>
        <v>0</v>
      </c>
      <c r="P90" s="11" t="s">
        <v>65</v>
      </c>
      <c r="Q90" s="8" t="s">
        <v>230</v>
      </c>
      <c r="R90" s="8" t="s">
        <v>11</v>
      </c>
      <c r="S90" s="891"/>
      <c r="T90" s="151">
        <v>5350</v>
      </c>
      <c r="U90" s="151">
        <v>3893.2162534435265</v>
      </c>
      <c r="V90" s="151">
        <v>9600</v>
      </c>
    </row>
    <row r="91" spans="2:26" hidden="1" x14ac:dyDescent="0.3">
      <c r="B91" s="40"/>
      <c r="C91" s="497" t="s">
        <v>613</v>
      </c>
      <c r="D91" s="482"/>
      <c r="E91" s="472">
        <f t="shared" ref="E91:N91" si="83">QUOTIENT(E89+$D$52-1,$D$51)</f>
        <v>0</v>
      </c>
      <c r="F91" s="472">
        <f t="shared" si="83"/>
        <v>0</v>
      </c>
      <c r="G91" s="472">
        <f t="shared" si="83"/>
        <v>0</v>
      </c>
      <c r="H91" s="472">
        <f t="shared" si="83"/>
        <v>0</v>
      </c>
      <c r="I91" s="472">
        <f t="shared" si="83"/>
        <v>0</v>
      </c>
      <c r="J91" s="472">
        <f t="shared" si="83"/>
        <v>0</v>
      </c>
      <c r="K91" s="472">
        <f t="shared" si="83"/>
        <v>0</v>
      </c>
      <c r="L91" s="543">
        <f t="shared" si="83"/>
        <v>0</v>
      </c>
      <c r="M91" s="472">
        <f t="shared" si="83"/>
        <v>0</v>
      </c>
      <c r="N91" s="535">
        <f t="shared" si="83"/>
        <v>0</v>
      </c>
      <c r="P91" s="11" t="s">
        <v>65</v>
      </c>
      <c r="Q91" s="8" t="s">
        <v>231</v>
      </c>
      <c r="R91" s="8" t="s">
        <v>12</v>
      </c>
      <c r="S91" s="891"/>
      <c r="T91" s="151">
        <v>5350</v>
      </c>
      <c r="U91" s="151">
        <v>9536.363636363636</v>
      </c>
      <c r="V91" s="151">
        <v>9600</v>
      </c>
    </row>
    <row r="92" spans="2:26" ht="15" hidden="1" thickBot="1" x14ac:dyDescent="0.35">
      <c r="C92" s="516" t="s">
        <v>614</v>
      </c>
      <c r="D92" s="474"/>
      <c r="E92" s="475" t="e">
        <f>IF($O$70="Choosing Supplier 1", E91*#REF!+E90*#REF!,E91*#REF!+E90*#REF!)</f>
        <v>#REF!</v>
      </c>
      <c r="F92" s="475" t="e">
        <f>IF($O$70="Choosing Supplier 1", F91*#REF!+F90*#REF!,F91*#REF!+F90*#REF!)</f>
        <v>#REF!</v>
      </c>
      <c r="G92" s="475" t="e">
        <f>IF($O$70="Choosing Supplier 1", G91*#REF!+G90*#REF!,G91*#REF!+G90*#REF!)</f>
        <v>#REF!</v>
      </c>
      <c r="H92" s="475" t="e">
        <f>IF($O$70="Choosing Supplier 1", H91*#REF!+H90*#REF!,H91*#REF!+H90*#REF!)</f>
        <v>#REF!</v>
      </c>
      <c r="I92" s="475" t="e">
        <f>IF($O$70="Choosing Supplier 1", I91*#REF!+I90*#REF!,I91*#REF!+I90*#REF!)</f>
        <v>#REF!</v>
      </c>
      <c r="J92" s="475" t="e">
        <f>IF($O$70="Choosing Supplier 1", J91*#REF!+J90*#REF!,J91*#REF!+J90*#REF!)</f>
        <v>#REF!</v>
      </c>
      <c r="K92" s="475" t="e">
        <f>IF($O$70="Choosing Supplier 1", K91*#REF!+K90*#REF!,K91*#REF!+K90*#REF!)</f>
        <v>#REF!</v>
      </c>
      <c r="L92" s="544" t="e">
        <f>IF($O$70="Choosing Supplier 1", L91*#REF!+L90*#REF!,L91*#REF!+L90*#REF!)</f>
        <v>#REF!</v>
      </c>
      <c r="M92" s="475" t="e">
        <f>IF($O$70="Choosing Supplier 1", M91*#REF!+M90*#REF!,M91*#REF!+M90*#REF!)</f>
        <v>#REF!</v>
      </c>
      <c r="N92" s="536" t="e">
        <f>IF($O$70="Choosing Supplier 1", N91*#REF!+N90*#REF!,N91*#REF!+N90*#REF!)</f>
        <v>#REF!</v>
      </c>
      <c r="O92" s="477" t="e">
        <f>IF(#REF!&lt;#REF!,IF($D$145="Yes","Choosing Supplier 1","Choosing Supplier 2"),IF($D$164="Yes","Choosing Supplier 2","Choosing Supplier 1"))</f>
        <v>#REF!</v>
      </c>
      <c r="P92" t="s">
        <v>615</v>
      </c>
    </row>
    <row r="93" spans="2:26" x14ac:dyDescent="0.3">
      <c r="C93" s="498"/>
      <c r="D93" s="483"/>
      <c r="E93" s="484"/>
      <c r="F93" s="484"/>
      <c r="G93" s="484"/>
      <c r="H93" s="484"/>
      <c r="I93" s="484"/>
      <c r="J93" s="484"/>
      <c r="K93" s="484"/>
      <c r="L93" s="484"/>
      <c r="M93" s="484"/>
      <c r="N93" s="484"/>
    </row>
    <row r="94" spans="2:26" x14ac:dyDescent="0.3">
      <c r="C94" s="519" t="s">
        <v>632</v>
      </c>
      <c r="D94" s="435"/>
      <c r="E94" s="435"/>
      <c r="F94" s="435"/>
      <c r="G94" s="435"/>
      <c r="H94" s="435"/>
      <c r="I94" s="435"/>
      <c r="J94" s="435"/>
      <c r="K94" s="435"/>
      <c r="L94" s="435"/>
      <c r="M94" s="435"/>
      <c r="N94" s="435"/>
      <c r="P94" s="460"/>
      <c r="Z94" s="304"/>
    </row>
    <row r="95" spans="2:26" hidden="1" x14ac:dyDescent="0.3">
      <c r="C95" s="437" t="s">
        <v>600</v>
      </c>
      <c r="D95" s="479">
        <f>[1]DC3!C23</f>
        <v>0</v>
      </c>
      <c r="E95" s="435"/>
      <c r="F95" s="435"/>
      <c r="G95" s="435"/>
      <c r="H95" s="435"/>
      <c r="I95" s="435"/>
      <c r="J95" s="435"/>
      <c r="K95" s="435"/>
      <c r="L95" s="435"/>
      <c r="M95" s="435"/>
      <c r="N95" s="435"/>
      <c r="P95" s="460"/>
      <c r="Z95" s="304"/>
    </row>
    <row r="96" spans="2:26" ht="14.4" hidden="1" customHeight="1" x14ac:dyDescent="0.3">
      <c r="C96" s="437" t="s">
        <v>601</v>
      </c>
      <c r="D96" s="479">
        <f>[1]DC3!C24</f>
        <v>0</v>
      </c>
      <c r="E96" s="435"/>
      <c r="F96" s="435"/>
      <c r="G96" s="435"/>
      <c r="H96" s="435"/>
      <c r="I96" s="435"/>
      <c r="J96" s="435"/>
      <c r="K96" s="435"/>
      <c r="L96" s="439"/>
      <c r="M96" s="439"/>
      <c r="N96" s="439"/>
      <c r="Z96" s="304"/>
    </row>
    <row r="97" spans="3:26" ht="14.4" hidden="1" customHeight="1" x14ac:dyDescent="0.3">
      <c r="C97" s="438" t="s">
        <v>602</v>
      </c>
      <c r="D97" s="480">
        <f>[1]DC3!C25</f>
        <v>0</v>
      </c>
      <c r="E97" s="435"/>
      <c r="F97" s="435"/>
      <c r="G97" s="435"/>
      <c r="H97" s="435"/>
      <c r="I97" s="435"/>
      <c r="J97" s="435"/>
      <c r="K97" s="435"/>
      <c r="L97" s="439"/>
      <c r="M97" s="439"/>
      <c r="N97" s="439"/>
      <c r="Z97" s="304"/>
    </row>
    <row r="98" spans="3:26" ht="14.4" hidden="1" customHeight="1" x14ac:dyDescent="0.3">
      <c r="C98" s="438" t="s">
        <v>603</v>
      </c>
      <c r="D98" s="480">
        <f>[1]DC3!C26</f>
        <v>0</v>
      </c>
      <c r="E98" s="435"/>
      <c r="F98" s="435"/>
      <c r="G98" s="435"/>
      <c r="H98" s="435"/>
      <c r="I98" s="435"/>
      <c r="J98" s="435"/>
      <c r="K98" s="435"/>
      <c r="L98" s="439"/>
      <c r="M98" s="439"/>
      <c r="N98" s="439"/>
      <c r="Z98" s="304"/>
    </row>
    <row r="99" spans="3:26" ht="14.4" customHeight="1" x14ac:dyDescent="0.3">
      <c r="C99" s="437" t="s">
        <v>644</v>
      </c>
      <c r="D99" s="446">
        <v>0</v>
      </c>
      <c r="E99" s="435"/>
      <c r="F99" s="435"/>
      <c r="G99" s="435"/>
      <c r="H99" s="435"/>
      <c r="I99" s="435"/>
      <c r="J99" s="435"/>
      <c r="K99" s="435"/>
      <c r="L99" s="435"/>
      <c r="M99" s="435"/>
      <c r="N99" s="435"/>
      <c r="P99" s="11" t="s">
        <v>59</v>
      </c>
      <c r="Q99" s="8" t="s">
        <v>337</v>
      </c>
      <c r="R99" s="8" t="s">
        <v>10</v>
      </c>
      <c r="S99" s="891"/>
      <c r="T99" s="984">
        <f>T77/$P$84</f>
        <v>5.907692307692308</v>
      </c>
      <c r="U99" s="984">
        <f t="shared" ref="U99:V99" si="84">U77/$P$84</f>
        <v>5.907692307692308</v>
      </c>
      <c r="V99" s="984">
        <f t="shared" si="84"/>
        <v>5.907692307692308</v>
      </c>
      <c r="Z99" s="304"/>
    </row>
    <row r="100" spans="3:26" ht="14.4" customHeight="1" x14ac:dyDescent="0.3">
      <c r="C100" s="437" t="s">
        <v>604</v>
      </c>
      <c r="D100" s="446">
        <v>3</v>
      </c>
      <c r="E100" s="435"/>
      <c r="F100" s="435"/>
      <c r="G100" s="435"/>
      <c r="H100" s="435"/>
      <c r="I100" s="435"/>
      <c r="J100" s="435"/>
      <c r="K100" s="435"/>
      <c r="L100" s="435"/>
      <c r="M100" s="435"/>
      <c r="N100" s="435"/>
      <c r="P100" s="11" t="s">
        <v>59</v>
      </c>
      <c r="Q100" s="8" t="s">
        <v>233</v>
      </c>
      <c r="R100" s="8" t="s">
        <v>11</v>
      </c>
      <c r="S100" s="891"/>
      <c r="T100" s="984">
        <f t="shared" ref="T100:V100" si="85">T78/$P$84</f>
        <v>2.1948717948717951</v>
      </c>
      <c r="U100" s="984">
        <f t="shared" si="85"/>
        <v>1.5972169244896519</v>
      </c>
      <c r="V100" s="984">
        <f t="shared" si="85"/>
        <v>3.9384615384615387</v>
      </c>
    </row>
    <row r="101" spans="3:26" ht="15" customHeight="1" x14ac:dyDescent="0.3">
      <c r="C101" s="437" t="s">
        <v>605</v>
      </c>
      <c r="D101" s="446">
        <v>1</v>
      </c>
      <c r="E101" s="435"/>
      <c r="F101" s="435"/>
      <c r="G101" s="435"/>
      <c r="H101" s="435"/>
      <c r="I101" s="435"/>
      <c r="J101" s="435"/>
      <c r="K101" s="435"/>
      <c r="L101" s="435"/>
      <c r="M101" s="435"/>
      <c r="N101" s="435"/>
      <c r="P101" s="29" t="s">
        <v>59</v>
      </c>
      <c r="Q101" s="29" t="s">
        <v>228</v>
      </c>
      <c r="R101" s="10" t="s">
        <v>12</v>
      </c>
      <c r="S101" s="891"/>
      <c r="T101" s="984">
        <f t="shared" ref="T101:V101" si="86">T79/$P$84</f>
        <v>1.0974358974358975</v>
      </c>
      <c r="U101" s="984">
        <f t="shared" si="86"/>
        <v>1.9561771561771562</v>
      </c>
      <c r="V101" s="984">
        <f t="shared" si="86"/>
        <v>1.9692307692307693</v>
      </c>
    </row>
    <row r="102" spans="3:26" ht="15" customHeight="1" thickBot="1" x14ac:dyDescent="0.35">
      <c r="C102" s="437" t="s">
        <v>638</v>
      </c>
      <c r="D102" s="446">
        <v>69</v>
      </c>
      <c r="E102" s="435"/>
      <c r="F102" s="435"/>
      <c r="G102" s="435"/>
      <c r="H102" s="435"/>
      <c r="I102" s="435"/>
      <c r="J102" s="435"/>
      <c r="K102" s="435"/>
      <c r="L102" s="435"/>
      <c r="M102" s="435"/>
      <c r="N102" s="435"/>
      <c r="P102" s="11" t="s">
        <v>65</v>
      </c>
      <c r="Q102" s="8" t="s">
        <v>229</v>
      </c>
      <c r="R102" s="8" t="s">
        <v>10</v>
      </c>
      <c r="S102" s="891"/>
      <c r="T102" s="984">
        <f t="shared" ref="T102:V102" si="87">T80/$P$84</f>
        <v>2.953846153846154</v>
      </c>
      <c r="U102" s="984">
        <f t="shared" si="87"/>
        <v>2.953846153846154</v>
      </c>
      <c r="V102" s="984">
        <f t="shared" si="87"/>
        <v>2.953846153846154</v>
      </c>
    </row>
    <row r="103" spans="3:26" ht="15" customHeight="1" thickBot="1" x14ac:dyDescent="0.35">
      <c r="E103" s="952" t="s">
        <v>25</v>
      </c>
      <c r="F103" s="953"/>
      <c r="G103" s="952" t="s">
        <v>248</v>
      </c>
      <c r="H103" s="954"/>
      <c r="I103" s="954"/>
      <c r="J103" s="953"/>
      <c r="K103" s="952" t="s">
        <v>249</v>
      </c>
      <c r="L103" s="954"/>
      <c r="M103" s="954"/>
      <c r="N103" s="953"/>
      <c r="P103" s="11" t="s">
        <v>65</v>
      </c>
      <c r="Q103" s="8" t="s">
        <v>230</v>
      </c>
      <c r="R103" s="8" t="s">
        <v>11</v>
      </c>
      <c r="S103" s="891"/>
      <c r="T103" s="984">
        <f t="shared" ref="T103:V103" si="88">T81/$P$84</f>
        <v>1.0974358974358975</v>
      </c>
      <c r="U103" s="984">
        <f t="shared" si="88"/>
        <v>0.79860846224482596</v>
      </c>
      <c r="V103" s="984">
        <f t="shared" si="88"/>
        <v>1.9692307692307693</v>
      </c>
    </row>
    <row r="104" spans="3:26" ht="15" thickBot="1" x14ac:dyDescent="0.35">
      <c r="D104" s="608" t="s">
        <v>606</v>
      </c>
      <c r="E104" s="560" t="s">
        <v>220</v>
      </c>
      <c r="F104" s="561" t="s">
        <v>109</v>
      </c>
      <c r="G104" s="555" t="s">
        <v>110</v>
      </c>
      <c r="H104" s="558" t="s">
        <v>111</v>
      </c>
      <c r="I104" s="558" t="s">
        <v>112</v>
      </c>
      <c r="J104" s="557" t="s">
        <v>113</v>
      </c>
      <c r="K104" s="555" t="s">
        <v>114</v>
      </c>
      <c r="L104" s="558" t="s">
        <v>115</v>
      </c>
      <c r="M104" s="558" t="s">
        <v>116</v>
      </c>
      <c r="N104" s="557" t="s">
        <v>117</v>
      </c>
      <c r="P104" s="11" t="s">
        <v>65</v>
      </c>
      <c r="Q104" s="8" t="s">
        <v>231</v>
      </c>
      <c r="R104" s="8" t="s">
        <v>12</v>
      </c>
      <c r="S104" s="891"/>
      <c r="T104" s="984">
        <f t="shared" ref="T104:V104" si="89">T82/$P$84</f>
        <v>1.0974358974358975</v>
      </c>
      <c r="U104" s="984">
        <f t="shared" si="89"/>
        <v>1.9561771561771562</v>
      </c>
      <c r="V104" s="984">
        <f t="shared" si="89"/>
        <v>1.9692307692307693</v>
      </c>
    </row>
    <row r="105" spans="3:26" x14ac:dyDescent="0.3">
      <c r="C105" s="514" t="s">
        <v>641</v>
      </c>
      <c r="D105" s="444"/>
      <c r="E105" s="453">
        <v>0</v>
      </c>
      <c r="F105" s="567">
        <v>0</v>
      </c>
      <c r="G105" s="570">
        <v>3</v>
      </c>
      <c r="H105" s="453">
        <v>0</v>
      </c>
      <c r="I105" s="453">
        <v>0</v>
      </c>
      <c r="J105" s="567">
        <v>0</v>
      </c>
      <c r="K105" s="570">
        <v>3</v>
      </c>
      <c r="L105" s="567">
        <v>0</v>
      </c>
      <c r="M105" s="567">
        <v>0</v>
      </c>
      <c r="N105" s="485">
        <v>0</v>
      </c>
    </row>
    <row r="106" spans="3:26" ht="15" thickBot="1" x14ac:dyDescent="0.35">
      <c r="C106" s="447" t="s">
        <v>608</v>
      </c>
      <c r="D106" s="486"/>
      <c r="E106" s="487">
        <f t="shared" ref="E106:N106" si="90">SUM(E105:E105)</f>
        <v>0</v>
      </c>
      <c r="F106" s="568">
        <f t="shared" si="90"/>
        <v>0</v>
      </c>
      <c r="G106" s="486">
        <f t="shared" si="90"/>
        <v>3</v>
      </c>
      <c r="H106" s="487">
        <f t="shared" si="90"/>
        <v>0</v>
      </c>
      <c r="I106" s="487">
        <f t="shared" si="90"/>
        <v>0</v>
      </c>
      <c r="J106" s="488">
        <f t="shared" si="90"/>
        <v>0</v>
      </c>
      <c r="K106" s="486">
        <f t="shared" si="90"/>
        <v>3</v>
      </c>
      <c r="L106" s="568">
        <f t="shared" si="90"/>
        <v>0</v>
      </c>
      <c r="M106" s="487">
        <f t="shared" si="90"/>
        <v>0</v>
      </c>
      <c r="N106" s="569">
        <f t="shared" si="90"/>
        <v>0</v>
      </c>
    </row>
    <row r="107" spans="3:26" x14ac:dyDescent="0.3">
      <c r="C107" s="489" t="s">
        <v>651</v>
      </c>
      <c r="D107" s="452"/>
      <c r="E107" s="453">
        <v>0</v>
      </c>
      <c r="F107" s="453">
        <v>0</v>
      </c>
      <c r="G107" s="509"/>
      <c r="H107" s="490"/>
      <c r="I107" s="490"/>
      <c r="J107" s="491"/>
      <c r="K107" s="509"/>
      <c r="L107" s="562"/>
      <c r="M107" s="490"/>
      <c r="N107" s="564"/>
    </row>
    <row r="108" spans="3:26" x14ac:dyDescent="0.3">
      <c r="C108" s="492" t="s">
        <v>617</v>
      </c>
      <c r="D108" s="457">
        <v>2</v>
      </c>
      <c r="E108" s="493">
        <f t="shared" ref="E108:F108" si="91">D108+E107+E110-E106</f>
        <v>2</v>
      </c>
      <c r="F108" s="493">
        <f t="shared" si="91"/>
        <v>2</v>
      </c>
      <c r="G108" s="493">
        <f t="shared" ref="G108" si="92">F108+G107+G110-G106</f>
        <v>2</v>
      </c>
      <c r="H108" s="493">
        <f t="shared" ref="H108" si="93">G108+H107+H110-H106</f>
        <v>2</v>
      </c>
      <c r="I108" s="493">
        <f t="shared" ref="I108" si="94">H108+I107+I110-I106</f>
        <v>2</v>
      </c>
      <c r="J108" s="493">
        <f t="shared" ref="J108" si="95">I108+J107+J110-J106</f>
        <v>2</v>
      </c>
      <c r="K108" s="493">
        <f t="shared" ref="K108" si="96">J108+K107+K110-K106</f>
        <v>2</v>
      </c>
      <c r="L108" s="493">
        <f t="shared" ref="L108" si="97">K108+L107+L110-L106</f>
        <v>2</v>
      </c>
      <c r="M108" s="493">
        <f t="shared" ref="M108" si="98">L108+M107+M110-M106</f>
        <v>2</v>
      </c>
      <c r="N108" s="493">
        <f t="shared" ref="N108" si="99">M108+N107+N110-N106</f>
        <v>2</v>
      </c>
      <c r="P108" s="460"/>
    </row>
    <row r="109" spans="3:26" x14ac:dyDescent="0.3">
      <c r="C109" s="492" t="s">
        <v>642</v>
      </c>
      <c r="D109" s="495"/>
      <c r="E109" s="528">
        <f t="shared" ref="E109" si="100">IF(D108-E106+E107&lt;=$D$101, E106-E107-D108+$D$101,0)</f>
        <v>0</v>
      </c>
      <c r="F109" s="528">
        <f t="shared" ref="F109:N109" si="101">IF(E108-F106+F107&lt;=$D$101, F106-F107-E108+$D$101,0)</f>
        <v>0</v>
      </c>
      <c r="G109" s="461">
        <f t="shared" si="101"/>
        <v>2</v>
      </c>
      <c r="H109" s="458">
        <f t="shared" si="101"/>
        <v>0</v>
      </c>
      <c r="I109" s="458">
        <f t="shared" si="101"/>
        <v>0</v>
      </c>
      <c r="J109" s="459">
        <f t="shared" si="101"/>
        <v>0</v>
      </c>
      <c r="K109" s="461">
        <f t="shared" si="101"/>
        <v>2</v>
      </c>
      <c r="L109" s="458">
        <f t="shared" si="101"/>
        <v>0</v>
      </c>
      <c r="M109" s="458">
        <f t="shared" si="101"/>
        <v>0</v>
      </c>
      <c r="N109" s="459">
        <f t="shared" si="101"/>
        <v>0</v>
      </c>
      <c r="P109" s="460"/>
    </row>
    <row r="110" spans="3:26" x14ac:dyDescent="0.3">
      <c r="C110" s="496" t="s">
        <v>647</v>
      </c>
      <c r="D110" s="495"/>
      <c r="E110" s="563">
        <f t="shared" ref="E110:N110" si="102" xml:space="preserve"> CEILING(E109/$D$100,1)*$D$100</f>
        <v>0</v>
      </c>
      <c r="F110" s="563">
        <f t="shared" si="102"/>
        <v>0</v>
      </c>
      <c r="G110" s="495">
        <f t="shared" si="102"/>
        <v>3</v>
      </c>
      <c r="H110" s="493">
        <f t="shared" si="102"/>
        <v>0</v>
      </c>
      <c r="I110" s="493">
        <f t="shared" si="102"/>
        <v>0</v>
      </c>
      <c r="J110" s="494">
        <f t="shared" si="102"/>
        <v>0</v>
      </c>
      <c r="K110" s="495">
        <f t="shared" si="102"/>
        <v>3</v>
      </c>
      <c r="L110" s="493">
        <f t="shared" si="102"/>
        <v>0</v>
      </c>
      <c r="M110" s="493">
        <f t="shared" si="102"/>
        <v>0</v>
      </c>
      <c r="N110" s="494">
        <f t="shared" si="102"/>
        <v>0</v>
      </c>
    </row>
    <row r="111" spans="3:26" ht="15" thickBot="1" x14ac:dyDescent="0.35">
      <c r="C111" s="571" t="s">
        <v>652</v>
      </c>
      <c r="D111" s="463"/>
      <c r="E111" s="464">
        <f t="shared" ref="E111:N111" si="103">E110</f>
        <v>0</v>
      </c>
      <c r="F111" s="541">
        <f t="shared" si="103"/>
        <v>0</v>
      </c>
      <c r="G111" s="463">
        <f t="shared" si="103"/>
        <v>3</v>
      </c>
      <c r="H111" s="464">
        <f t="shared" si="103"/>
        <v>0</v>
      </c>
      <c r="I111" s="464">
        <f>I110</f>
        <v>0</v>
      </c>
      <c r="J111" s="465">
        <f t="shared" si="103"/>
        <v>0</v>
      </c>
      <c r="K111" s="463">
        <f t="shared" si="103"/>
        <v>3</v>
      </c>
      <c r="L111" s="464">
        <f t="shared" si="103"/>
        <v>0</v>
      </c>
      <c r="M111" s="464">
        <f t="shared" si="103"/>
        <v>0</v>
      </c>
      <c r="N111" s="465">
        <f t="shared" si="103"/>
        <v>0</v>
      </c>
    </row>
    <row r="112" spans="3:26" hidden="1" x14ac:dyDescent="0.3">
      <c r="C112" s="478" t="s">
        <v>612</v>
      </c>
      <c r="D112" s="467"/>
      <c r="E112" s="468">
        <f>QUOTIENT(MOD(E111+$D$52-1,$D$51),$D$52)</f>
        <v>0</v>
      </c>
      <c r="F112" s="468">
        <f t="shared" ref="F112:N112" si="104">QUOTIENT(MOD(F111+$D$52-1,$D$51),$D$52)</f>
        <v>0</v>
      </c>
      <c r="G112" s="468">
        <f t="shared" si="104"/>
        <v>1</v>
      </c>
      <c r="H112" s="468">
        <f t="shared" si="104"/>
        <v>0</v>
      </c>
      <c r="I112" s="468">
        <f t="shared" si="104"/>
        <v>0</v>
      </c>
      <c r="J112" s="468">
        <f t="shared" si="104"/>
        <v>0</v>
      </c>
      <c r="K112" s="468">
        <f t="shared" si="104"/>
        <v>1</v>
      </c>
      <c r="L112" s="542">
        <f t="shared" si="104"/>
        <v>0</v>
      </c>
      <c r="M112" s="468">
        <f t="shared" si="104"/>
        <v>0</v>
      </c>
      <c r="N112" s="534">
        <f t="shared" si="104"/>
        <v>0</v>
      </c>
    </row>
    <row r="113" spans="2:26" hidden="1" x14ac:dyDescent="0.3">
      <c r="B113" s="40"/>
      <c r="C113" s="497" t="s">
        <v>613</v>
      </c>
      <c r="D113" s="482"/>
      <c r="E113" s="472">
        <f t="shared" ref="E113:N113" si="105">QUOTIENT(E111+$D$52-1,$D$51)</f>
        <v>0</v>
      </c>
      <c r="F113" s="472">
        <f t="shared" si="105"/>
        <v>0</v>
      </c>
      <c r="G113" s="472">
        <f t="shared" si="105"/>
        <v>0</v>
      </c>
      <c r="H113" s="472">
        <f t="shared" si="105"/>
        <v>0</v>
      </c>
      <c r="I113" s="472">
        <f t="shared" si="105"/>
        <v>0</v>
      </c>
      <c r="J113" s="472">
        <f t="shared" si="105"/>
        <v>0</v>
      </c>
      <c r="K113" s="472">
        <f t="shared" si="105"/>
        <v>0</v>
      </c>
      <c r="L113" s="543">
        <f t="shared" si="105"/>
        <v>0</v>
      </c>
      <c r="M113" s="472">
        <f t="shared" si="105"/>
        <v>0</v>
      </c>
      <c r="N113" s="535">
        <f t="shared" si="105"/>
        <v>0</v>
      </c>
    </row>
    <row r="114" spans="2:26" ht="15" hidden="1" thickBot="1" x14ac:dyDescent="0.35">
      <c r="C114" s="516" t="s">
        <v>614</v>
      </c>
      <c r="D114" s="474"/>
      <c r="E114" s="475" t="e">
        <f>IF($O$70="Choosing Supplier 1", E113*#REF!+E112*#REF!,E113*#REF!+E112*#REF!)</f>
        <v>#REF!</v>
      </c>
      <c r="F114" s="475" t="e">
        <f>IF($O$70="Choosing Supplier 1", F113*#REF!+F112*#REF!,F113*#REF!+F112*#REF!)</f>
        <v>#REF!</v>
      </c>
      <c r="G114" s="475" t="e">
        <f>IF($O$70="Choosing Supplier 1", G113*#REF!+G112*#REF!,G113*#REF!+G112*#REF!)</f>
        <v>#REF!</v>
      </c>
      <c r="H114" s="475" t="e">
        <f>IF($O$70="Choosing Supplier 1", H113*#REF!+H112*#REF!,H113*#REF!+H112*#REF!)</f>
        <v>#REF!</v>
      </c>
      <c r="I114" s="475" t="e">
        <f>IF($O$70="Choosing Supplier 1", I113*#REF!+I112*#REF!,I113*#REF!+I112*#REF!)</f>
        <v>#REF!</v>
      </c>
      <c r="J114" s="475" t="e">
        <f>IF($O$70="Choosing Supplier 1", J113*#REF!+J112*#REF!,J113*#REF!+J112*#REF!)</f>
        <v>#REF!</v>
      </c>
      <c r="K114" s="475" t="e">
        <f>IF($O$70="Choosing Supplier 1", K113*#REF!+K112*#REF!,K113*#REF!+K112*#REF!)</f>
        <v>#REF!</v>
      </c>
      <c r="L114" s="544" t="e">
        <f>IF($O$70="Choosing Supplier 1", L113*#REF!+L112*#REF!,L113*#REF!+L112*#REF!)</f>
        <v>#REF!</v>
      </c>
      <c r="M114" s="475" t="e">
        <f>IF($O$70="Choosing Supplier 1", M113*#REF!+M112*#REF!,M113*#REF!+M112*#REF!)</f>
        <v>#REF!</v>
      </c>
      <c r="N114" s="536" t="e">
        <f>IF($O$70="Choosing Supplier 1", N113*#REF!+N112*#REF!,N113*#REF!+N112*#REF!)</f>
        <v>#REF!</v>
      </c>
      <c r="O114" s="477" t="e">
        <f>IF(#REF!&lt;#REF!,IF($D$145="Yes","Choosing Supplier 1","Choosing Supplier 2"),IF($D$164="Yes","Choosing Supplier 2","Choosing Supplier 1"))</f>
        <v>#REF!</v>
      </c>
      <c r="P114" t="s">
        <v>615</v>
      </c>
    </row>
    <row r="115" spans="2:26" x14ac:dyDescent="0.3">
      <c r="C115" s="498"/>
      <c r="D115" s="483"/>
      <c r="E115" s="484"/>
      <c r="F115" s="484"/>
      <c r="G115" s="484"/>
      <c r="H115" s="484"/>
      <c r="I115" s="484"/>
      <c r="J115" s="484"/>
      <c r="K115" s="484"/>
      <c r="L115" s="484"/>
      <c r="M115" s="484"/>
      <c r="N115" s="484"/>
    </row>
    <row r="116" spans="2:26" x14ac:dyDescent="0.3">
      <c r="C116" s="498"/>
      <c r="D116" s="483"/>
      <c r="E116" s="484"/>
      <c r="F116" s="484"/>
      <c r="G116" s="484"/>
      <c r="H116" s="484"/>
      <c r="I116" s="484"/>
      <c r="J116" s="484"/>
      <c r="K116" s="484"/>
      <c r="L116" s="484"/>
      <c r="M116" s="484"/>
      <c r="N116" s="484"/>
    </row>
    <row r="117" spans="2:26" ht="18" x14ac:dyDescent="0.35">
      <c r="B117" s="517" t="s">
        <v>645</v>
      </c>
      <c r="D117" s="435"/>
      <c r="E117" s="435"/>
      <c r="F117" s="435"/>
      <c r="G117" s="435"/>
      <c r="H117" s="435"/>
      <c r="I117" s="435"/>
      <c r="J117" s="435"/>
      <c r="K117" s="435"/>
      <c r="L117" s="435"/>
      <c r="M117" s="435"/>
      <c r="N117" s="435"/>
      <c r="P117" s="460"/>
      <c r="Z117" s="304"/>
    </row>
    <row r="118" spans="2:26" hidden="1" x14ac:dyDescent="0.3">
      <c r="C118" s="437" t="s">
        <v>600</v>
      </c>
      <c r="D118" s="479">
        <f>[1]DC3!C24</f>
        <v>0</v>
      </c>
      <c r="E118" s="435"/>
      <c r="F118" s="435"/>
      <c r="G118" s="435"/>
      <c r="H118" s="435"/>
      <c r="I118" s="435"/>
      <c r="J118" s="435"/>
      <c r="K118" s="435"/>
      <c r="L118" s="435"/>
      <c r="M118" s="435"/>
      <c r="N118" s="435"/>
      <c r="P118" s="460"/>
      <c r="Z118" s="304"/>
    </row>
    <row r="119" spans="2:26" ht="14.4" hidden="1" customHeight="1" x14ac:dyDescent="0.3">
      <c r="C119" s="437" t="s">
        <v>601</v>
      </c>
      <c r="D119" s="479">
        <f>[1]DC3!C25</f>
        <v>0</v>
      </c>
      <c r="E119" s="435"/>
      <c r="F119" s="435"/>
      <c r="G119" s="435"/>
      <c r="H119" s="435"/>
      <c r="I119" s="435"/>
      <c r="J119" s="435"/>
      <c r="K119" s="435"/>
      <c r="L119" s="439"/>
      <c r="M119" s="439"/>
      <c r="N119" s="439"/>
      <c r="Z119" s="304"/>
    </row>
    <row r="120" spans="2:26" ht="14.4" hidden="1" customHeight="1" x14ac:dyDescent="0.3">
      <c r="C120" s="438" t="s">
        <v>602</v>
      </c>
      <c r="D120" s="480">
        <f>[1]DC3!C26</f>
        <v>0</v>
      </c>
      <c r="E120" s="435"/>
      <c r="F120" s="435"/>
      <c r="G120" s="435"/>
      <c r="H120" s="435"/>
      <c r="I120" s="435"/>
      <c r="J120" s="435"/>
      <c r="K120" s="435"/>
      <c r="L120" s="439"/>
      <c r="M120" s="439"/>
      <c r="N120" s="439"/>
      <c r="Z120" s="304"/>
    </row>
    <row r="121" spans="2:26" ht="14.4" hidden="1" customHeight="1" x14ac:dyDescent="0.3">
      <c r="C121" s="438" t="s">
        <v>603</v>
      </c>
      <c r="D121" s="480">
        <f>[1]DC3!C27</f>
        <v>0</v>
      </c>
      <c r="E121" s="435"/>
      <c r="F121" s="435"/>
      <c r="G121" s="435"/>
      <c r="H121" s="435"/>
      <c r="I121" s="435"/>
      <c r="J121" s="435"/>
      <c r="K121" s="435"/>
      <c r="L121" s="439"/>
      <c r="M121" s="439"/>
      <c r="N121" s="439"/>
      <c r="Z121" s="304"/>
    </row>
    <row r="122" spans="2:26" ht="14.4" customHeight="1" x14ac:dyDescent="0.3">
      <c r="C122" s="437" t="s">
        <v>644</v>
      </c>
      <c r="D122" s="446">
        <v>2</v>
      </c>
      <c r="E122" s="435"/>
      <c r="F122" s="435"/>
      <c r="G122" s="435"/>
      <c r="H122" s="435"/>
      <c r="I122" s="435"/>
      <c r="J122" s="435"/>
      <c r="K122" s="435"/>
      <c r="L122" s="435"/>
      <c r="M122" s="435"/>
      <c r="N122" s="435"/>
      <c r="Z122" s="304"/>
    </row>
    <row r="123" spans="2:26" ht="14.4" customHeight="1" x14ac:dyDescent="0.3">
      <c r="C123" s="437" t="s">
        <v>604</v>
      </c>
      <c r="D123" s="446">
        <v>10</v>
      </c>
      <c r="E123" s="435"/>
      <c r="F123" s="435"/>
      <c r="G123" s="435"/>
      <c r="H123" s="435"/>
      <c r="I123" s="435"/>
      <c r="J123" s="435"/>
      <c r="K123" s="435"/>
      <c r="L123" s="435"/>
      <c r="M123" s="435"/>
      <c r="N123" s="435"/>
    </row>
    <row r="124" spans="2:26" ht="15" customHeight="1" x14ac:dyDescent="0.3">
      <c r="C124" s="437" t="s">
        <v>605</v>
      </c>
      <c r="D124" s="446">
        <f>Scheduling!C29</f>
        <v>3</v>
      </c>
      <c r="E124" s="435"/>
      <c r="F124" s="435"/>
      <c r="G124" s="435"/>
      <c r="H124" s="435"/>
      <c r="I124" s="435"/>
      <c r="J124" s="435"/>
      <c r="K124" s="435"/>
      <c r="L124" s="435"/>
      <c r="M124" s="435"/>
      <c r="N124" s="435"/>
    </row>
    <row r="125" spans="2:26" ht="15" customHeight="1" thickBot="1" x14ac:dyDescent="0.35">
      <c r="C125" s="437" t="s">
        <v>638</v>
      </c>
      <c r="D125" s="446">
        <f>Scheduling!C28</f>
        <v>20</v>
      </c>
      <c r="E125" s="435"/>
      <c r="F125" s="435"/>
      <c r="G125" s="435"/>
      <c r="H125" s="435"/>
      <c r="I125" s="435"/>
      <c r="J125" s="435"/>
      <c r="K125" s="435"/>
      <c r="L125" s="435"/>
      <c r="M125" s="435"/>
      <c r="N125" s="435"/>
    </row>
    <row r="126" spans="2:26" ht="15" customHeight="1" thickBot="1" x14ac:dyDescent="0.35">
      <c r="E126" s="952" t="s">
        <v>25</v>
      </c>
      <c r="F126" s="953"/>
      <c r="G126" s="952" t="s">
        <v>248</v>
      </c>
      <c r="H126" s="954"/>
      <c r="I126" s="954"/>
      <c r="J126" s="953"/>
      <c r="K126" s="977" t="s">
        <v>249</v>
      </c>
      <c r="L126" s="954"/>
      <c r="M126" s="954"/>
      <c r="N126" s="953"/>
    </row>
    <row r="127" spans="2:26" ht="15" thickBot="1" x14ac:dyDescent="0.35">
      <c r="D127" s="608" t="s">
        <v>606</v>
      </c>
      <c r="E127" s="560" t="s">
        <v>220</v>
      </c>
      <c r="F127" s="561" t="s">
        <v>109</v>
      </c>
      <c r="G127" s="555" t="s">
        <v>110</v>
      </c>
      <c r="H127" s="558" t="s">
        <v>111</v>
      </c>
      <c r="I127" s="558" t="s">
        <v>112</v>
      </c>
      <c r="J127" s="557" t="s">
        <v>113</v>
      </c>
      <c r="K127" s="556" t="s">
        <v>114</v>
      </c>
      <c r="L127" s="558" t="s">
        <v>115</v>
      </c>
      <c r="M127" s="558" t="s">
        <v>116</v>
      </c>
      <c r="N127" s="557" t="s">
        <v>117</v>
      </c>
    </row>
    <row r="128" spans="2:26" x14ac:dyDescent="0.3">
      <c r="C128" s="566" t="s">
        <v>337</v>
      </c>
      <c r="D128" s="575"/>
      <c r="E128" s="504">
        <f t="shared" ref="E128:N128" si="106">E89</f>
        <v>0</v>
      </c>
      <c r="F128" s="526">
        <f t="shared" si="106"/>
        <v>0</v>
      </c>
      <c r="G128" s="503">
        <f t="shared" si="106"/>
        <v>6</v>
      </c>
      <c r="H128" s="504">
        <f t="shared" si="106"/>
        <v>0</v>
      </c>
      <c r="I128" s="504">
        <f t="shared" si="106"/>
        <v>0</v>
      </c>
      <c r="J128" s="505">
        <f t="shared" si="106"/>
        <v>0</v>
      </c>
      <c r="K128" s="581">
        <f t="shared" si="106"/>
        <v>6</v>
      </c>
      <c r="L128" s="504">
        <f t="shared" si="106"/>
        <v>0</v>
      </c>
      <c r="M128" s="504">
        <f t="shared" si="106"/>
        <v>0</v>
      </c>
      <c r="N128" s="505">
        <f t="shared" si="106"/>
        <v>0</v>
      </c>
    </row>
    <row r="129" spans="2:16" x14ac:dyDescent="0.3">
      <c r="C129" s="566" t="s">
        <v>632</v>
      </c>
      <c r="D129" s="575"/>
      <c r="E129" s="504">
        <f t="shared" ref="E129:N129" si="107">E111</f>
        <v>0</v>
      </c>
      <c r="F129" s="526">
        <f t="shared" si="107"/>
        <v>0</v>
      </c>
      <c r="G129" s="503">
        <f t="shared" si="107"/>
        <v>3</v>
      </c>
      <c r="H129" s="504">
        <f t="shared" si="107"/>
        <v>0</v>
      </c>
      <c r="I129" s="504">
        <f t="shared" si="107"/>
        <v>0</v>
      </c>
      <c r="J129" s="505">
        <f t="shared" si="107"/>
        <v>0</v>
      </c>
      <c r="K129" s="581">
        <f t="shared" si="107"/>
        <v>3</v>
      </c>
      <c r="L129" s="504">
        <f t="shared" si="107"/>
        <v>0</v>
      </c>
      <c r="M129" s="504">
        <f t="shared" si="107"/>
        <v>0</v>
      </c>
      <c r="N129" s="505">
        <f t="shared" si="107"/>
        <v>0</v>
      </c>
    </row>
    <row r="130" spans="2:16" ht="15" thickBot="1" x14ac:dyDescent="0.35">
      <c r="C130" s="447" t="s">
        <v>621</v>
      </c>
      <c r="D130" s="576"/>
      <c r="E130" s="487">
        <f t="shared" ref="E130:N130" si="108">SUM(E128:E129)</f>
        <v>0</v>
      </c>
      <c r="F130" s="568">
        <f t="shared" si="108"/>
        <v>0</v>
      </c>
      <c r="G130" s="486">
        <f t="shared" si="108"/>
        <v>9</v>
      </c>
      <c r="H130" s="487">
        <f t="shared" si="108"/>
        <v>0</v>
      </c>
      <c r="I130" s="487">
        <f t="shared" si="108"/>
        <v>0</v>
      </c>
      <c r="J130" s="488">
        <f t="shared" si="108"/>
        <v>0</v>
      </c>
      <c r="K130" s="572">
        <f t="shared" si="108"/>
        <v>9</v>
      </c>
      <c r="L130" s="487">
        <f t="shared" si="108"/>
        <v>0</v>
      </c>
      <c r="M130" s="487">
        <f t="shared" si="108"/>
        <v>0</v>
      </c>
      <c r="N130" s="488">
        <f t="shared" si="108"/>
        <v>0</v>
      </c>
    </row>
    <row r="131" spans="2:16" x14ac:dyDescent="0.3">
      <c r="C131" s="489" t="s">
        <v>651</v>
      </c>
      <c r="D131" s="577"/>
      <c r="E131" s="578">
        <v>10</v>
      </c>
      <c r="F131" s="578">
        <v>40</v>
      </c>
      <c r="G131" s="509"/>
      <c r="H131" s="490"/>
      <c r="I131" s="490"/>
      <c r="J131" s="491"/>
      <c r="K131" s="573"/>
      <c r="L131" s="562"/>
      <c r="M131" s="490"/>
      <c r="N131" s="564"/>
    </row>
    <row r="132" spans="2:16" x14ac:dyDescent="0.3">
      <c r="C132" s="492" t="s">
        <v>617</v>
      </c>
      <c r="D132" s="578">
        <v>30</v>
      </c>
      <c r="E132" s="493">
        <f t="shared" ref="E132:F132" si="109">D132+E131+E134-E130</f>
        <v>40</v>
      </c>
      <c r="F132" s="493">
        <f t="shared" si="109"/>
        <v>80</v>
      </c>
      <c r="G132" s="493">
        <f t="shared" ref="G132" si="110">F132+G131+G134-G130</f>
        <v>71</v>
      </c>
      <c r="H132" s="493">
        <f t="shared" ref="H132" si="111">G132+H131+H134-H130</f>
        <v>71</v>
      </c>
      <c r="I132" s="493">
        <f t="shared" ref="I132" si="112">H132+I131+I134-I130</f>
        <v>71</v>
      </c>
      <c r="J132" s="493">
        <f t="shared" ref="J132" si="113">I132+J131+J134-J130</f>
        <v>71</v>
      </c>
      <c r="K132" s="493">
        <f t="shared" ref="K132" si="114">J132+K131+K134-K130</f>
        <v>62</v>
      </c>
      <c r="L132" s="493">
        <f t="shared" ref="L132" si="115">K132+L131+L134-L130</f>
        <v>62</v>
      </c>
      <c r="M132" s="493">
        <f t="shared" ref="M132" si="116">L132+M131+M134-M130</f>
        <v>62</v>
      </c>
      <c r="N132" s="493">
        <f t="shared" ref="N132" si="117">M132+N131+N134-N130</f>
        <v>62</v>
      </c>
      <c r="P132" s="460" t="s">
        <v>610</v>
      </c>
    </row>
    <row r="133" spans="2:16" x14ac:dyDescent="0.3">
      <c r="C133" s="492" t="s">
        <v>642</v>
      </c>
      <c r="D133" s="579"/>
      <c r="E133" s="528">
        <f t="shared" ref="E133" si="118">IF(D132-E130+E131&lt;=$D$124, E130-E131-D132+$D$124,0)</f>
        <v>0</v>
      </c>
      <c r="F133" s="528">
        <f t="shared" ref="F133:N133" si="119">IF(E132-F130+F131&lt;=$D$124, F130-F131-E132+$D$124,0)</f>
        <v>0</v>
      </c>
      <c r="G133" s="461">
        <f t="shared" si="119"/>
        <v>0</v>
      </c>
      <c r="H133" s="458">
        <f t="shared" si="119"/>
        <v>0</v>
      </c>
      <c r="I133" s="458">
        <f t="shared" si="119"/>
        <v>0</v>
      </c>
      <c r="J133" s="459">
        <f t="shared" si="119"/>
        <v>0</v>
      </c>
      <c r="K133" s="548">
        <f t="shared" si="119"/>
        <v>0</v>
      </c>
      <c r="L133" s="458">
        <f t="shared" si="119"/>
        <v>0</v>
      </c>
      <c r="M133" s="458">
        <f t="shared" si="119"/>
        <v>0</v>
      </c>
      <c r="N133" s="459">
        <f t="shared" si="119"/>
        <v>0</v>
      </c>
      <c r="P133" s="460" t="s">
        <v>611</v>
      </c>
    </row>
    <row r="134" spans="2:16" x14ac:dyDescent="0.3">
      <c r="C134" s="496" t="s">
        <v>647</v>
      </c>
      <c r="D134" s="579"/>
      <c r="E134" s="563">
        <f t="shared" ref="E134:N134" si="120" xml:space="preserve"> CEILING(E133/$D$123,1)*$D$123</f>
        <v>0</v>
      </c>
      <c r="F134" s="563">
        <f t="shared" si="120"/>
        <v>0</v>
      </c>
      <c r="G134" s="495">
        <f t="shared" si="120"/>
        <v>0</v>
      </c>
      <c r="H134" s="493">
        <f t="shared" si="120"/>
        <v>0</v>
      </c>
      <c r="I134" s="493">
        <f t="shared" si="120"/>
        <v>0</v>
      </c>
      <c r="J134" s="494">
        <f t="shared" si="120"/>
        <v>0</v>
      </c>
      <c r="K134" s="574">
        <f t="shared" si="120"/>
        <v>0</v>
      </c>
      <c r="L134" s="493">
        <f t="shared" si="120"/>
        <v>0</v>
      </c>
      <c r="M134" s="493">
        <f t="shared" si="120"/>
        <v>0</v>
      </c>
      <c r="N134" s="494">
        <f t="shared" si="120"/>
        <v>0</v>
      </c>
    </row>
    <row r="135" spans="2:16" ht="15" thickBot="1" x14ac:dyDescent="0.35">
      <c r="C135" s="571" t="s">
        <v>652</v>
      </c>
      <c r="D135" s="580"/>
      <c r="E135" s="541">
        <f>G134</f>
        <v>0</v>
      </c>
      <c r="F135" s="541">
        <f>H134</f>
        <v>0</v>
      </c>
      <c r="G135" s="541">
        <f t="shared" ref="G135:N135" si="121">I134</f>
        <v>0</v>
      </c>
      <c r="H135" s="541">
        <f t="shared" si="121"/>
        <v>0</v>
      </c>
      <c r="I135" s="541">
        <f t="shared" si="121"/>
        <v>0</v>
      </c>
      <c r="J135" s="541">
        <f t="shared" si="121"/>
        <v>0</v>
      </c>
      <c r="K135" s="541">
        <f t="shared" si="121"/>
        <v>0</v>
      </c>
      <c r="L135" s="541">
        <f t="shared" si="121"/>
        <v>0</v>
      </c>
      <c r="M135" s="541">
        <f t="shared" si="121"/>
        <v>0</v>
      </c>
      <c r="N135" s="541">
        <f t="shared" si="121"/>
        <v>0</v>
      </c>
    </row>
    <row r="136" spans="2:16" hidden="1" x14ac:dyDescent="0.3">
      <c r="C136" s="478" t="s">
        <v>612</v>
      </c>
      <c r="D136" s="467"/>
      <c r="E136" s="586">
        <f>QUOTIENT(MOD(E135+$D$52-1,$D$51),$D$52)</f>
        <v>0</v>
      </c>
      <c r="F136" s="586">
        <f t="shared" ref="F136:N136" si="122">QUOTIENT(MOD(F135+$D$52-1,$D$51),$D$52)</f>
        <v>0</v>
      </c>
      <c r="G136" s="586">
        <f t="shared" si="122"/>
        <v>0</v>
      </c>
      <c r="H136" s="586">
        <f t="shared" si="122"/>
        <v>0</v>
      </c>
      <c r="I136" s="586">
        <f t="shared" si="122"/>
        <v>0</v>
      </c>
      <c r="J136" s="586">
        <f t="shared" si="122"/>
        <v>0</v>
      </c>
      <c r="K136" s="586">
        <f t="shared" si="122"/>
        <v>0</v>
      </c>
      <c r="L136" s="587">
        <f t="shared" si="122"/>
        <v>0</v>
      </c>
      <c r="M136" s="586">
        <f t="shared" si="122"/>
        <v>0</v>
      </c>
      <c r="N136" s="588">
        <f t="shared" si="122"/>
        <v>0</v>
      </c>
    </row>
    <row r="137" spans="2:16" hidden="1" x14ac:dyDescent="0.3">
      <c r="B137" s="40"/>
      <c r="C137" s="497" t="s">
        <v>613</v>
      </c>
      <c r="D137" s="482"/>
      <c r="E137" s="472">
        <f t="shared" ref="E137:N137" si="123">QUOTIENT(E135+$D$52-1,$D$51)</f>
        <v>0</v>
      </c>
      <c r="F137" s="472">
        <f t="shared" si="123"/>
        <v>0</v>
      </c>
      <c r="G137" s="472">
        <f t="shared" si="123"/>
        <v>0</v>
      </c>
      <c r="H137" s="472">
        <f t="shared" si="123"/>
        <v>0</v>
      </c>
      <c r="I137" s="472">
        <f t="shared" si="123"/>
        <v>0</v>
      </c>
      <c r="J137" s="472">
        <f t="shared" si="123"/>
        <v>0</v>
      </c>
      <c r="K137" s="472">
        <f t="shared" si="123"/>
        <v>0</v>
      </c>
      <c r="L137" s="543">
        <f t="shared" si="123"/>
        <v>0</v>
      </c>
      <c r="M137" s="472">
        <f t="shared" si="123"/>
        <v>0</v>
      </c>
      <c r="N137" s="535">
        <f t="shared" si="123"/>
        <v>0</v>
      </c>
    </row>
    <row r="138" spans="2:16" ht="15" hidden="1" thickBot="1" x14ac:dyDescent="0.35">
      <c r="C138" s="516" t="s">
        <v>614</v>
      </c>
      <c r="D138" s="474"/>
      <c r="E138" s="475" t="e">
        <f>IF($O$70="Choosing Supplier 1", E137*#REF!+E136*#REF!,E137*#REF!+E136*#REF!)</f>
        <v>#REF!</v>
      </c>
      <c r="F138" s="475" t="e">
        <f>IF($O$70="Choosing Supplier 1", F137*#REF!+F136*#REF!,F137*#REF!+F136*#REF!)</f>
        <v>#REF!</v>
      </c>
      <c r="G138" s="475" t="e">
        <f>IF($O$70="Choosing Supplier 1", G137*#REF!+G136*#REF!,G137*#REF!+G136*#REF!)</f>
        <v>#REF!</v>
      </c>
      <c r="H138" s="475" t="e">
        <f>IF($O$70="Choosing Supplier 1", H137*#REF!+H136*#REF!,H137*#REF!+H136*#REF!)</f>
        <v>#REF!</v>
      </c>
      <c r="I138" s="475" t="e">
        <f>IF($O$70="Choosing Supplier 1", I137*#REF!+I136*#REF!,I137*#REF!+I136*#REF!)</f>
        <v>#REF!</v>
      </c>
      <c r="J138" s="475" t="e">
        <f>IF($O$70="Choosing Supplier 1", J137*#REF!+J136*#REF!,J137*#REF!+J136*#REF!)</f>
        <v>#REF!</v>
      </c>
      <c r="K138" s="475" t="e">
        <f>IF($O$70="Choosing Supplier 1", K137*#REF!+K136*#REF!,K137*#REF!+K136*#REF!)</f>
        <v>#REF!</v>
      </c>
      <c r="L138" s="544" t="e">
        <f>IF($O$70="Choosing Supplier 1", L137*#REF!+L136*#REF!,L137*#REF!+L136*#REF!)</f>
        <v>#REF!</v>
      </c>
      <c r="M138" s="475" t="e">
        <f>IF($O$70="Choosing Supplier 1", M137*#REF!+M136*#REF!,M137*#REF!+M136*#REF!)</f>
        <v>#REF!</v>
      </c>
      <c r="N138" s="536" t="e">
        <f>IF($O$70="Choosing Supplier 1", N137*#REF!+N136*#REF!,N137*#REF!+N136*#REF!)</f>
        <v>#REF!</v>
      </c>
      <c r="O138" s="477" t="e">
        <f>IF(#REF!&lt;#REF!,IF($D$145="Yes","Choosing Supplier 1","Choosing Supplier 2"),IF($D$164="Yes","Choosing Supplier 2","Choosing Supplier 1"))</f>
        <v>#REF!</v>
      </c>
      <c r="P138" t="s">
        <v>615</v>
      </c>
    </row>
    <row r="139" spans="2:16" x14ac:dyDescent="0.3">
      <c r="C139" s="498"/>
      <c r="D139" s="483"/>
      <c r="E139" s="484"/>
      <c r="F139" s="484"/>
      <c r="G139" s="484"/>
      <c r="H139" s="484"/>
      <c r="I139" s="484"/>
      <c r="J139" s="484"/>
      <c r="K139" s="484"/>
      <c r="L139" s="484"/>
      <c r="M139" s="484"/>
      <c r="N139" s="484"/>
      <c r="O139" s="445"/>
    </row>
    <row r="141" spans="2:16" ht="18" x14ac:dyDescent="0.35">
      <c r="B141" s="589" t="s">
        <v>646</v>
      </c>
    </row>
    <row r="142" spans="2:16" x14ac:dyDescent="0.3">
      <c r="C142" s="437" t="s">
        <v>640</v>
      </c>
      <c r="D142" s="446">
        <v>2</v>
      </c>
    </row>
    <row r="143" spans="2:16" ht="14.4" customHeight="1" x14ac:dyDescent="0.3">
      <c r="C143" s="437" t="s">
        <v>605</v>
      </c>
      <c r="D143" s="446">
        <f>[1]Supplier1!C8</f>
        <v>30</v>
      </c>
      <c r="K143" s="435"/>
      <c r="L143" s="435"/>
      <c r="M143" s="435"/>
      <c r="N143" s="435"/>
    </row>
    <row r="144" spans="2:16" ht="14.4" customHeight="1" thickBot="1" x14ac:dyDescent="0.35">
      <c r="C144" s="437" t="s">
        <v>638</v>
      </c>
      <c r="D144" s="446">
        <v>900</v>
      </c>
      <c r="K144" s="435"/>
      <c r="L144" s="435"/>
      <c r="M144" s="435"/>
      <c r="N144" s="435"/>
    </row>
    <row r="145" spans="2:16" ht="16.2" hidden="1" customHeight="1" thickBot="1" x14ac:dyDescent="0.35">
      <c r="C145" s="437" t="s">
        <v>616</v>
      </c>
      <c r="D145" s="440" t="str">
        <f>[1]Supplier1!C11</f>
        <v>Yes</v>
      </c>
      <c r="H145" s="435"/>
      <c r="K145" s="435"/>
      <c r="L145" s="435"/>
      <c r="M145" s="435"/>
      <c r="N145" s="435"/>
    </row>
    <row r="146" spans="2:16" ht="16.2" customHeight="1" thickBot="1" x14ac:dyDescent="0.35">
      <c r="E146" s="952" t="s">
        <v>25</v>
      </c>
      <c r="F146" s="953"/>
      <c r="G146" s="977" t="s">
        <v>248</v>
      </c>
      <c r="H146" s="954"/>
      <c r="I146" s="954"/>
      <c r="J146" s="978"/>
      <c r="K146" s="952" t="s">
        <v>249</v>
      </c>
      <c r="L146" s="954"/>
      <c r="M146" s="954"/>
      <c r="N146" s="953"/>
    </row>
    <row r="147" spans="2:16" ht="15" thickBot="1" x14ac:dyDescent="0.35">
      <c r="C147" s="523" t="s">
        <v>654</v>
      </c>
      <c r="D147" s="608" t="s">
        <v>606</v>
      </c>
      <c r="E147" s="560" t="s">
        <v>220</v>
      </c>
      <c r="F147" s="561" t="s">
        <v>109</v>
      </c>
      <c r="G147" s="556" t="s">
        <v>110</v>
      </c>
      <c r="H147" s="558" t="s">
        <v>111</v>
      </c>
      <c r="I147" s="558" t="s">
        <v>112</v>
      </c>
      <c r="J147" s="559" t="s">
        <v>113</v>
      </c>
      <c r="K147" s="555" t="s">
        <v>114</v>
      </c>
      <c r="L147" s="558" t="s">
        <v>115</v>
      </c>
      <c r="M147" s="558" t="s">
        <v>116</v>
      </c>
      <c r="N147" s="557" t="s">
        <v>117</v>
      </c>
    </row>
    <row r="148" spans="2:16" x14ac:dyDescent="0.3">
      <c r="C148" s="499" t="s">
        <v>628</v>
      </c>
      <c r="D148" s="599"/>
      <c r="E148" s="501">
        <f t="shared" ref="E148:N148" si="124">E22</f>
        <v>0</v>
      </c>
      <c r="F148" s="502">
        <f t="shared" si="124"/>
        <v>6</v>
      </c>
      <c r="G148" s="583">
        <f t="shared" si="124"/>
        <v>6</v>
      </c>
      <c r="H148" s="501">
        <f t="shared" si="124"/>
        <v>6</v>
      </c>
      <c r="I148" s="501">
        <f t="shared" si="124"/>
        <v>6</v>
      </c>
      <c r="J148" s="524">
        <f t="shared" si="124"/>
        <v>6</v>
      </c>
      <c r="K148" s="500">
        <f t="shared" si="124"/>
        <v>6</v>
      </c>
      <c r="L148" s="501">
        <f t="shared" si="124"/>
        <v>6</v>
      </c>
      <c r="M148" s="501">
        <f t="shared" si="124"/>
        <v>12</v>
      </c>
      <c r="N148" s="502">
        <f t="shared" si="124"/>
        <v>6</v>
      </c>
    </row>
    <row r="149" spans="2:16" x14ac:dyDescent="0.3">
      <c r="C149" s="499" t="s">
        <v>633</v>
      </c>
      <c r="D149" s="600"/>
      <c r="E149" s="521">
        <f t="shared" ref="E149:N149" si="125">E44</f>
        <v>6</v>
      </c>
      <c r="F149" s="522">
        <f t="shared" si="125"/>
        <v>0</v>
      </c>
      <c r="G149" s="584">
        <f t="shared" si="125"/>
        <v>0</v>
      </c>
      <c r="H149" s="521">
        <f t="shared" si="125"/>
        <v>6</v>
      </c>
      <c r="I149" s="521">
        <f t="shared" si="125"/>
        <v>0</v>
      </c>
      <c r="J149" s="525">
        <f t="shared" si="125"/>
        <v>6</v>
      </c>
      <c r="K149" s="520">
        <f t="shared" si="125"/>
        <v>0</v>
      </c>
      <c r="L149" s="521">
        <f t="shared" si="125"/>
        <v>6</v>
      </c>
      <c r="M149" s="521">
        <f t="shared" si="125"/>
        <v>0</v>
      </c>
      <c r="N149" s="522">
        <f t="shared" si="125"/>
        <v>6</v>
      </c>
    </row>
    <row r="150" spans="2:16" x14ac:dyDescent="0.3">
      <c r="C150" s="499" t="s">
        <v>634</v>
      </c>
      <c r="D150" s="601"/>
      <c r="E150" s="504">
        <f t="shared" ref="E150:N150" si="126">E67</f>
        <v>0</v>
      </c>
      <c r="F150" s="505">
        <f t="shared" si="126"/>
        <v>0</v>
      </c>
      <c r="G150" s="581">
        <f t="shared" si="126"/>
        <v>5</v>
      </c>
      <c r="H150" s="504">
        <f t="shared" si="126"/>
        <v>0</v>
      </c>
      <c r="I150" s="504">
        <f t="shared" si="126"/>
        <v>0</v>
      </c>
      <c r="J150" s="526">
        <f t="shared" si="126"/>
        <v>0</v>
      </c>
      <c r="K150" s="503">
        <f t="shared" si="126"/>
        <v>10</v>
      </c>
      <c r="L150" s="504">
        <f t="shared" si="126"/>
        <v>0</v>
      </c>
      <c r="M150" s="504">
        <f t="shared" si="126"/>
        <v>0</v>
      </c>
      <c r="N150" s="505">
        <f t="shared" si="126"/>
        <v>0</v>
      </c>
    </row>
    <row r="151" spans="2:16" ht="15" thickBot="1" x14ac:dyDescent="0.35">
      <c r="C151" s="499" t="s">
        <v>635</v>
      </c>
      <c r="D151" s="602"/>
      <c r="E151" s="507">
        <f t="shared" ref="E151:N151" si="127">E135</f>
        <v>0</v>
      </c>
      <c r="F151" s="508">
        <f t="shared" si="127"/>
        <v>0</v>
      </c>
      <c r="G151" s="529">
        <f t="shared" si="127"/>
        <v>0</v>
      </c>
      <c r="H151" s="507">
        <f t="shared" si="127"/>
        <v>0</v>
      </c>
      <c r="I151" s="507">
        <f t="shared" si="127"/>
        <v>0</v>
      </c>
      <c r="J151" s="527">
        <f t="shared" si="127"/>
        <v>0</v>
      </c>
      <c r="K151" s="506">
        <f t="shared" si="127"/>
        <v>0</v>
      </c>
      <c r="L151" s="527">
        <f t="shared" si="127"/>
        <v>0</v>
      </c>
      <c r="M151" s="507">
        <f t="shared" si="127"/>
        <v>0</v>
      </c>
      <c r="N151" s="531">
        <f t="shared" si="127"/>
        <v>0</v>
      </c>
    </row>
    <row r="152" spans="2:16" x14ac:dyDescent="0.3">
      <c r="C152" s="451" t="s">
        <v>75</v>
      </c>
      <c r="D152" s="603"/>
      <c r="E152" s="512">
        <f t="shared" ref="E152:N152" si="128">SUM(E148:E151)</f>
        <v>6</v>
      </c>
      <c r="F152" s="513">
        <f t="shared" si="128"/>
        <v>6</v>
      </c>
      <c r="G152" s="585">
        <f t="shared" si="128"/>
        <v>11</v>
      </c>
      <c r="H152" s="512">
        <f t="shared" si="128"/>
        <v>12</v>
      </c>
      <c r="I152" s="512">
        <f t="shared" si="128"/>
        <v>6</v>
      </c>
      <c r="J152" s="553">
        <f t="shared" si="128"/>
        <v>12</v>
      </c>
      <c r="K152" s="582">
        <f t="shared" si="128"/>
        <v>16</v>
      </c>
      <c r="L152" s="553">
        <f t="shared" ref="L152:M152" si="129">SUM(L148:L151)</f>
        <v>12</v>
      </c>
      <c r="M152" s="512">
        <f t="shared" si="129"/>
        <v>12</v>
      </c>
      <c r="N152" s="554">
        <f t="shared" si="128"/>
        <v>12</v>
      </c>
    </row>
    <row r="153" spans="2:16" x14ac:dyDescent="0.3">
      <c r="C153" s="456" t="s">
        <v>649</v>
      </c>
      <c r="D153" s="604">
        <v>270</v>
      </c>
      <c r="E153" s="594">
        <f>E154+D153-E152</f>
        <v>534</v>
      </c>
      <c r="F153" s="594">
        <f t="shared" ref="F153:N153" si="130">F154+E153-F152</f>
        <v>528</v>
      </c>
      <c r="G153" s="594">
        <f t="shared" si="130"/>
        <v>517</v>
      </c>
      <c r="H153" s="594">
        <f t="shared" si="130"/>
        <v>505</v>
      </c>
      <c r="I153" s="594">
        <f t="shared" si="130"/>
        <v>499</v>
      </c>
      <c r="J153" s="594">
        <f t="shared" si="130"/>
        <v>487</v>
      </c>
      <c r="K153" s="594">
        <f t="shared" si="130"/>
        <v>471</v>
      </c>
      <c r="L153" s="594">
        <f t="shared" si="130"/>
        <v>459</v>
      </c>
      <c r="M153" s="594">
        <f t="shared" si="130"/>
        <v>447</v>
      </c>
      <c r="N153" s="594">
        <f t="shared" si="130"/>
        <v>435</v>
      </c>
    </row>
    <row r="154" spans="2:16" x14ac:dyDescent="0.3">
      <c r="C154" s="456" t="s">
        <v>653</v>
      </c>
      <c r="D154" s="609"/>
      <c r="E154" s="593">
        <v>270</v>
      </c>
      <c r="F154" s="594"/>
      <c r="G154" s="595"/>
      <c r="H154" s="592"/>
      <c r="I154" s="592"/>
      <c r="J154" s="593"/>
      <c r="K154" s="591"/>
      <c r="L154" s="592"/>
      <c r="M154" s="592"/>
      <c r="N154" s="594"/>
    </row>
    <row r="155" spans="2:16" ht="15" thickBot="1" x14ac:dyDescent="0.35">
      <c r="C155" s="598" t="s">
        <v>648</v>
      </c>
      <c r="D155" s="617"/>
      <c r="E155" s="618">
        <v>270</v>
      </c>
      <c r="F155" s="619"/>
      <c r="G155" s="620"/>
      <c r="H155" s="618"/>
      <c r="I155" s="618"/>
      <c r="J155" s="621"/>
      <c r="K155" s="622"/>
      <c r="L155" s="618"/>
      <c r="M155" s="618"/>
      <c r="N155" s="619"/>
    </row>
    <row r="156" spans="2:16" hidden="1" x14ac:dyDescent="0.3">
      <c r="C156" s="606" t="s">
        <v>618</v>
      </c>
      <c r="D156" s="610"/>
      <c r="E156" s="611" t="e">
        <f>IF(#REF!-E152&lt;=$D$143, E152-#REF!+$D$143,0)</f>
        <v>#REF!</v>
      </c>
      <c r="F156" s="612">
        <f t="shared" ref="F156:K156" si="131">IF(E153-F152&lt;=$D$143, F152-E153+$D$143,0)</f>
        <v>0</v>
      </c>
      <c r="G156" s="613">
        <f t="shared" si="131"/>
        <v>0</v>
      </c>
      <c r="H156" s="611">
        <f t="shared" si="131"/>
        <v>0</v>
      </c>
      <c r="I156" s="611">
        <f t="shared" si="131"/>
        <v>0</v>
      </c>
      <c r="J156" s="614">
        <f t="shared" si="131"/>
        <v>0</v>
      </c>
      <c r="K156" s="615">
        <f t="shared" si="131"/>
        <v>0</v>
      </c>
      <c r="L156" s="614">
        <f>IF(I153-L152&lt;=$D$143, L152-I153+$D$143,0)</f>
        <v>0</v>
      </c>
      <c r="M156" s="611">
        <f>IF(J153-M152&lt;=$D$143, M152-J153+$D$143,0)</f>
        <v>0</v>
      </c>
      <c r="N156" s="616">
        <f>IF(K153-N152&lt;=$D$143, N152-K153+$D$143,0)</f>
        <v>0</v>
      </c>
    </row>
    <row r="157" spans="2:16" hidden="1" x14ac:dyDescent="0.3">
      <c r="C157" s="462" t="s">
        <v>636</v>
      </c>
      <c r="D157" s="596"/>
      <c r="E157" s="458" t="e">
        <f xml:space="preserve"> CEILING(E156/#REF!,1)*#REF!</f>
        <v>#REF!</v>
      </c>
      <c r="F157" s="459" t="e">
        <f xml:space="preserve"> CEILING(F156/#REF!,1)*#REF!</f>
        <v>#REF!</v>
      </c>
      <c r="G157" s="548" t="e">
        <f xml:space="preserve"> CEILING(G156/#REF!,1)*#REF!</f>
        <v>#REF!</v>
      </c>
      <c r="H157" s="458" t="e">
        <f xml:space="preserve"> CEILING(H156/#REF!,1)*#REF!</f>
        <v>#REF!</v>
      </c>
      <c r="I157" s="458" t="e">
        <f xml:space="preserve"> CEILING(I156/#REF!,1)*#REF!</f>
        <v>#REF!</v>
      </c>
      <c r="J157" s="528" t="e">
        <f xml:space="preserve"> CEILING(J156/#REF!,1)*#REF!</f>
        <v>#REF!</v>
      </c>
      <c r="K157" s="461" t="e">
        <f xml:space="preserve"> CEILING(K156/#REF!,1)*#REF!</f>
        <v>#REF!</v>
      </c>
      <c r="L157" s="528" t="e">
        <f xml:space="preserve"> CEILING(L156/#REF!,1)*#REF!</f>
        <v>#REF!</v>
      </c>
      <c r="M157" s="458" t="e">
        <f xml:space="preserve"> CEILING(M156/#REF!,1)*#REF!</f>
        <v>#REF!</v>
      </c>
      <c r="N157" s="530" t="e">
        <f xml:space="preserve"> CEILING(N156/#REF!,1)*#REF!</f>
        <v>#REF!</v>
      </c>
    </row>
    <row r="158" spans="2:16" x14ac:dyDescent="0.3">
      <c r="E158" s="510"/>
      <c r="F158" s="511"/>
      <c r="O158">
        <v>22.68</v>
      </c>
      <c r="P158" t="s">
        <v>637</v>
      </c>
    </row>
    <row r="159" spans="2:16" x14ac:dyDescent="0.3">
      <c r="E159" s="510"/>
      <c r="F159" s="511" t="s">
        <v>661</v>
      </c>
    </row>
    <row r="160" spans="2:16" ht="18" x14ac:dyDescent="0.35">
      <c r="B160" s="590" t="s">
        <v>658</v>
      </c>
    </row>
    <row r="161" spans="2:14" ht="14.4" customHeight="1" x14ac:dyDescent="0.3">
      <c r="C161" s="437" t="s">
        <v>650</v>
      </c>
      <c r="D161" s="446">
        <v>2</v>
      </c>
      <c r="F161" s="1">
        <v>22.68</v>
      </c>
      <c r="G161" s="1" t="s">
        <v>637</v>
      </c>
    </row>
    <row r="162" spans="2:14" ht="14.4" customHeight="1" x14ac:dyDescent="0.3">
      <c r="C162" s="437" t="s">
        <v>604</v>
      </c>
      <c r="D162" s="446">
        <v>500</v>
      </c>
      <c r="K162" s="435"/>
      <c r="L162" s="435"/>
      <c r="M162" s="435"/>
      <c r="N162" s="435"/>
    </row>
    <row r="163" spans="2:14" ht="14.4" customHeight="1" x14ac:dyDescent="0.3">
      <c r="C163" s="437" t="s">
        <v>605</v>
      </c>
      <c r="D163" s="446">
        <v>100</v>
      </c>
      <c r="K163" s="435"/>
      <c r="L163" s="435"/>
      <c r="M163" s="435"/>
      <c r="N163" s="435"/>
    </row>
    <row r="164" spans="2:14" ht="16.8" hidden="1" customHeight="1" thickBot="1" x14ac:dyDescent="0.35">
      <c r="C164" s="437" t="s">
        <v>616</v>
      </c>
      <c r="D164" s="440" t="str">
        <f>[1]Supplier2!C11</f>
        <v>No</v>
      </c>
      <c r="H164" s="435"/>
      <c r="K164" s="435"/>
      <c r="L164" s="435"/>
      <c r="M164" s="435"/>
      <c r="N164" s="435"/>
    </row>
    <row r="165" spans="2:14" ht="16.8" customHeight="1" thickBot="1" x14ac:dyDescent="0.35">
      <c r="C165" s="437" t="s">
        <v>638</v>
      </c>
      <c r="D165" s="446">
        <v>9000</v>
      </c>
      <c r="E165" s="628"/>
      <c r="F165" s="628"/>
      <c r="G165" s="628"/>
      <c r="H165" s="628"/>
      <c r="I165" s="628"/>
      <c r="J165" s="628"/>
      <c r="K165" s="628"/>
      <c r="L165" s="628"/>
      <c r="M165" s="628"/>
      <c r="N165" s="628"/>
    </row>
    <row r="166" spans="2:14" ht="16.8" customHeight="1" thickBot="1" x14ac:dyDescent="0.35">
      <c r="E166" s="952" t="s">
        <v>25</v>
      </c>
      <c r="F166" s="953"/>
      <c r="G166" s="952" t="s">
        <v>248</v>
      </c>
      <c r="H166" s="954"/>
      <c r="I166" s="954"/>
      <c r="J166" s="953"/>
      <c r="K166" s="952" t="s">
        <v>249</v>
      </c>
      <c r="L166" s="954"/>
      <c r="M166" s="954"/>
      <c r="N166" s="953"/>
    </row>
    <row r="167" spans="2:14" ht="15" thickBot="1" x14ac:dyDescent="0.35">
      <c r="D167" s="608" t="s">
        <v>606</v>
      </c>
      <c r="E167" s="560" t="s">
        <v>220</v>
      </c>
      <c r="F167" s="561" t="s">
        <v>109</v>
      </c>
      <c r="G167" s="555" t="s">
        <v>110</v>
      </c>
      <c r="H167" s="558" t="s">
        <v>111</v>
      </c>
      <c r="I167" s="558" t="s">
        <v>112</v>
      </c>
      <c r="J167" s="557" t="s">
        <v>113</v>
      </c>
      <c r="K167" s="555" t="s">
        <v>114</v>
      </c>
      <c r="L167" s="558" t="s">
        <v>115</v>
      </c>
      <c r="M167" s="558" t="s">
        <v>116</v>
      </c>
      <c r="N167" s="557" t="s">
        <v>117</v>
      </c>
    </row>
    <row r="168" spans="2:14" ht="15" thickBot="1" x14ac:dyDescent="0.35">
      <c r="C168" s="499" t="s">
        <v>655</v>
      </c>
      <c r="D168" s="605"/>
      <c r="E168" s="625">
        <f t="shared" ref="E168:N168" si="132">E153</f>
        <v>534</v>
      </c>
      <c r="F168" s="625">
        <f t="shared" si="132"/>
        <v>528</v>
      </c>
      <c r="G168" s="607">
        <f t="shared" si="132"/>
        <v>517</v>
      </c>
      <c r="H168" s="607">
        <f t="shared" si="132"/>
        <v>505</v>
      </c>
      <c r="I168" s="607">
        <f t="shared" si="132"/>
        <v>499</v>
      </c>
      <c r="J168" s="607">
        <f t="shared" si="132"/>
        <v>487</v>
      </c>
      <c r="K168" s="607">
        <f t="shared" si="132"/>
        <v>471</v>
      </c>
      <c r="L168" s="607">
        <f t="shared" si="132"/>
        <v>459</v>
      </c>
      <c r="M168" s="607">
        <f t="shared" si="132"/>
        <v>447</v>
      </c>
      <c r="N168" s="607">
        <f t="shared" si="132"/>
        <v>435</v>
      </c>
    </row>
    <row r="169" spans="2:14" ht="15" thickBot="1" x14ac:dyDescent="0.35">
      <c r="C169" s="565" t="s">
        <v>656</v>
      </c>
      <c r="D169" s="605"/>
      <c r="E169" s="623">
        <f>MROUND($F$161*E168,1)</f>
        <v>12111</v>
      </c>
      <c r="F169" s="623">
        <f t="shared" ref="F169:N169" si="133">MROUND($F$161*F168,1)</f>
        <v>11975</v>
      </c>
      <c r="G169" s="623">
        <f t="shared" si="133"/>
        <v>11726</v>
      </c>
      <c r="H169" s="623">
        <f t="shared" si="133"/>
        <v>11453</v>
      </c>
      <c r="I169" s="623">
        <f t="shared" si="133"/>
        <v>11317</v>
      </c>
      <c r="J169" s="623">
        <f t="shared" si="133"/>
        <v>11045</v>
      </c>
      <c r="K169" s="623">
        <f t="shared" si="133"/>
        <v>10682</v>
      </c>
      <c r="L169" s="623">
        <f t="shared" si="133"/>
        <v>10410</v>
      </c>
      <c r="M169" s="623">
        <f t="shared" si="133"/>
        <v>10138</v>
      </c>
      <c r="N169" s="623">
        <f t="shared" si="133"/>
        <v>9866</v>
      </c>
    </row>
    <row r="170" spans="2:14" ht="15" thickBot="1" x14ac:dyDescent="0.35">
      <c r="C170" s="597" t="s">
        <v>657</v>
      </c>
      <c r="D170" s="603"/>
      <c r="E170" s="624">
        <f>E169</f>
        <v>12111</v>
      </c>
      <c r="F170" s="624">
        <f t="shared" ref="F170:N170" si="134">F169</f>
        <v>11975</v>
      </c>
      <c r="G170" s="624">
        <f t="shared" si="134"/>
        <v>11726</v>
      </c>
      <c r="H170" s="624">
        <f t="shared" si="134"/>
        <v>11453</v>
      </c>
      <c r="I170" s="624">
        <f t="shared" si="134"/>
        <v>11317</v>
      </c>
      <c r="J170" s="624">
        <f t="shared" si="134"/>
        <v>11045</v>
      </c>
      <c r="K170" s="624">
        <f t="shared" si="134"/>
        <v>10682</v>
      </c>
      <c r="L170" s="624">
        <f t="shared" si="134"/>
        <v>10410</v>
      </c>
      <c r="M170" s="624">
        <f t="shared" si="134"/>
        <v>10138</v>
      </c>
      <c r="N170" s="624">
        <f t="shared" si="134"/>
        <v>9866</v>
      </c>
    </row>
    <row r="171" spans="2:14" x14ac:dyDescent="0.3">
      <c r="C171" s="489" t="s">
        <v>651</v>
      </c>
      <c r="D171" s="577"/>
      <c r="E171" s="490">
        <v>8000</v>
      </c>
      <c r="F171" s="562">
        <v>8600</v>
      </c>
      <c r="G171" s="509"/>
      <c r="H171" s="490"/>
      <c r="I171" s="490"/>
      <c r="J171" s="491"/>
      <c r="K171" s="573"/>
      <c r="L171" s="562"/>
      <c r="M171" s="490"/>
      <c r="N171" s="564"/>
    </row>
    <row r="172" spans="2:14" x14ac:dyDescent="0.3">
      <c r="C172" s="492" t="s">
        <v>617</v>
      </c>
      <c r="D172" s="578">
        <v>8000</v>
      </c>
      <c r="E172" s="493">
        <f t="shared" ref="E172" si="135">D172+E171+E174-E170</f>
        <v>3889</v>
      </c>
      <c r="F172" s="493">
        <f t="shared" ref="F172" si="136">E172+F171+F174-F170</f>
        <v>514</v>
      </c>
      <c r="G172" s="493">
        <f t="shared" ref="G172" si="137">F172+G171+G174-G170</f>
        <v>288</v>
      </c>
      <c r="H172" s="493">
        <f t="shared" ref="H172" si="138">G172+H171+H174-H170</f>
        <v>335</v>
      </c>
      <c r="I172" s="493">
        <f t="shared" ref="I172" si="139">H172+I171+I174-I170</f>
        <v>518</v>
      </c>
      <c r="J172" s="493">
        <f t="shared" ref="J172" si="140">I172+J171+J174-J170</f>
        <v>473</v>
      </c>
      <c r="K172" s="493">
        <f t="shared" ref="K172" si="141">J172+K171+K174-K170</f>
        <v>291</v>
      </c>
      <c r="L172" s="493">
        <f t="shared" ref="L172" si="142">K172+L171+L174-L170</f>
        <v>381</v>
      </c>
      <c r="M172" s="493">
        <f t="shared" ref="M172" si="143">L172+M171+M174-M170</f>
        <v>243</v>
      </c>
      <c r="N172" s="493">
        <f t="shared" ref="N172" si="144">M172+N171+N174-N170</f>
        <v>377</v>
      </c>
    </row>
    <row r="173" spans="2:14" x14ac:dyDescent="0.3">
      <c r="C173" s="492" t="s">
        <v>642</v>
      </c>
      <c r="D173" s="579"/>
      <c r="E173" s="528">
        <f>IF(D172-E170+E171&lt;=$D$163, E170-E171-D172+$D$163,0)</f>
        <v>0</v>
      </c>
      <c r="F173" s="528">
        <f t="shared" ref="F173:N173" si="145">IF(E172-F170+F171&lt;=$D$163, F170-F171-E172+$D$163,0)</f>
        <v>0</v>
      </c>
      <c r="G173" s="528">
        <f t="shared" si="145"/>
        <v>11312</v>
      </c>
      <c r="H173" s="528">
        <f t="shared" si="145"/>
        <v>11265</v>
      </c>
      <c r="I173" s="528">
        <f t="shared" si="145"/>
        <v>11082</v>
      </c>
      <c r="J173" s="528">
        <f t="shared" si="145"/>
        <v>10627</v>
      </c>
      <c r="K173" s="528">
        <f t="shared" si="145"/>
        <v>10309</v>
      </c>
      <c r="L173" s="528">
        <f t="shared" si="145"/>
        <v>10219</v>
      </c>
      <c r="M173" s="528">
        <f t="shared" si="145"/>
        <v>9857</v>
      </c>
      <c r="N173" s="528">
        <f t="shared" si="145"/>
        <v>9723</v>
      </c>
    </row>
    <row r="174" spans="2:14" x14ac:dyDescent="0.3">
      <c r="B174" t="s">
        <v>79</v>
      </c>
      <c r="C174" s="496" t="s">
        <v>647</v>
      </c>
      <c r="D174" s="579"/>
      <c r="E174" s="563">
        <f xml:space="preserve"> CEILING(E173/$D$162,1)*$D$162</f>
        <v>0</v>
      </c>
      <c r="F174" s="563">
        <f t="shared" ref="F174:N174" si="146" xml:space="preserve"> CEILING(F173/$D$162,1)*$D$162</f>
        <v>0</v>
      </c>
      <c r="G174" s="563">
        <f t="shared" si="146"/>
        <v>11500</v>
      </c>
      <c r="H174" s="563">
        <f t="shared" si="146"/>
        <v>11500</v>
      </c>
      <c r="I174" s="563">
        <f t="shared" si="146"/>
        <v>11500</v>
      </c>
      <c r="J174" s="563">
        <f t="shared" si="146"/>
        <v>11000</v>
      </c>
      <c r="K174" s="563">
        <f t="shared" si="146"/>
        <v>10500</v>
      </c>
      <c r="L174" s="563">
        <f t="shared" si="146"/>
        <v>10500</v>
      </c>
      <c r="M174" s="563">
        <f t="shared" si="146"/>
        <v>10000</v>
      </c>
      <c r="N174" s="563">
        <f t="shared" si="146"/>
        <v>10000</v>
      </c>
    </row>
    <row r="175" spans="2:14" ht="15" thickBot="1" x14ac:dyDescent="0.35">
      <c r="C175" s="571" t="s">
        <v>652</v>
      </c>
      <c r="D175" s="580"/>
      <c r="E175" s="464">
        <f>G174</f>
        <v>11500</v>
      </c>
      <c r="F175" s="464">
        <f t="shared" ref="F175:K175" si="147">H174</f>
        <v>11500</v>
      </c>
      <c r="G175" s="464">
        <f t="shared" si="147"/>
        <v>11500</v>
      </c>
      <c r="H175" s="464">
        <f t="shared" si="147"/>
        <v>11000</v>
      </c>
      <c r="I175" s="464">
        <f t="shared" si="147"/>
        <v>10500</v>
      </c>
      <c r="J175" s="464">
        <f t="shared" si="147"/>
        <v>10500</v>
      </c>
      <c r="K175" s="464">
        <f t="shared" si="147"/>
        <v>10000</v>
      </c>
      <c r="L175" s="464">
        <f t="shared" ref="L175" si="148">N174</f>
        <v>10000</v>
      </c>
      <c r="M175" s="464">
        <f t="shared" ref="M175" si="149">O174</f>
        <v>0</v>
      </c>
      <c r="N175" s="464">
        <f t="shared" ref="N175" si="150">P174</f>
        <v>0</v>
      </c>
    </row>
    <row r="176" spans="2:14" x14ac:dyDescent="0.3">
      <c r="E176" s="510"/>
      <c r="F176" s="511"/>
    </row>
    <row r="177" spans="5:6" x14ac:dyDescent="0.3">
      <c r="E177" s="510"/>
      <c r="F177" s="511"/>
    </row>
  </sheetData>
  <mergeCells count="24">
    <mergeCell ref="E59:F59"/>
    <mergeCell ref="G59:J59"/>
    <mergeCell ref="K59:N59"/>
    <mergeCell ref="E81:F81"/>
    <mergeCell ref="G81:J81"/>
    <mergeCell ref="K81:N81"/>
    <mergeCell ref="G14:J14"/>
    <mergeCell ref="K14:N14"/>
    <mergeCell ref="E14:F14"/>
    <mergeCell ref="E36:F36"/>
    <mergeCell ref="G36:J36"/>
    <mergeCell ref="K36:N36"/>
    <mergeCell ref="E103:F103"/>
    <mergeCell ref="G103:J103"/>
    <mergeCell ref="K103:N103"/>
    <mergeCell ref="E126:F126"/>
    <mergeCell ref="G126:J126"/>
    <mergeCell ref="K126:N126"/>
    <mergeCell ref="E146:F146"/>
    <mergeCell ref="G146:J146"/>
    <mergeCell ref="K146:N146"/>
    <mergeCell ref="E166:F166"/>
    <mergeCell ref="G166:J166"/>
    <mergeCell ref="K166:N166"/>
  </mergeCells>
  <phoneticPr fontId="6" type="noConversion"/>
  <conditionalFormatting sqref="R34:R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:V3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{58425F6D-37A4-42D5-8EDE-0FBE930DBA7A}</x14:id>
        </ext>
      </extLst>
    </cfRule>
  </conditionalFormatting>
  <conditionalFormatting sqref="R40:R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V4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{F7B79ACF-ABA4-48F9-9DFD-10FC76C4ACBF}</x14:id>
        </ext>
      </extLst>
    </cfRule>
  </conditionalFormatting>
  <conditionalFormatting sqref="R8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:R80 R8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7:V8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{48B460A4-5CE2-444B-B8FD-3E28FA14965E}</x14:id>
        </ext>
      </extLst>
    </cfRule>
  </conditionalFormatting>
  <conditionalFormatting sqref="R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:R89 R9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:V9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{61C0EC1C-2206-44D9-982C-766B293F863B}</x14:id>
        </ext>
      </extLst>
    </cfRule>
  </conditionalFormatting>
  <conditionalFormatting sqref="R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:R102 R1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:V10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{AF1E0291-69EF-4C0A-A294-468BB5BEE227}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25F6D-37A4-42D5-8EDE-0FBE930DB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T34:V36</xm:sqref>
        </x14:conditionalFormatting>
        <x14:conditionalFormatting xmlns:xm="http://schemas.microsoft.com/office/excel/2006/main">
          <x14:cfRule type="containsText" priority="41" operator="containsText" id="{EE1157A3-103F-4D03-B782-642A4B97374C}">
            <xm:f>NOT(ISERROR(SEARCH(Selection!$M$4,R34)))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" operator="containsText" id="{43D9F95B-FFB2-4944-98F1-3A4C5C016C18}">
            <xm:f>NOT(ISERROR(SEARCH(Selection!$M$3,R34)))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3" operator="containsText" id="{530BC0C5-4E48-4A01-8CA1-A38D70590557}">
            <xm:f>NOT(ISERROR(SEARCH(Selection!$M$2,R34)))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R34:R36</xm:sqref>
        </x14:conditionalFormatting>
        <x14:conditionalFormatting xmlns:xm="http://schemas.microsoft.com/office/excel/2006/main">
          <x14:cfRule type="containsText" priority="40" operator="containsText" id="{33B70A3D-4F02-4D8F-848C-FDF66CB0AE9F}">
            <xm:f>NOT(ISERROR(SEARCH(Selection!$M$5,R34)))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R34:R36</xm:sqref>
        </x14:conditionalFormatting>
        <x14:conditionalFormatting xmlns:xm="http://schemas.microsoft.com/office/excel/2006/main">
          <x14:cfRule type="containsText" priority="34" operator="containsText" id="{9B8FB377-708A-4118-B226-8FF28EF2291D}">
            <xm:f>NOT(ISERROR(SEARCH(Selection!$M$5,R40)))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R40:R42</xm:sqref>
        </x14:conditionalFormatting>
        <x14:conditionalFormatting xmlns:xm="http://schemas.microsoft.com/office/excel/2006/main">
          <x14:cfRule type="dataBar" id="{F7B79ACF-ABA4-48F9-9DFD-10FC76C4A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T40:V42</xm:sqref>
        </x14:conditionalFormatting>
        <x14:conditionalFormatting xmlns:xm="http://schemas.microsoft.com/office/excel/2006/main">
          <x14:cfRule type="containsText" priority="35" operator="containsText" id="{AB7C622E-E5CB-48BE-9793-FCD4EEDE3E10}">
            <xm:f>NOT(ISERROR(SEARCH(Selection!$M$4,R40)))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" operator="containsText" id="{1D29CB36-88AA-43B2-AB96-0B11E10A8631}">
            <xm:f>NOT(ISERROR(SEARCH(Selection!$M$3,R40)))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7" operator="containsText" id="{9F8EAE16-AC4B-4781-84C3-070A341B7EE6}">
            <xm:f>NOT(ISERROR(SEARCH(Selection!$M$2,R40)))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R40:R42</xm:sqref>
        </x14:conditionalFormatting>
        <x14:conditionalFormatting xmlns:xm="http://schemas.microsoft.com/office/excel/2006/main">
          <x14:cfRule type="dataBar" id="{48B460A4-5CE2-444B-B8FD-3E28FA149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T77:V82</xm:sqref>
        </x14:conditionalFormatting>
        <x14:conditionalFormatting xmlns:xm="http://schemas.microsoft.com/office/excel/2006/main">
          <x14:cfRule type="containsText" priority="29" operator="containsText" id="{2FC4F785-D2AB-4A9A-B87A-C7DD6AB88145}">
            <xm:f>NOT(ISERROR(SEARCH(Selection!$M$4,R77)))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" operator="containsText" id="{CD202AA5-DACD-45B4-81FD-88612519BF16}">
            <xm:f>NOT(ISERROR(SEARCH(Selection!$M$3,R77)))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1" operator="containsText" id="{77B299CB-B4F3-49EF-B03D-45C9E847E0B9}">
            <xm:f>NOT(ISERROR(SEARCH(Selection!$M$2,R77)))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R82 R77:R80</xm:sqref>
        </x14:conditionalFormatting>
        <x14:conditionalFormatting xmlns:xm="http://schemas.microsoft.com/office/excel/2006/main">
          <x14:cfRule type="containsText" priority="28" operator="containsText" id="{14C1ACA9-6AFB-4A17-8A61-3FE8E93450C6}">
            <xm:f>NOT(ISERROR(SEARCH(Selection!$M$5,R77)))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R82 R77:R80</xm:sqref>
        </x14:conditionalFormatting>
        <x14:conditionalFormatting xmlns:xm="http://schemas.microsoft.com/office/excel/2006/main">
          <x14:cfRule type="containsText" priority="23" operator="containsText" id="{196A155C-C2C9-4815-AFBF-A59ED47EE6E9}">
            <xm:f>NOT(ISERROR(SEARCH(Selection!$M$5,R81)))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R81</xm:sqref>
        </x14:conditionalFormatting>
        <x14:conditionalFormatting xmlns:xm="http://schemas.microsoft.com/office/excel/2006/main">
          <x14:cfRule type="containsText" priority="24" operator="containsText" id="{06CE8E30-0063-43EB-A8B4-0E8529E3F2AE}">
            <xm:f>NOT(ISERROR(SEARCH(Selection!$M$4,R81)))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77F05DEE-601F-40C9-AF80-3D6D31D8FAE8}">
            <xm:f>NOT(ISERROR(SEARCH(Selection!$M$3,R81)))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EBD310AC-99F2-458B-9725-05E4044DA734}">
            <xm:f>NOT(ISERROR(SEARCH(Selection!$M$2,R81)))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R81</xm:sqref>
        </x14:conditionalFormatting>
        <x14:conditionalFormatting xmlns:xm="http://schemas.microsoft.com/office/excel/2006/main">
          <x14:cfRule type="dataBar" id="{61C0EC1C-2206-44D9-982C-766B293F8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T86:V91</xm:sqref>
        </x14:conditionalFormatting>
        <x14:conditionalFormatting xmlns:xm="http://schemas.microsoft.com/office/excel/2006/main">
          <x14:cfRule type="containsText" priority="18" operator="containsText" id="{03AA1A8D-800B-411C-BF58-0721B9BA460B}">
            <xm:f>NOT(ISERROR(SEARCH(Selection!$M$4,R86)))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" operator="containsText" id="{8BAA6DC7-E48F-4B57-BC61-12F7A259648B}">
            <xm:f>NOT(ISERROR(SEARCH(Selection!$M$3,R86)))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554BAB35-7000-47BD-9472-DF3C9D66C3D6}">
            <xm:f>NOT(ISERROR(SEARCH(Selection!$M$2,R86)))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R91 R86:R89</xm:sqref>
        </x14:conditionalFormatting>
        <x14:conditionalFormatting xmlns:xm="http://schemas.microsoft.com/office/excel/2006/main">
          <x14:cfRule type="containsText" priority="17" operator="containsText" id="{91E26CFE-2059-4FD5-B8A3-632291A7F1E6}">
            <xm:f>NOT(ISERROR(SEARCH(Selection!$M$5,R86)))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R91 R86:R89</xm:sqref>
        </x14:conditionalFormatting>
        <x14:conditionalFormatting xmlns:xm="http://schemas.microsoft.com/office/excel/2006/main">
          <x14:cfRule type="containsText" priority="12" operator="containsText" id="{3FB5373C-D2AC-4AB0-AED1-8A803300DADB}">
            <xm:f>NOT(ISERROR(SEARCH(Selection!$M$5,R90)))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R90</xm:sqref>
        </x14:conditionalFormatting>
        <x14:conditionalFormatting xmlns:xm="http://schemas.microsoft.com/office/excel/2006/main">
          <x14:cfRule type="containsText" priority="13" operator="containsText" id="{2504CFFB-62F7-4E5F-8613-12A87179C87A}">
            <xm:f>NOT(ISERROR(SEARCH(Selection!$M$4,R90)))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operator="containsText" id="{AE5ECADF-EF1C-4C53-8AF1-BF9DF7B0FE3C}">
            <xm:f>NOT(ISERROR(SEARCH(Selection!$M$3,R90)))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" operator="containsText" id="{BE61B044-7B65-469C-945C-D954DA7EDF7A}">
            <xm:f>NOT(ISERROR(SEARCH(Selection!$M$2,R90)))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R90</xm:sqref>
        </x14:conditionalFormatting>
        <x14:conditionalFormatting xmlns:xm="http://schemas.microsoft.com/office/excel/2006/main">
          <x14:cfRule type="dataBar" id="{AF1E0291-69EF-4C0A-A294-468BB5BEE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T99:V104</xm:sqref>
        </x14:conditionalFormatting>
        <x14:conditionalFormatting xmlns:xm="http://schemas.microsoft.com/office/excel/2006/main">
          <x14:cfRule type="containsText" priority="7" operator="containsText" id="{F5DB7073-BE7D-4330-935A-1D142E532B52}">
            <xm:f>NOT(ISERROR(SEARCH(Selection!$M$4,R99)))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" operator="containsText" id="{70D7CE97-8A5D-4E7E-8177-05DE78F3CF52}">
            <xm:f>NOT(ISERROR(SEARCH(Selection!$M$3,R99)))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" operator="containsText" id="{92266212-EAD0-4CE7-8FE5-30E4D399B873}">
            <xm:f>NOT(ISERROR(SEARCH(Selection!$M$2,R99)))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R104 R99:R102</xm:sqref>
        </x14:conditionalFormatting>
        <x14:conditionalFormatting xmlns:xm="http://schemas.microsoft.com/office/excel/2006/main">
          <x14:cfRule type="containsText" priority="6" operator="containsText" id="{8018BD31-9E82-4F56-8A7B-0BF848177568}">
            <xm:f>NOT(ISERROR(SEARCH(Selection!$M$5,R99)))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R104 R99:R102</xm:sqref>
        </x14:conditionalFormatting>
        <x14:conditionalFormatting xmlns:xm="http://schemas.microsoft.com/office/excel/2006/main">
          <x14:cfRule type="containsText" priority="1" operator="containsText" id="{3F9AF663-FE8D-47EA-B419-751B4BDD8EF0}">
            <xm:f>NOT(ISERROR(SEARCH(Selection!$M$5,R103)))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R103</xm:sqref>
        </x14:conditionalFormatting>
        <x14:conditionalFormatting xmlns:xm="http://schemas.microsoft.com/office/excel/2006/main">
          <x14:cfRule type="containsText" priority="2" operator="containsText" id="{4786BD5D-510E-4984-B227-C5D2BF2E1E4A}">
            <xm:f>NOT(ISERROR(SEARCH(Selection!$M$4,R103)))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911B403B-FD41-4E35-BFD4-7E8521AAFE1F}">
            <xm:f>NOT(ISERROR(SEARCH(Selection!$M$3,R103)))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76A66F1D-DBB3-4F13-BA5A-14500F5BD510}">
            <xm:f>NOT(ISERROR(SEARCH(Selection!$M$2,R103)))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882485-0BB9-49BB-82C5-D2C218BB9906}">
          <x14:formula1>
            <xm:f>Selection!$E$2:$E$10</xm:f>
          </x14:formula1>
          <xm:sqref>P34:P36 P40:P42 P77:P82 P86:P91 P99:P104</xm:sqref>
        </x14:dataValidation>
        <x14:dataValidation type="list" allowBlank="1" showInputMessage="1" showErrorMessage="1" xr:uid="{94382854-B18E-422B-B733-699F4FCE6161}">
          <x14:formula1>
            <xm:f>Selection!$M$2:$M$5</xm:f>
          </x14:formula1>
          <xm:sqref>R34:R36 R40:R42 R77:R82 R86:R91 R99:R104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sheetPr>
    <tabColor theme="5" tint="0.39997558519241921"/>
  </sheetPr>
  <dimension ref="A1:Q50"/>
  <sheetViews>
    <sheetView topLeftCell="A13" zoomScale="115" zoomScaleNormal="115" workbookViewId="0">
      <selection activeCell="J40" sqref="J40:X53"/>
    </sheetView>
  </sheetViews>
  <sheetFormatPr defaultRowHeight="14.4" x14ac:dyDescent="0.3"/>
  <cols>
    <col min="1" max="1" width="14.109375" customWidth="1"/>
    <col min="2" max="2" width="12.33203125" style="1" bestFit="1" customWidth="1"/>
    <col min="3" max="3" width="24.77734375" style="1" bestFit="1" customWidth="1"/>
    <col min="4" max="4" width="7.77734375" style="1" bestFit="1" customWidth="1"/>
    <col min="5" max="5" width="10.44140625" style="1" bestFit="1" customWidth="1"/>
    <col min="6" max="6" width="12.33203125" bestFit="1" customWidth="1"/>
    <col min="7" max="7" width="10.77734375" bestFit="1" customWidth="1"/>
    <col min="8" max="11" width="12.109375" customWidth="1"/>
    <col min="12" max="12" width="9.33203125" bestFit="1" customWidth="1"/>
    <col min="14" max="14" width="14.109375" bestFit="1" customWidth="1"/>
    <col min="15" max="15" width="12" style="1" bestFit="1" customWidth="1"/>
    <col min="16" max="16" width="10.44140625" style="1" bestFit="1" customWidth="1"/>
    <col min="17" max="17" width="8.88671875" style="1"/>
  </cols>
  <sheetData>
    <row r="1" spans="1:17" x14ac:dyDescent="0.3">
      <c r="A1" s="22" t="s">
        <v>85</v>
      </c>
    </row>
    <row r="2" spans="1:17" x14ac:dyDescent="0.3">
      <c r="E2" s="634" t="s">
        <v>693</v>
      </c>
      <c r="F2" s="634" t="s">
        <v>17</v>
      </c>
      <c r="G2" s="634" t="s">
        <v>18</v>
      </c>
      <c r="H2" s="634" t="s">
        <v>19</v>
      </c>
      <c r="I2" s="634"/>
      <c r="J2" s="634"/>
      <c r="K2" s="634"/>
    </row>
    <row r="3" spans="1:17" ht="28.8" x14ac:dyDescent="0.3">
      <c r="B3" s="5" t="s">
        <v>56</v>
      </c>
      <c r="C3" s="24" t="s">
        <v>169</v>
      </c>
      <c r="D3" s="24" t="s">
        <v>168</v>
      </c>
      <c r="E3" s="27" t="s">
        <v>694</v>
      </c>
      <c r="F3" s="27" t="s">
        <v>566</v>
      </c>
      <c r="G3" s="27" t="s">
        <v>567</v>
      </c>
      <c r="H3" s="27" t="s">
        <v>698</v>
      </c>
      <c r="I3" s="690"/>
      <c r="J3" s="690"/>
      <c r="K3" s="690"/>
      <c r="M3" s="31" t="s">
        <v>56</v>
      </c>
      <c r="N3" s="27" t="s">
        <v>566</v>
      </c>
      <c r="O3" s="27" t="s">
        <v>567</v>
      </c>
      <c r="P3" s="27" t="s">
        <v>698</v>
      </c>
      <c r="Q3"/>
    </row>
    <row r="4" spans="1:17" x14ac:dyDescent="0.3">
      <c r="B4" s="28" t="s">
        <v>57</v>
      </c>
      <c r="C4" s="7" t="str">
        <f>'Indv Hosp fcast_2_10'!B5</f>
        <v>Sungai Buloh Hospital</v>
      </c>
      <c r="D4" s="7" t="s">
        <v>10</v>
      </c>
      <c r="F4" s="56">
        <f>'Indv Hosp fcast_2_10'!L8</f>
        <v>124800</v>
      </c>
      <c r="G4" s="56">
        <f t="shared" ref="G4:H15" si="0">F4</f>
        <v>124800</v>
      </c>
      <c r="H4" s="56">
        <f t="shared" si="0"/>
        <v>124800</v>
      </c>
      <c r="I4" s="56"/>
      <c r="J4" s="56"/>
      <c r="K4" s="56"/>
      <c r="M4" s="8" t="s">
        <v>57</v>
      </c>
      <c r="N4" s="53">
        <f>SUM(F4:F6)</f>
        <v>240000</v>
      </c>
      <c r="O4" s="53">
        <f>SUM(G4:G6)</f>
        <v>240000</v>
      </c>
      <c r="P4" s="53">
        <f>SUM(H4:H6)</f>
        <v>240000</v>
      </c>
      <c r="Q4"/>
    </row>
    <row r="5" spans="1:17" x14ac:dyDescent="0.3">
      <c r="B5" s="11" t="s">
        <v>57</v>
      </c>
      <c r="C5" s="8" t="str">
        <f>'Indv Hosp fcast_2_10'!B10</f>
        <v>Hospital Selayang</v>
      </c>
      <c r="D5" s="8" t="s">
        <v>10</v>
      </c>
      <c r="F5" s="56">
        <f>'Indv Hosp fcast_2_10'!L11</f>
        <v>57600</v>
      </c>
      <c r="G5" s="56">
        <f t="shared" si="0"/>
        <v>57600</v>
      </c>
      <c r="H5" s="56">
        <f t="shared" si="0"/>
        <v>57600</v>
      </c>
      <c r="I5" s="56"/>
      <c r="J5" s="56"/>
      <c r="K5" s="56"/>
      <c r="M5" s="8" t="s">
        <v>60</v>
      </c>
      <c r="N5" s="53">
        <f>SUM(F7:F9)</f>
        <v>76800</v>
      </c>
      <c r="O5" s="53">
        <f>SUM(G7:G9)</f>
        <v>76800</v>
      </c>
      <c r="P5" s="53">
        <f>SUM(H7:H9)</f>
        <v>76800</v>
      </c>
      <c r="Q5"/>
    </row>
    <row r="6" spans="1:17" x14ac:dyDescent="0.3">
      <c r="B6" s="29" t="s">
        <v>57</v>
      </c>
      <c r="C6" s="10" t="str">
        <f>'Indv Hosp fcast_2_10'!B13</f>
        <v>Hospital Ampang</v>
      </c>
      <c r="D6" s="10" t="s">
        <v>11</v>
      </c>
      <c r="F6" s="57">
        <f>'Indv Hosp fcast_2_10'!L14</f>
        <v>57600</v>
      </c>
      <c r="G6" s="57">
        <f t="shared" si="0"/>
        <v>57600</v>
      </c>
      <c r="H6" s="57">
        <f t="shared" si="0"/>
        <v>57600</v>
      </c>
      <c r="I6" s="56"/>
      <c r="J6" s="56"/>
      <c r="K6" s="56"/>
      <c r="M6" s="8" t="s">
        <v>59</v>
      </c>
      <c r="N6" s="53">
        <f>SUM(F10:F12)</f>
        <v>57600</v>
      </c>
      <c r="O6" s="53">
        <f>SUM(G10:G12)</f>
        <v>57600</v>
      </c>
      <c r="P6" s="53">
        <f>SUM(H10:H12)</f>
        <v>57600</v>
      </c>
      <c r="Q6"/>
    </row>
    <row r="7" spans="1:17" x14ac:dyDescent="0.3">
      <c r="B7" s="11" t="s">
        <v>60</v>
      </c>
      <c r="C7" s="8" t="str">
        <f>'Indv Hosp fcast_2_10'!B16</f>
        <v xml:space="preserve">Sultan Aminah Hospital </v>
      </c>
      <c r="D7" s="8" t="s">
        <v>10</v>
      </c>
      <c r="F7" s="56">
        <f>'Indv Hosp fcast_2_10'!L17</f>
        <v>28800</v>
      </c>
      <c r="G7" s="56">
        <f t="shared" si="0"/>
        <v>28800</v>
      </c>
      <c r="H7" s="56">
        <f t="shared" si="0"/>
        <v>28800</v>
      </c>
      <c r="I7" s="56"/>
      <c r="J7" s="56"/>
      <c r="K7" s="56"/>
      <c r="M7" s="8" t="s">
        <v>65</v>
      </c>
      <c r="N7" s="53">
        <f>SUM(F13:F15)</f>
        <v>33600</v>
      </c>
      <c r="O7" s="53">
        <f>SUM(G13:G15)</f>
        <v>33600</v>
      </c>
      <c r="P7" s="53">
        <f>SUM(H13:H15)</f>
        <v>33600</v>
      </c>
      <c r="Q7"/>
    </row>
    <row r="8" spans="1:17" ht="15" thickBot="1" x14ac:dyDescent="0.35">
      <c r="B8" s="11" t="s">
        <v>60</v>
      </c>
      <c r="C8" s="8" t="str">
        <f>'Indv Hosp fcast_2_10'!B19</f>
        <v>Sultan Ismail Hospital</v>
      </c>
      <c r="D8" s="8" t="s">
        <v>11</v>
      </c>
      <c r="F8" s="56">
        <f>'Indv Hosp fcast_2_10'!L20</f>
        <v>19200</v>
      </c>
      <c r="G8" s="56">
        <f t="shared" si="0"/>
        <v>19200</v>
      </c>
      <c r="H8" s="56">
        <f t="shared" si="0"/>
        <v>19200</v>
      </c>
      <c r="I8" s="56"/>
      <c r="J8" s="56"/>
      <c r="K8" s="56"/>
      <c r="M8" s="30" t="s">
        <v>66</v>
      </c>
      <c r="N8" s="54">
        <f>SUM(N4:N7)</f>
        <v>408000</v>
      </c>
      <c r="O8" s="54">
        <f>SUM(O4:O7)</f>
        <v>408000</v>
      </c>
      <c r="P8" s="54">
        <f>SUM(P4:P7)</f>
        <v>408000</v>
      </c>
      <c r="Q8"/>
    </row>
    <row r="9" spans="1:17" ht="15" thickTop="1" x14ac:dyDescent="0.3">
      <c r="B9" s="29" t="s">
        <v>218</v>
      </c>
      <c r="C9" s="10" t="str">
        <f>'Indv Hosp fcast_2_10'!B22</f>
        <v>Hospital Melaka</v>
      </c>
      <c r="D9" s="10" t="s">
        <v>12</v>
      </c>
      <c r="F9" s="57">
        <f>'Indv Hosp fcast_2_10'!L23</f>
        <v>28800</v>
      </c>
      <c r="G9" s="57">
        <f t="shared" si="0"/>
        <v>28800</v>
      </c>
      <c r="H9" s="57">
        <f t="shared" si="0"/>
        <v>28800</v>
      </c>
      <c r="I9" s="56"/>
      <c r="J9" s="56"/>
      <c r="K9" s="56"/>
      <c r="Q9"/>
    </row>
    <row r="10" spans="1:17" x14ac:dyDescent="0.3">
      <c r="B10" s="11" t="s">
        <v>59</v>
      </c>
      <c r="C10" s="8" t="str">
        <f>'Indv Hosp fcast_2_10'!B25</f>
        <v>Penang General Hospital</v>
      </c>
      <c r="D10" s="8" t="s">
        <v>10</v>
      </c>
      <c r="F10" s="56">
        <f>'Indv Hosp fcast_2_10'!L26</f>
        <v>28800</v>
      </c>
      <c r="G10" s="56">
        <f t="shared" si="0"/>
        <v>28800</v>
      </c>
      <c r="H10" s="56">
        <f t="shared" si="0"/>
        <v>28800</v>
      </c>
      <c r="I10" s="56"/>
      <c r="J10" s="56"/>
      <c r="K10" s="56"/>
      <c r="M10" s="11" t="s">
        <v>11</v>
      </c>
      <c r="N10" s="119">
        <f>F6+F8+F11+F14</f>
        <v>105600</v>
      </c>
      <c r="O10" s="229">
        <f>G6+G8+G11+G14</f>
        <v>105600</v>
      </c>
      <c r="P10" s="229">
        <f>O10</f>
        <v>105600</v>
      </c>
      <c r="Q10"/>
    </row>
    <row r="11" spans="1:17" x14ac:dyDescent="0.3">
      <c r="B11" s="11" t="s">
        <v>59</v>
      </c>
      <c r="C11" s="8" t="str">
        <f>'Indv Hosp fcast_2_10'!B28</f>
        <v>Penang Adventist Hospital</v>
      </c>
      <c r="D11" s="8" t="s">
        <v>11</v>
      </c>
      <c r="F11" s="56">
        <f>'Indv Hosp fcast_2_10'!L29</f>
        <v>19200</v>
      </c>
      <c r="G11" s="56">
        <f t="shared" si="0"/>
        <v>19200</v>
      </c>
      <c r="H11" s="56">
        <f t="shared" si="0"/>
        <v>19200</v>
      </c>
      <c r="I11" s="56"/>
      <c r="J11" s="56"/>
      <c r="K11" s="56"/>
      <c r="M11" s="11" t="s">
        <v>12</v>
      </c>
      <c r="N11" s="119">
        <f>F9+F12+F15</f>
        <v>48000</v>
      </c>
      <c r="O11" s="229">
        <f>F9+F12+F15</f>
        <v>48000</v>
      </c>
      <c r="P11" s="229">
        <f>O11</f>
        <v>48000</v>
      </c>
      <c r="Q11"/>
    </row>
    <row r="12" spans="1:17" x14ac:dyDescent="0.3">
      <c r="B12" s="29" t="s">
        <v>59</v>
      </c>
      <c r="C12" s="10" t="str">
        <f>'Indv Hosp fcast_2_10'!B31</f>
        <v>Hospital Balik Pulau</v>
      </c>
      <c r="D12" s="10" t="s">
        <v>12</v>
      </c>
      <c r="F12" s="57">
        <f>'Indv Hosp fcast_2_10'!L32</f>
        <v>9600</v>
      </c>
      <c r="G12" s="57">
        <f t="shared" si="0"/>
        <v>9600</v>
      </c>
      <c r="H12" s="57">
        <f t="shared" si="0"/>
        <v>9600</v>
      </c>
      <c r="I12" s="56"/>
      <c r="J12" s="56"/>
      <c r="K12" s="56"/>
      <c r="M12" s="11" t="s">
        <v>715</v>
      </c>
      <c r="N12" s="119">
        <f>N11+F16</f>
        <v>48000</v>
      </c>
      <c r="O12" s="229">
        <f>O11+G16</f>
        <v>1090000</v>
      </c>
      <c r="P12" s="229">
        <f>P11+H16</f>
        <v>1150000</v>
      </c>
      <c r="Q12"/>
    </row>
    <row r="13" spans="1:17" x14ac:dyDescent="0.3">
      <c r="B13" s="11" t="s">
        <v>65</v>
      </c>
      <c r="C13" s="8" t="str">
        <f>'Indv Hosp fcast_2_10'!B34</f>
        <v xml:space="preserve">Sultanah Bahiyah Hospital </v>
      </c>
      <c r="D13" s="8" t="s">
        <v>10</v>
      </c>
      <c r="F13" s="58">
        <f>'Indv Hosp fcast_2_10'!L35</f>
        <v>14400</v>
      </c>
      <c r="G13" s="58">
        <f t="shared" si="0"/>
        <v>14400</v>
      </c>
      <c r="H13" s="58">
        <f t="shared" si="0"/>
        <v>14400</v>
      </c>
      <c r="I13" s="58"/>
      <c r="J13" s="58"/>
      <c r="K13" s="58"/>
      <c r="M13" s="11" t="s">
        <v>717</v>
      </c>
      <c r="N13" s="689">
        <f>N12/(N10+N12)</f>
        <v>0.3125</v>
      </c>
      <c r="O13" s="689">
        <f>O12/O10/100</f>
        <v>0.10321969696969698</v>
      </c>
      <c r="Q13"/>
    </row>
    <row r="14" spans="1:17" x14ac:dyDescent="0.3">
      <c r="B14" s="11" t="s">
        <v>65</v>
      </c>
      <c r="C14" s="8" t="str">
        <f>'Indv Hosp fcast_2_10'!B37</f>
        <v xml:space="preserve">Sultan Abdul Halim Hospital </v>
      </c>
      <c r="D14" s="8" t="s">
        <v>11</v>
      </c>
      <c r="F14" s="58">
        <f>'Indv Hosp fcast_2_10'!L38</f>
        <v>9600</v>
      </c>
      <c r="G14" s="58">
        <f t="shared" si="0"/>
        <v>9600</v>
      </c>
      <c r="H14" s="58">
        <f t="shared" si="0"/>
        <v>9600</v>
      </c>
      <c r="I14" s="58"/>
      <c r="J14" s="58"/>
      <c r="K14" s="58"/>
      <c r="M14" s="1"/>
      <c r="N14" s="229"/>
      <c r="Q14"/>
    </row>
    <row r="15" spans="1:17" x14ac:dyDescent="0.3">
      <c r="B15" s="11" t="s">
        <v>65</v>
      </c>
      <c r="C15" s="8" t="str">
        <f>'Indv Hosp fcast_2_10'!B40</f>
        <v xml:space="preserve">Jitra Hospital </v>
      </c>
      <c r="D15" s="8" t="s">
        <v>12</v>
      </c>
      <c r="F15" s="56">
        <f>'Indv Hosp fcast_2_10'!L41</f>
        <v>9600</v>
      </c>
      <c r="G15" s="56">
        <f t="shared" si="0"/>
        <v>9600</v>
      </c>
      <c r="H15" s="56">
        <f t="shared" si="0"/>
        <v>9600</v>
      </c>
      <c r="I15" s="56"/>
      <c r="J15" s="56"/>
      <c r="K15" s="56"/>
      <c r="M15" s="634" t="s">
        <v>716</v>
      </c>
      <c r="N15" s="229">
        <f>F18-'MOH_Sourcing plan_1_4_9a'!F42</f>
        <v>68000</v>
      </c>
      <c r="O15" s="229">
        <f>G18-'MOH_Sourcing plan_1_4_9a'!G42</f>
        <v>70000</v>
      </c>
      <c r="P15" s="229">
        <f>H18-'MOH_Sourcing plan_1_4_9a'!H42</f>
        <v>0</v>
      </c>
      <c r="Q15"/>
    </row>
    <row r="16" spans="1:17" x14ac:dyDescent="0.3">
      <c r="B16" s="11"/>
      <c r="C16" s="8" t="s">
        <v>701</v>
      </c>
      <c r="D16" s="8" t="s">
        <v>12</v>
      </c>
      <c r="E16" s="634"/>
      <c r="F16" s="56">
        <v>0</v>
      </c>
      <c r="G16" s="56">
        <f>'Indv Hosp fcast_2_10'!G45</f>
        <v>1042000</v>
      </c>
      <c r="H16" s="56">
        <f>'Indv Hosp fcast_2_10'!H45</f>
        <v>1102000</v>
      </c>
      <c r="I16" s="56"/>
      <c r="J16" s="56"/>
      <c r="K16" s="56"/>
      <c r="L16" s="119"/>
      <c r="M16" s="19" t="s">
        <v>11</v>
      </c>
      <c r="N16" s="119">
        <f>(1-N13)*N15</f>
        <v>46750</v>
      </c>
      <c r="O16" s="119">
        <f>(1-O13)*O15</f>
        <v>62774.621212121208</v>
      </c>
      <c r="P16" s="634"/>
      <c r="Q16"/>
    </row>
    <row r="17" spans="1:17" x14ac:dyDescent="0.3">
      <c r="C17" s="1" t="s">
        <v>713</v>
      </c>
      <c r="F17" s="119">
        <f>SUM(F4:F15)</f>
        <v>408000</v>
      </c>
      <c r="G17" s="119">
        <f t="shared" ref="G17:H17" si="1">SUM(G4:G15)</f>
        <v>408000</v>
      </c>
      <c r="H17" s="119">
        <f t="shared" si="1"/>
        <v>408000</v>
      </c>
      <c r="I17" s="119"/>
      <c r="J17" s="119"/>
      <c r="K17" s="119"/>
      <c r="L17" s="119"/>
      <c r="M17" s="688" t="s">
        <v>12</v>
      </c>
      <c r="N17" s="119">
        <f>N13*N15</f>
        <v>21250</v>
      </c>
      <c r="O17" s="119">
        <f>O13*O15</f>
        <v>7225.378787878788</v>
      </c>
      <c r="Q17"/>
    </row>
    <row r="18" spans="1:17" ht="15" thickBot="1" x14ac:dyDescent="0.35">
      <c r="B18" s="23"/>
      <c r="C18" s="1" t="s">
        <v>714</v>
      </c>
      <c r="E18"/>
      <c r="F18" s="677">
        <f>F17+F16</f>
        <v>408000</v>
      </c>
      <c r="G18" s="677">
        <f>G17+G16</f>
        <v>1450000</v>
      </c>
      <c r="H18" s="677">
        <f>H17+H16</f>
        <v>1510000</v>
      </c>
      <c r="I18" s="691"/>
      <c r="J18" s="691"/>
      <c r="K18" s="691"/>
      <c r="N18" s="119"/>
      <c r="O18" s="229"/>
      <c r="Q18"/>
    </row>
    <row r="19" spans="1:17" ht="15" thickTop="1" x14ac:dyDescent="0.3">
      <c r="A19" s="26" t="s">
        <v>174</v>
      </c>
      <c r="B19" s="23"/>
      <c r="E19"/>
      <c r="I19">
        <v>4875</v>
      </c>
      <c r="J19" s="20" t="s">
        <v>150</v>
      </c>
      <c r="M19">
        <v>2</v>
      </c>
      <c r="N19" s="73" t="s">
        <v>818</v>
      </c>
      <c r="Q19"/>
    </row>
    <row r="20" spans="1:17" ht="43.2" x14ac:dyDescent="0.3">
      <c r="B20" s="5" t="s">
        <v>56</v>
      </c>
      <c r="C20" s="24" t="s">
        <v>169</v>
      </c>
      <c r="D20" s="24" t="s">
        <v>168</v>
      </c>
      <c r="F20" s="27" t="s">
        <v>695</v>
      </c>
      <c r="G20" s="27" t="s">
        <v>696</v>
      </c>
      <c r="H20" s="27" t="s">
        <v>697</v>
      </c>
      <c r="I20" s="690"/>
      <c r="J20" s="27" t="s">
        <v>695</v>
      </c>
      <c r="K20" s="27" t="s">
        <v>696</v>
      </c>
      <c r="L20" s="27" t="s">
        <v>697</v>
      </c>
      <c r="N20" s="27" t="s">
        <v>695</v>
      </c>
      <c r="O20" s="27" t="s">
        <v>696</v>
      </c>
      <c r="P20" s="27" t="s">
        <v>697</v>
      </c>
      <c r="Q20"/>
    </row>
    <row r="21" spans="1:17" x14ac:dyDescent="0.3">
      <c r="A21" t="s">
        <v>596</v>
      </c>
      <c r="B21" s="28" t="s">
        <v>57</v>
      </c>
      <c r="C21" s="7" t="s">
        <v>224</v>
      </c>
      <c r="D21" s="7" t="s">
        <v>10</v>
      </c>
      <c r="F21" s="56">
        <f t="shared" ref="F21:H22" si="2">F4</f>
        <v>124800</v>
      </c>
      <c r="G21" s="56">
        <f t="shared" si="2"/>
        <v>124800</v>
      </c>
      <c r="H21" s="56">
        <f t="shared" si="2"/>
        <v>124800</v>
      </c>
      <c r="I21" s="56"/>
      <c r="J21" s="56">
        <f>F21/$I$19</f>
        <v>25.6</v>
      </c>
      <c r="K21" s="56">
        <f t="shared" ref="K21:L21" si="3">G21/$I$19</f>
        <v>25.6</v>
      </c>
      <c r="L21" s="56">
        <f t="shared" si="3"/>
        <v>25.6</v>
      </c>
      <c r="M21" s="666"/>
      <c r="N21" s="56">
        <f>J21/$M$19</f>
        <v>12.8</v>
      </c>
      <c r="O21" s="56">
        <f t="shared" ref="O21:P21" si="4">K21/$M$19</f>
        <v>12.8</v>
      </c>
      <c r="P21" s="56">
        <f t="shared" si="4"/>
        <v>12.8</v>
      </c>
      <c r="Q21"/>
    </row>
    <row r="22" spans="1:17" x14ac:dyDescent="0.3">
      <c r="B22" s="11" t="s">
        <v>57</v>
      </c>
      <c r="C22" s="8" t="s">
        <v>225</v>
      </c>
      <c r="D22" s="8" t="s">
        <v>10</v>
      </c>
      <c r="F22" s="56">
        <f t="shared" si="2"/>
        <v>57600</v>
      </c>
      <c r="G22" s="56">
        <f t="shared" si="2"/>
        <v>57600</v>
      </c>
      <c r="H22" s="56">
        <f t="shared" si="2"/>
        <v>57600</v>
      </c>
      <c r="I22" s="56"/>
      <c r="J22" s="56">
        <f t="shared" ref="J22:J32" si="5">F22/$I$19</f>
        <v>11.815384615384616</v>
      </c>
      <c r="K22" s="56">
        <f t="shared" ref="K22:K32" si="6">G22/$I$19</f>
        <v>11.815384615384616</v>
      </c>
      <c r="L22" s="56">
        <f t="shared" ref="L22:L32" si="7">H22/$I$19</f>
        <v>11.815384615384616</v>
      </c>
      <c r="N22" s="56">
        <f t="shared" ref="N22:N33" si="8">J22/$M$19</f>
        <v>5.907692307692308</v>
      </c>
      <c r="O22" s="56">
        <f t="shared" ref="O22:O33" si="9">K22/$M$19</f>
        <v>5.907692307692308</v>
      </c>
      <c r="P22" s="56">
        <f t="shared" ref="P22:P33" si="10">L22/$M$19</f>
        <v>5.907692307692308</v>
      </c>
      <c r="Q22"/>
    </row>
    <row r="23" spans="1:17" x14ac:dyDescent="0.3">
      <c r="B23" s="29" t="s">
        <v>57</v>
      </c>
      <c r="C23" s="10" t="s">
        <v>223</v>
      </c>
      <c r="D23" s="10" t="s">
        <v>11</v>
      </c>
      <c r="F23" s="151">
        <f>F6-(F6/$N$10)*$N$16</f>
        <v>32100.000000000004</v>
      </c>
      <c r="G23" s="151">
        <f>G6-(G6/$O$10)*$O$16</f>
        <v>23359.297520661159</v>
      </c>
      <c r="H23" s="151">
        <f t="shared" ref="H23:H32" si="11">H6</f>
        <v>57600</v>
      </c>
      <c r="I23" s="151"/>
      <c r="J23" s="56">
        <f t="shared" si="5"/>
        <v>6.5846153846153852</v>
      </c>
      <c r="K23" s="56">
        <f t="shared" si="6"/>
        <v>4.7916507734689553</v>
      </c>
      <c r="L23" s="56">
        <f t="shared" si="7"/>
        <v>11.815384615384616</v>
      </c>
      <c r="M23" s="32"/>
      <c r="N23" s="56">
        <f t="shared" si="8"/>
        <v>3.2923076923076926</v>
      </c>
      <c r="O23" s="56">
        <f t="shared" si="9"/>
        <v>2.3958253867344776</v>
      </c>
      <c r="P23" s="56">
        <f t="shared" si="10"/>
        <v>5.907692307692308</v>
      </c>
      <c r="Q23"/>
    </row>
    <row r="24" spans="1:17" x14ac:dyDescent="0.3">
      <c r="B24" s="11" t="s">
        <v>60</v>
      </c>
      <c r="C24" s="8" t="s">
        <v>226</v>
      </c>
      <c r="D24" s="8" t="s">
        <v>10</v>
      </c>
      <c r="F24" s="151">
        <f>F7</f>
        <v>28800</v>
      </c>
      <c r="G24" s="151">
        <f>G7</f>
        <v>28800</v>
      </c>
      <c r="H24" s="151">
        <f t="shared" si="11"/>
        <v>28800</v>
      </c>
      <c r="I24" s="151"/>
      <c r="J24" s="56">
        <f t="shared" si="5"/>
        <v>5.907692307692308</v>
      </c>
      <c r="K24" s="56">
        <f t="shared" si="6"/>
        <v>5.907692307692308</v>
      </c>
      <c r="L24" s="56">
        <f t="shared" si="7"/>
        <v>5.907692307692308</v>
      </c>
      <c r="N24" s="56">
        <f t="shared" si="8"/>
        <v>2.953846153846154</v>
      </c>
      <c r="O24" s="56">
        <f t="shared" si="9"/>
        <v>2.953846153846154</v>
      </c>
      <c r="P24" s="56">
        <f t="shared" si="10"/>
        <v>2.953846153846154</v>
      </c>
      <c r="Q24"/>
    </row>
    <row r="25" spans="1:17" x14ac:dyDescent="0.3">
      <c r="B25" s="11" t="s">
        <v>60</v>
      </c>
      <c r="C25" s="8" t="s">
        <v>227</v>
      </c>
      <c r="D25" s="8" t="s">
        <v>11</v>
      </c>
      <c r="F25" s="151">
        <f>F8-(F8/$N$10)*$N$16</f>
        <v>10700</v>
      </c>
      <c r="G25" s="151">
        <f>G8-(G8/$O$10)*$O$16</f>
        <v>7786.432506887053</v>
      </c>
      <c r="H25" s="151">
        <f t="shared" si="11"/>
        <v>19200</v>
      </c>
      <c r="I25" s="151"/>
      <c r="J25" s="56">
        <f t="shared" si="5"/>
        <v>2.1948717948717951</v>
      </c>
      <c r="K25" s="56">
        <f t="shared" si="6"/>
        <v>1.5972169244896519</v>
      </c>
      <c r="L25" s="56">
        <f t="shared" si="7"/>
        <v>3.9384615384615387</v>
      </c>
      <c r="M25" s="119"/>
      <c r="N25" s="56">
        <f t="shared" si="8"/>
        <v>1.0974358974358975</v>
      </c>
      <c r="O25" s="56">
        <f t="shared" si="9"/>
        <v>0.79860846224482596</v>
      </c>
      <c r="P25" s="56">
        <f t="shared" si="10"/>
        <v>1.9692307692307693</v>
      </c>
      <c r="Q25"/>
    </row>
    <row r="26" spans="1:17" x14ac:dyDescent="0.3">
      <c r="B26" s="29" t="s">
        <v>218</v>
      </c>
      <c r="C26" s="10" t="s">
        <v>232</v>
      </c>
      <c r="D26" s="10" t="s">
        <v>12</v>
      </c>
      <c r="F26" s="151">
        <f>F9-(F9/$N$12)*$N$17</f>
        <v>16050</v>
      </c>
      <c r="G26" s="151">
        <f>G9-(G9/$O$12)*$O$17</f>
        <v>28609.090909090908</v>
      </c>
      <c r="H26" s="151">
        <f t="shared" si="11"/>
        <v>28800</v>
      </c>
      <c r="I26" s="151"/>
      <c r="J26" s="56">
        <f t="shared" si="5"/>
        <v>3.2923076923076922</v>
      </c>
      <c r="K26" s="56">
        <f t="shared" si="6"/>
        <v>5.8685314685314687</v>
      </c>
      <c r="L26" s="56">
        <f t="shared" si="7"/>
        <v>5.907692307692308</v>
      </c>
      <c r="M26" s="119"/>
      <c r="N26" s="56">
        <f t="shared" si="8"/>
        <v>1.6461538461538461</v>
      </c>
      <c r="O26" s="56">
        <f t="shared" si="9"/>
        <v>2.9342657342657343</v>
      </c>
      <c r="P26" s="56">
        <f t="shared" si="10"/>
        <v>2.953846153846154</v>
      </c>
      <c r="Q26"/>
    </row>
    <row r="27" spans="1:17" x14ac:dyDescent="0.3">
      <c r="B27" s="11" t="s">
        <v>59</v>
      </c>
      <c r="C27" s="8" t="s">
        <v>337</v>
      </c>
      <c r="D27" s="8" t="s">
        <v>10</v>
      </c>
      <c r="F27" s="151">
        <f>F10</f>
        <v>28800</v>
      </c>
      <c r="G27" s="151">
        <f>G10</f>
        <v>28800</v>
      </c>
      <c r="H27" s="151">
        <f t="shared" si="11"/>
        <v>28800</v>
      </c>
      <c r="I27" s="151"/>
      <c r="J27" s="56">
        <f t="shared" si="5"/>
        <v>5.907692307692308</v>
      </c>
      <c r="K27" s="56">
        <f t="shared" si="6"/>
        <v>5.907692307692308</v>
      </c>
      <c r="L27" s="56">
        <f t="shared" si="7"/>
        <v>5.907692307692308</v>
      </c>
      <c r="M27" s="128"/>
      <c r="N27" s="56">
        <f t="shared" si="8"/>
        <v>2.953846153846154</v>
      </c>
      <c r="O27" s="56">
        <f t="shared" si="9"/>
        <v>2.953846153846154</v>
      </c>
      <c r="P27" s="56">
        <f t="shared" si="10"/>
        <v>2.953846153846154</v>
      </c>
      <c r="Q27"/>
    </row>
    <row r="28" spans="1:17" x14ac:dyDescent="0.3">
      <c r="B28" s="11" t="s">
        <v>59</v>
      </c>
      <c r="C28" s="8" t="s">
        <v>233</v>
      </c>
      <c r="D28" s="8" t="s">
        <v>11</v>
      </c>
      <c r="F28" s="151">
        <f>F11-(F11/$N$10)*$N$16</f>
        <v>10700</v>
      </c>
      <c r="G28" s="151">
        <f>G11-(G11/$O$10)*$O$16</f>
        <v>7786.432506887053</v>
      </c>
      <c r="H28" s="151">
        <f t="shared" si="11"/>
        <v>19200</v>
      </c>
      <c r="I28" s="151"/>
      <c r="J28" s="56">
        <f t="shared" si="5"/>
        <v>2.1948717948717951</v>
      </c>
      <c r="K28" s="56">
        <f t="shared" si="6"/>
        <v>1.5972169244896519</v>
      </c>
      <c r="L28" s="56">
        <f t="shared" si="7"/>
        <v>3.9384615384615387</v>
      </c>
      <c r="N28" s="56">
        <f t="shared" si="8"/>
        <v>1.0974358974358975</v>
      </c>
      <c r="O28" s="56">
        <f t="shared" si="9"/>
        <v>0.79860846224482596</v>
      </c>
      <c r="P28" s="56">
        <f t="shared" si="10"/>
        <v>1.9692307692307693</v>
      </c>
    </row>
    <row r="29" spans="1:17" x14ac:dyDescent="0.3">
      <c r="B29" s="29" t="s">
        <v>59</v>
      </c>
      <c r="C29" s="29" t="s">
        <v>228</v>
      </c>
      <c r="D29" s="10" t="s">
        <v>12</v>
      </c>
      <c r="F29" s="151">
        <f>F12-(F12/$N$12)*$N$17</f>
        <v>5350</v>
      </c>
      <c r="G29" s="151">
        <f>G12-(G12/$O$12)*$O$17</f>
        <v>9536.363636363636</v>
      </c>
      <c r="H29" s="151">
        <f t="shared" si="11"/>
        <v>9600</v>
      </c>
      <c r="I29" s="151"/>
      <c r="J29" s="56">
        <f t="shared" si="5"/>
        <v>1.0974358974358975</v>
      </c>
      <c r="K29" s="56">
        <f t="shared" si="6"/>
        <v>1.9561771561771562</v>
      </c>
      <c r="L29" s="56">
        <f t="shared" si="7"/>
        <v>1.9692307692307693</v>
      </c>
      <c r="N29" s="56">
        <f t="shared" si="8"/>
        <v>0.54871794871794877</v>
      </c>
      <c r="O29" s="56">
        <f t="shared" si="9"/>
        <v>0.97808857808857808</v>
      </c>
      <c r="P29" s="56">
        <f t="shared" si="10"/>
        <v>0.98461538461538467</v>
      </c>
    </row>
    <row r="30" spans="1:17" x14ac:dyDescent="0.3">
      <c r="B30" s="11" t="s">
        <v>65</v>
      </c>
      <c r="C30" s="8" t="s">
        <v>229</v>
      </c>
      <c r="D30" s="8" t="s">
        <v>10</v>
      </c>
      <c r="F30" s="151">
        <f>F13</f>
        <v>14400</v>
      </c>
      <c r="G30" s="151">
        <f>G13</f>
        <v>14400</v>
      </c>
      <c r="H30" s="151">
        <f t="shared" si="11"/>
        <v>14400</v>
      </c>
      <c r="I30" s="151"/>
      <c r="J30" s="56">
        <f t="shared" si="5"/>
        <v>2.953846153846154</v>
      </c>
      <c r="K30" s="56">
        <f t="shared" si="6"/>
        <v>2.953846153846154</v>
      </c>
      <c r="L30" s="56">
        <f t="shared" si="7"/>
        <v>2.953846153846154</v>
      </c>
      <c r="N30" s="56">
        <f t="shared" si="8"/>
        <v>1.476923076923077</v>
      </c>
      <c r="O30" s="56">
        <f t="shared" si="9"/>
        <v>1.476923076923077</v>
      </c>
      <c r="P30" s="56">
        <f t="shared" si="10"/>
        <v>1.476923076923077</v>
      </c>
    </row>
    <row r="31" spans="1:17" x14ac:dyDescent="0.3">
      <c r="B31" s="11" t="s">
        <v>65</v>
      </c>
      <c r="C31" s="8" t="s">
        <v>230</v>
      </c>
      <c r="D31" s="8" t="s">
        <v>11</v>
      </c>
      <c r="F31" s="151">
        <f>F14-(F14/$N$10)*$N$16</f>
        <v>5350</v>
      </c>
      <c r="G31" s="151">
        <f>G14-(G14/$O$10)*$O$16</f>
        <v>3893.2162534435265</v>
      </c>
      <c r="H31" s="151">
        <f t="shared" si="11"/>
        <v>9600</v>
      </c>
      <c r="I31" s="151"/>
      <c r="J31" s="56">
        <f t="shared" si="5"/>
        <v>1.0974358974358975</v>
      </c>
      <c r="K31" s="56">
        <f t="shared" si="6"/>
        <v>0.79860846224482596</v>
      </c>
      <c r="L31" s="56">
        <f t="shared" si="7"/>
        <v>1.9692307692307693</v>
      </c>
      <c r="N31" s="56">
        <f t="shared" si="8"/>
        <v>0.54871794871794877</v>
      </c>
      <c r="O31" s="56">
        <f t="shared" si="9"/>
        <v>0.39930423112241298</v>
      </c>
      <c r="P31" s="56">
        <f t="shared" si="10"/>
        <v>0.98461538461538467</v>
      </c>
    </row>
    <row r="32" spans="1:17" x14ac:dyDescent="0.3">
      <c r="B32" s="11" t="s">
        <v>65</v>
      </c>
      <c r="C32" s="8" t="s">
        <v>231</v>
      </c>
      <c r="D32" s="8" t="s">
        <v>12</v>
      </c>
      <c r="F32" s="151">
        <f>F15-(F15/$N$12)*$N$17</f>
        <v>5350</v>
      </c>
      <c r="G32" s="151">
        <f>G15-(G15/$O$12)*$O$17</f>
        <v>9536.363636363636</v>
      </c>
      <c r="H32" s="151">
        <f t="shared" si="11"/>
        <v>9600</v>
      </c>
      <c r="I32" s="151"/>
      <c r="J32" s="56">
        <f t="shared" si="5"/>
        <v>1.0974358974358975</v>
      </c>
      <c r="K32" s="56">
        <f t="shared" si="6"/>
        <v>1.9561771561771562</v>
      </c>
      <c r="L32" s="56">
        <f t="shared" si="7"/>
        <v>1.9692307692307693</v>
      </c>
      <c r="M32" s="128"/>
      <c r="N32" s="56">
        <f t="shared" si="8"/>
        <v>0.54871794871794877</v>
      </c>
      <c r="O32" s="56">
        <f t="shared" si="9"/>
        <v>0.97808857808857808</v>
      </c>
      <c r="P32" s="56">
        <f t="shared" si="10"/>
        <v>0.98461538461538467</v>
      </c>
    </row>
    <row r="33" spans="2:17" x14ac:dyDescent="0.3">
      <c r="C33" s="1" t="s">
        <v>713</v>
      </c>
      <c r="D33" s="8" t="s">
        <v>12</v>
      </c>
      <c r="F33" s="119">
        <f>SUM(F21:F32)</f>
        <v>340000</v>
      </c>
      <c r="G33" s="119">
        <f>SUM(G21:G32)</f>
        <v>344907.19696969696</v>
      </c>
      <c r="H33" s="119">
        <f>SUM(H21:H32)</f>
        <v>408000</v>
      </c>
      <c r="I33" s="119"/>
      <c r="J33" s="56">
        <f t="shared" ref="J33" si="12">F33/$I$19</f>
        <v>69.743589743589737</v>
      </c>
      <c r="K33" s="56">
        <f t="shared" ref="K33" si="13">G33/$I$19</f>
        <v>70.750194250194255</v>
      </c>
      <c r="L33" s="56">
        <f t="shared" ref="L33" si="14">H33/$I$19</f>
        <v>83.692307692307693</v>
      </c>
      <c r="N33" s="56">
        <f t="shared" si="8"/>
        <v>34.871794871794869</v>
      </c>
      <c r="O33" s="56">
        <f t="shared" si="9"/>
        <v>35.375097125097128</v>
      </c>
      <c r="P33" s="56">
        <f t="shared" si="10"/>
        <v>41.846153846153847</v>
      </c>
    </row>
    <row r="34" spans="2:17" x14ac:dyDescent="0.3">
      <c r="B34" s="11"/>
      <c r="C34" s="8" t="s">
        <v>701</v>
      </c>
      <c r="D34" s="8"/>
      <c r="E34" s="634"/>
      <c r="F34" s="151">
        <f>F16*(100-O23)/100</f>
        <v>0</v>
      </c>
      <c r="G34" s="151">
        <f>G16-(G16/$O$12)*$O$17</f>
        <v>1035092.803030303</v>
      </c>
      <c r="H34" s="151">
        <f>H16</f>
        <v>1102000</v>
      </c>
      <c r="I34" s="151"/>
      <c r="J34" s="151"/>
      <c r="K34" s="151"/>
      <c r="O34" s="634"/>
      <c r="P34" s="634"/>
      <c r="Q34" s="634"/>
    </row>
    <row r="35" spans="2:17" x14ac:dyDescent="0.3">
      <c r="B35" s="11"/>
      <c r="C35" s="8" t="s">
        <v>66</v>
      </c>
      <c r="D35" s="8"/>
      <c r="E35" s="634"/>
      <c r="F35" s="151">
        <f>F33+F34</f>
        <v>340000</v>
      </c>
      <c r="G35" s="151">
        <f>G33+G34</f>
        <v>1380000</v>
      </c>
      <c r="H35" s="151">
        <f>H33+H34</f>
        <v>1510000</v>
      </c>
      <c r="I35" s="151"/>
      <c r="J35" s="151"/>
      <c r="K35" s="151"/>
      <c r="M35" t="s">
        <v>819</v>
      </c>
      <c r="N35" s="119">
        <f>SUM(N27:N32)</f>
        <v>7.1743589743589737</v>
      </c>
      <c r="O35" s="119">
        <f t="shared" ref="O35:P35" si="15">SUM(O27:O32)</f>
        <v>7.5848590803136267</v>
      </c>
      <c r="P35" s="119">
        <f t="shared" si="15"/>
        <v>9.3538461538461544</v>
      </c>
      <c r="Q35" s="634"/>
    </row>
    <row r="36" spans="2:17" x14ac:dyDescent="0.3">
      <c r="B36" s="11"/>
      <c r="C36" s="8"/>
      <c r="D36" s="8"/>
      <c r="E36" s="634"/>
      <c r="F36" s="151"/>
      <c r="G36" s="151"/>
      <c r="H36" s="151"/>
      <c r="I36" s="151"/>
      <c r="J36" s="151"/>
      <c r="K36" s="151"/>
      <c r="M36" s="3" t="s">
        <v>820</v>
      </c>
      <c r="N36" s="119">
        <f>N35+SUM(N21:N23)</f>
        <v>29.174358974358974</v>
      </c>
      <c r="O36" s="119">
        <f t="shared" ref="O36:P36" si="16">O35+SUM(O21:O23)</f>
        <v>28.688376774740412</v>
      </c>
      <c r="P36" s="119">
        <f t="shared" si="16"/>
        <v>33.969230769230769</v>
      </c>
      <c r="Q36" s="634"/>
    </row>
    <row r="37" spans="2:17" x14ac:dyDescent="0.3">
      <c r="B37" s="11"/>
      <c r="C37" s="8"/>
      <c r="D37" s="8"/>
      <c r="E37" s="634"/>
      <c r="F37" s="151"/>
      <c r="G37" s="151"/>
      <c r="H37" s="151"/>
      <c r="I37" s="151"/>
      <c r="J37" s="151"/>
      <c r="K37" s="151"/>
      <c r="O37" s="634"/>
      <c r="P37" s="634"/>
      <c r="Q37" s="634"/>
    </row>
    <row r="38" spans="2:17" x14ac:dyDescent="0.3">
      <c r="B38" s="11"/>
      <c r="C38" s="8"/>
      <c r="D38" s="8"/>
      <c r="E38" s="634"/>
      <c r="F38" s="151"/>
      <c r="G38" s="151"/>
      <c r="H38" s="151"/>
      <c r="I38" s="151"/>
      <c r="J38" s="151"/>
      <c r="K38" s="151"/>
      <c r="O38" s="634"/>
      <c r="P38" s="634"/>
      <c r="Q38" s="634"/>
    </row>
    <row r="40" spans="2:17" x14ac:dyDescent="0.3">
      <c r="C40" s="1" t="s">
        <v>70</v>
      </c>
      <c r="E40"/>
      <c r="F40" s="646">
        <f>'Indv supp plan_7_8'!E31</f>
        <v>340000</v>
      </c>
      <c r="G40" s="646">
        <f>'Indv supp plan_7_8'!F31</f>
        <v>380000</v>
      </c>
      <c r="H40" s="646">
        <f>'Indv supp plan_7_8'!G31</f>
        <v>550000</v>
      </c>
      <c r="I40" s="646"/>
    </row>
    <row r="41" spans="2:17" x14ac:dyDescent="0.3">
      <c r="B41" s="634"/>
      <c r="C41" s="634" t="s">
        <v>71</v>
      </c>
      <c r="D41" s="634"/>
      <c r="E41"/>
      <c r="F41" s="646"/>
      <c r="G41" s="646">
        <f>'MOH_Sourcing plan_1_4_9a'!G28</f>
        <v>500000</v>
      </c>
      <c r="H41" s="646">
        <f>'MOH_Sourcing plan_1_4_9a'!H28</f>
        <v>500000</v>
      </c>
      <c r="I41" s="646"/>
    </row>
    <row r="42" spans="2:17" x14ac:dyDescent="0.3">
      <c r="B42" s="634"/>
      <c r="C42" s="634" t="s">
        <v>72</v>
      </c>
      <c r="D42" s="634"/>
      <c r="E42"/>
      <c r="F42" s="646"/>
      <c r="G42" s="646">
        <f>'MOH_Sourcing plan_1_4_9a'!G29</f>
        <v>500000</v>
      </c>
      <c r="H42" s="646">
        <f>'MOH_Sourcing plan_1_4_9a'!H29</f>
        <v>460000</v>
      </c>
      <c r="I42" s="646"/>
    </row>
    <row r="47" spans="2:17" x14ac:dyDescent="0.3">
      <c r="B47" s="891"/>
      <c r="C47" s="891"/>
      <c r="D47" s="891"/>
      <c r="E47" s="891"/>
    </row>
    <row r="50" spans="2:5" x14ac:dyDescent="0.3">
      <c r="B50" s="891"/>
      <c r="C50" s="891"/>
      <c r="D50" s="891"/>
      <c r="E50" s="891"/>
    </row>
  </sheetData>
  <phoneticPr fontId="6" type="noConversion"/>
  <conditionalFormatting sqref="D1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7 D4:D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6 F4:K4 G5:K16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D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3 D21:D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{EF245C59-09D1-4253-809D-DF5E6E71447C}</x14:id>
        </ext>
      </extLst>
    </cfRule>
  </conditionalFormatting>
  <conditionalFormatting sqref="F40:I42 F35:K38 F34 H34:K38 F21:I32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{4DD1859A-1914-49DD-B4E0-B02925D74FED}</x14:id>
        </ext>
      </extLst>
    </cfRule>
  </conditionalFormatting>
  <conditionalFormatting sqref="J21:L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{AC5DEFD7-5A7B-4270-BDB0-88163DB4E1B1}</x14:id>
        </ext>
      </extLst>
    </cfRule>
  </conditionalFormatting>
  <conditionalFormatting sqref="N21:P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{AFFB127E-2CF1-464B-8238-D79CD7E5EB3D}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F4:F16 F4:K4 G5:K16</xm:sqref>
        </x14:conditionalFormatting>
        <x14:conditionalFormatting xmlns:xm="http://schemas.microsoft.com/office/excel/2006/main">
          <x14:cfRule type="dataBar" id="{EF245C59-09D1-4253-809D-DF5E6E714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4DD1859A-1914-49DD-B4E0-B02925D74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F40:I42 F35:K38 F34 H34:K38 F21:I32</xm:sqref>
        </x14:conditionalFormatting>
        <x14:conditionalFormatting xmlns:xm="http://schemas.microsoft.com/office/excel/2006/main">
          <x14:cfRule type="containsText" priority="184" operator="containsText" id="{3DA6600B-3E5F-4503-8DDE-8518532745AB}">
            <xm:f>NOT(ISERROR(SEARCH(Selection!$M$4,D4)))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5" operator="containsText" id="{CAC4A39E-5517-427F-A9F4-F477CA8152A0}">
            <xm:f>NOT(ISERROR(SEARCH(Selection!$M$3,D4)))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6" operator="containsText" id="{848D6818-F568-4C1C-9DFA-AC64B837305C}">
            <xm:f>NOT(ISERROR(SEARCH(Selection!$M$2,D4)))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D15:D17 D4:D13</xm:sqref>
        </x14:conditionalFormatting>
        <x14:conditionalFormatting xmlns:xm="http://schemas.microsoft.com/office/excel/2006/main">
          <x14:cfRule type="containsText" priority="178" operator="containsText" id="{161513BC-4C91-4C4F-875B-B05DED7A0C02}">
            <xm:f>NOT(ISERROR(SEARCH(Selection!$M$5,D4)))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D15:D17 D4:D13</xm:sqref>
        </x14:conditionalFormatting>
        <x14:conditionalFormatting xmlns:xm="http://schemas.microsoft.com/office/excel/2006/main">
          <x14:cfRule type="containsText" priority="127" operator="containsText" id="{DD7527EE-26CE-4CD7-9150-F191757FA206}">
            <xm:f>NOT(ISERROR(SEARCH(Selection!$M$5,D14)))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30" operator="containsText" id="{09961E2A-6C2F-4A71-8A00-B787CF12BF19}">
            <xm:f>NOT(ISERROR(SEARCH(Selection!$M$4,D14)))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" operator="containsText" id="{45B4BE24-0954-4493-8BC6-6C9FE9C15F15}">
            <xm:f>NOT(ISERROR(SEARCH(Selection!$M$3,D14)))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2" operator="containsText" id="{6E09A025-BA53-4F5C-9FC7-CA7728394087}">
            <xm:f>NOT(ISERROR(SEARCH(Selection!$M$2,D14)))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96" operator="containsText" id="{67F25A68-C56C-4A5E-A72D-2A919C8A29C0}">
            <xm:f>NOT(ISERROR(SEARCH(Selection!$M$4,D34)))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7" operator="containsText" id="{853823FE-979A-477E-A390-FE164B2A684F}">
            <xm:f>NOT(ISERROR(SEARCH(Selection!$M$3,D34)))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8" operator="containsText" id="{D0A843B2-8E33-4060-9A17-D60CF1A909AF}">
            <xm:f>NOT(ISERROR(SEARCH(Selection!$M$2,D34)))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D34:D38</xm:sqref>
        </x14:conditionalFormatting>
        <x14:conditionalFormatting xmlns:xm="http://schemas.microsoft.com/office/excel/2006/main">
          <x14:cfRule type="containsText" priority="95" operator="containsText" id="{A5527C49-2BC8-4101-B2AF-46451C4074A8}">
            <xm:f>NOT(ISERROR(SEARCH(Selection!$M$5,D34)))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D34:D38</xm:sqref>
        </x14:conditionalFormatting>
        <x14:conditionalFormatting xmlns:xm="http://schemas.microsoft.com/office/excel/2006/main">
          <x14:cfRule type="containsText" priority="10" operator="containsText" id="{430AF7A5-2552-4CCD-92C1-2341A92F04C0}">
            <xm:f>NOT(ISERROR(SEARCH(Selection!$M$4,D21)))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" operator="containsText" id="{D228DF6F-1E37-42CB-BCA0-4AEF4C796164}">
            <xm:f>NOT(ISERROR(SEARCH(Selection!$M$3,D21)))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" operator="containsText" id="{772DF4BA-4F88-4E9A-9259-1D69638A0B9C}">
            <xm:f>NOT(ISERROR(SEARCH(Selection!$M$2,D21)))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D32:D33 D21:D30</xm:sqref>
        </x14:conditionalFormatting>
        <x14:conditionalFormatting xmlns:xm="http://schemas.microsoft.com/office/excel/2006/main">
          <x14:cfRule type="containsText" priority="9" operator="containsText" id="{A7704700-8097-4C3A-8CFF-D2855D8C022D}">
            <xm:f>NOT(ISERROR(SEARCH(Selection!$M$5,D21)))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D32:D33 D21:D30</xm:sqref>
        </x14:conditionalFormatting>
        <x14:conditionalFormatting xmlns:xm="http://schemas.microsoft.com/office/excel/2006/main">
          <x14:cfRule type="containsText" priority="4" operator="containsText" id="{570ED375-281E-4A62-961E-F9910D78DA93}">
            <xm:f>NOT(ISERROR(SEARCH(Selection!$M$5,D31)))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5" operator="containsText" id="{C845011B-06B2-4137-91D5-28809875FA10}">
            <xm:f>NOT(ISERROR(SEARCH(Selection!$M$4,D31)))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" operator="containsText" id="{D190309A-B0E6-4759-814F-705C3A6934DA}">
            <xm:f>NOT(ISERROR(SEARCH(Selection!$M$3,D31)))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CF35ADC7-0B2B-4CC1-9173-FD45BA9A5AA2}">
            <xm:f>NOT(ISERROR(SEARCH(Selection!$M$2,D31)))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dataBar" id="{AC5DEFD7-5A7B-4270-BDB0-88163DB4E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J21:L33</xm:sqref>
        </x14:conditionalFormatting>
        <x14:conditionalFormatting xmlns:xm="http://schemas.microsoft.com/office/excel/2006/main">
          <x14:cfRule type="dataBar" id="{AFFB127E-2CF1-464B-8238-D79CD7E5E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N21:P33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86D47C-F568-4675-AEB4-149FDE7E37D5}">
          <x14:formula1>
            <xm:f>Selection!$F$2:$F$5</xm:f>
          </x14:formula1>
          <xm:sqref>B17</xm:sqref>
        </x14:dataValidation>
        <x14:dataValidation type="list" allowBlank="1" showInputMessage="1" showErrorMessage="1" xr:uid="{C032D1CE-8CA3-44D9-B284-E8B3680BB6E7}">
          <x14:formula1>
            <xm:f>Selection!$E$2:$E$10</xm:f>
          </x14:formula1>
          <xm:sqref>M4:M7 B27:B38 B21:B25 B4:B8 B10:B16</xm:sqref>
        </x14:dataValidation>
        <x14:dataValidation type="list" allowBlank="1" showInputMessage="1" showErrorMessage="1" xr:uid="{42D8313E-6C0D-4EB9-9DEF-16534959F3F2}">
          <x14:formula1>
            <xm:f>Selection!$M$2:$M$5</xm:f>
          </x14:formula1>
          <xm:sqref>D4:D17 D21:D38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DA8-2119-4423-9FD9-31BBDD2DA6FB}">
  <sheetPr>
    <tabColor rgb="FFFFFF00"/>
  </sheetPr>
  <dimension ref="B3:U59"/>
  <sheetViews>
    <sheetView tabSelected="1" topLeftCell="A25" workbookViewId="0">
      <selection activeCell="K62" sqref="K62"/>
    </sheetView>
  </sheetViews>
  <sheetFormatPr defaultRowHeight="14.4" x14ac:dyDescent="0.3"/>
  <cols>
    <col min="5" max="5" width="10.44140625" customWidth="1"/>
    <col min="6" max="6" width="12.44140625" bestFit="1" customWidth="1"/>
  </cols>
  <sheetData>
    <row r="3" spans="2:10" x14ac:dyDescent="0.3">
      <c r="B3" t="s">
        <v>836</v>
      </c>
    </row>
    <row r="4" spans="2:10" x14ac:dyDescent="0.3">
      <c r="D4" s="20" t="s">
        <v>150</v>
      </c>
      <c r="H4" s="73" t="s">
        <v>818</v>
      </c>
      <c r="I4" s="891"/>
      <c r="J4" s="891"/>
    </row>
    <row r="5" spans="2:10" ht="43.2" x14ac:dyDescent="0.3">
      <c r="C5" s="690"/>
      <c r="D5" s="27" t="s">
        <v>695</v>
      </c>
      <c r="E5" s="27" t="s">
        <v>696</v>
      </c>
      <c r="F5" s="27" t="s">
        <v>697</v>
      </c>
      <c r="H5" s="27" t="s">
        <v>695</v>
      </c>
      <c r="I5" s="27" t="s">
        <v>696</v>
      </c>
      <c r="J5" s="27" t="s">
        <v>697</v>
      </c>
    </row>
    <row r="6" spans="2:10" x14ac:dyDescent="0.3">
      <c r="C6" s="56"/>
      <c r="D6" s="56">
        <v>25.6</v>
      </c>
      <c r="E6" s="56">
        <v>25.6</v>
      </c>
      <c r="F6" s="56">
        <v>25.6</v>
      </c>
      <c r="G6" s="666"/>
      <c r="H6" s="56">
        <v>12.8</v>
      </c>
      <c r="I6" s="56">
        <v>12.8</v>
      </c>
      <c r="J6" s="56">
        <v>12.8</v>
      </c>
    </row>
    <row r="7" spans="2:10" x14ac:dyDescent="0.3">
      <c r="C7" s="56"/>
      <c r="D7" s="56">
        <v>11.815384615384616</v>
      </c>
      <c r="E7" s="56">
        <v>11.815384615384616</v>
      </c>
      <c r="F7" s="56">
        <v>11.815384615384616</v>
      </c>
      <c r="H7" s="56">
        <v>5.907692307692308</v>
      </c>
      <c r="I7" s="56">
        <v>5.907692307692308</v>
      </c>
      <c r="J7" s="56">
        <v>5.907692307692308</v>
      </c>
    </row>
    <row r="8" spans="2:10" x14ac:dyDescent="0.3">
      <c r="C8" s="151"/>
      <c r="D8" s="56">
        <v>6.5846153846153852</v>
      </c>
      <c r="E8" s="56">
        <v>4.7916507734689553</v>
      </c>
      <c r="F8" s="56">
        <v>11.815384615384616</v>
      </c>
      <c r="G8" s="32"/>
      <c r="H8" s="56">
        <v>3.2923076923076926</v>
      </c>
      <c r="I8" s="56">
        <v>2.3958253867344776</v>
      </c>
      <c r="J8" s="56">
        <v>5.907692307692308</v>
      </c>
    </row>
    <row r="9" spans="2:10" x14ac:dyDescent="0.3">
      <c r="C9" s="151"/>
      <c r="D9" s="56">
        <v>5.907692307692308</v>
      </c>
      <c r="E9" s="56">
        <v>5.907692307692308</v>
      </c>
      <c r="F9" s="56">
        <v>5.907692307692308</v>
      </c>
      <c r="H9" s="56">
        <v>2.953846153846154</v>
      </c>
      <c r="I9" s="56">
        <v>2.953846153846154</v>
      </c>
      <c r="J9" s="56">
        <v>2.953846153846154</v>
      </c>
    </row>
    <row r="10" spans="2:10" x14ac:dyDescent="0.3">
      <c r="C10" s="151"/>
      <c r="D10" s="56">
        <v>2.1948717948717951</v>
      </c>
      <c r="E10" s="56">
        <v>1.5972169244896519</v>
      </c>
      <c r="F10" s="56">
        <v>3.9384615384615387</v>
      </c>
      <c r="G10" s="119"/>
      <c r="H10" s="56">
        <v>1.0974358974358975</v>
      </c>
      <c r="I10" s="56">
        <v>0.79860846224482596</v>
      </c>
      <c r="J10" s="56">
        <v>1.9692307692307693</v>
      </c>
    </row>
    <row r="11" spans="2:10" x14ac:dyDescent="0.3">
      <c r="C11" s="151"/>
      <c r="D11" s="56">
        <v>3.2923076923076922</v>
      </c>
      <c r="E11" s="56">
        <v>5.8685314685314687</v>
      </c>
      <c r="F11" s="56">
        <v>5.907692307692308</v>
      </c>
      <c r="G11" s="119"/>
      <c r="H11" s="56">
        <v>1.6461538461538461</v>
      </c>
      <c r="I11" s="56">
        <v>2.9342657342657343</v>
      </c>
      <c r="J11" s="56">
        <v>2.953846153846154</v>
      </c>
    </row>
    <row r="12" spans="2:10" x14ac:dyDescent="0.3">
      <c r="C12" s="151"/>
      <c r="D12" s="56">
        <v>5.907692307692308</v>
      </c>
      <c r="E12" s="56">
        <v>5.907692307692308</v>
      </c>
      <c r="F12" s="56">
        <v>5.907692307692308</v>
      </c>
      <c r="G12" s="128"/>
      <c r="H12" s="56">
        <v>2.953846153846154</v>
      </c>
      <c r="I12" s="56">
        <v>2.953846153846154</v>
      </c>
      <c r="J12" s="56">
        <v>2.953846153846154</v>
      </c>
    </row>
    <row r="13" spans="2:10" x14ac:dyDescent="0.3">
      <c r="C13" s="151"/>
      <c r="D13" s="56">
        <v>2.1948717948717951</v>
      </c>
      <c r="E13" s="56">
        <v>1.5972169244896519</v>
      </c>
      <c r="F13" s="56">
        <v>3.9384615384615387</v>
      </c>
      <c r="H13" s="56">
        <v>1.0974358974358975</v>
      </c>
      <c r="I13" s="56">
        <v>0.79860846224482596</v>
      </c>
      <c r="J13" s="56">
        <v>1.9692307692307693</v>
      </c>
    </row>
    <row r="14" spans="2:10" x14ac:dyDescent="0.3">
      <c r="C14" s="151"/>
      <c r="D14" s="56">
        <v>1.0974358974358975</v>
      </c>
      <c r="E14" s="56">
        <v>1.9561771561771562</v>
      </c>
      <c r="F14" s="56">
        <v>1.9692307692307693</v>
      </c>
      <c r="H14" s="56">
        <v>0.54871794871794877</v>
      </c>
      <c r="I14" s="56">
        <v>0.97808857808857808</v>
      </c>
      <c r="J14" s="56">
        <v>0.98461538461538467</v>
      </c>
    </row>
    <row r="15" spans="2:10" x14ac:dyDescent="0.3">
      <c r="C15" s="151"/>
      <c r="D15" s="56">
        <v>2.953846153846154</v>
      </c>
      <c r="E15" s="56">
        <v>2.953846153846154</v>
      </c>
      <c r="F15" s="56">
        <v>2.953846153846154</v>
      </c>
      <c r="H15" s="56">
        <v>1.476923076923077</v>
      </c>
      <c r="I15" s="56">
        <v>1.476923076923077</v>
      </c>
      <c r="J15" s="56">
        <v>1.476923076923077</v>
      </c>
    </row>
    <row r="16" spans="2:10" x14ac:dyDescent="0.3">
      <c r="C16" s="151"/>
      <c r="D16" s="56">
        <v>1.0974358974358975</v>
      </c>
      <c r="E16" s="56">
        <v>0.79860846224482596</v>
      </c>
      <c r="F16" s="56">
        <v>1.9692307692307693</v>
      </c>
      <c r="H16" s="56">
        <v>0.54871794871794877</v>
      </c>
      <c r="I16" s="56">
        <v>0.39930423112241298</v>
      </c>
      <c r="J16" s="56">
        <v>0.98461538461538467</v>
      </c>
    </row>
    <row r="17" spans="3:21" x14ac:dyDescent="0.3">
      <c r="C17" s="151"/>
      <c r="D17" s="56">
        <v>1.0974358974358975</v>
      </c>
      <c r="E17" s="56">
        <v>1.9561771561771562</v>
      </c>
      <c r="F17" s="56">
        <v>1.9692307692307693</v>
      </c>
      <c r="G17" s="128"/>
      <c r="H17" s="56">
        <v>0.54871794871794877</v>
      </c>
      <c r="I17" s="56">
        <v>0.97808857808857808</v>
      </c>
      <c r="J17" s="56">
        <v>0.98461538461538467</v>
      </c>
    </row>
    <row r="18" spans="3:21" x14ac:dyDescent="0.3">
      <c r="C18" s="119"/>
      <c r="D18" s="56">
        <v>69.743589743589737</v>
      </c>
      <c r="E18" s="56">
        <v>70.750194250194255</v>
      </c>
      <c r="F18" s="56">
        <v>83.692307692307693</v>
      </c>
      <c r="H18" s="56">
        <v>34.871794871794869</v>
      </c>
      <c r="I18" s="56">
        <v>35.375097125097128</v>
      </c>
      <c r="J18" s="56">
        <v>41.846153846153847</v>
      </c>
    </row>
    <row r="19" spans="3:21" x14ac:dyDescent="0.3">
      <c r="C19" s="151"/>
      <c r="D19" s="151"/>
      <c r="E19" s="151"/>
      <c r="I19" s="891"/>
      <c r="J19" s="891"/>
    </row>
    <row r="20" spans="3:21" x14ac:dyDescent="0.3">
      <c r="C20" s="151"/>
      <c r="D20" s="151"/>
      <c r="E20" s="151"/>
      <c r="G20" t="s">
        <v>819</v>
      </c>
      <c r="H20" s="119">
        <v>7.1743589743589737</v>
      </c>
      <c r="I20" s="119">
        <v>7.5848590803136267</v>
      </c>
      <c r="J20" s="119">
        <v>9.3538461538461544</v>
      </c>
    </row>
    <row r="21" spans="3:21" x14ac:dyDescent="0.3">
      <c r="C21" s="151"/>
      <c r="D21" s="151"/>
      <c r="E21" s="151"/>
      <c r="G21" s="3" t="s">
        <v>820</v>
      </c>
      <c r="H21" s="119">
        <v>29.174358974358974</v>
      </c>
      <c r="I21" s="119">
        <v>28.688376774740412</v>
      </c>
      <c r="J21" s="119">
        <v>33.969230769230769</v>
      </c>
    </row>
    <row r="25" spans="3:21" x14ac:dyDescent="0.3">
      <c r="E25" s="985" t="s">
        <v>834</v>
      </c>
      <c r="F25" s="646"/>
      <c r="J25" s="1"/>
      <c r="K25" s="1"/>
      <c r="L25" s="1"/>
    </row>
    <row r="26" spans="3:21" x14ac:dyDescent="0.3">
      <c r="E26" s="646"/>
      <c r="F26" s="646"/>
      <c r="J26" s="634"/>
      <c r="K26" s="634"/>
      <c r="L26" s="634"/>
      <c r="U26" t="s">
        <v>837</v>
      </c>
    </row>
    <row r="27" spans="3:21" x14ac:dyDescent="0.3">
      <c r="E27" s="295" t="s">
        <v>141</v>
      </c>
      <c r="F27" s="646"/>
      <c r="H27" s="986" t="s">
        <v>152</v>
      </c>
      <c r="I27" s="986"/>
      <c r="J27" s="986"/>
      <c r="K27" s="986"/>
      <c r="L27" s="986" t="s">
        <v>154</v>
      </c>
      <c r="M27" s="986"/>
      <c r="N27" s="986"/>
      <c r="O27" s="986"/>
      <c r="P27" s="986" t="s">
        <v>155</v>
      </c>
      <c r="Q27" s="986"/>
      <c r="R27" s="986"/>
      <c r="S27" s="986"/>
    </row>
    <row r="28" spans="3:21" x14ac:dyDescent="0.3">
      <c r="H28" s="325" t="s">
        <v>821</v>
      </c>
      <c r="I28" s="325" t="s">
        <v>822</v>
      </c>
      <c r="J28" s="325" t="s">
        <v>823</v>
      </c>
      <c r="K28" s="325" t="s">
        <v>824</v>
      </c>
      <c r="L28" s="325" t="s">
        <v>825</v>
      </c>
      <c r="M28" s="325" t="s">
        <v>826</v>
      </c>
      <c r="N28" s="325" t="s">
        <v>827</v>
      </c>
      <c r="O28" s="325" t="s">
        <v>828</v>
      </c>
      <c r="P28" s="325" t="s">
        <v>829</v>
      </c>
      <c r="Q28" s="325" t="s">
        <v>830</v>
      </c>
      <c r="R28" s="325" t="s">
        <v>831</v>
      </c>
      <c r="S28" s="325" t="s">
        <v>832</v>
      </c>
    </row>
    <row r="29" spans="3:21" x14ac:dyDescent="0.3">
      <c r="F29" s="40" t="s">
        <v>833</v>
      </c>
      <c r="H29" s="981">
        <v>29</v>
      </c>
      <c r="I29" s="981"/>
      <c r="J29" s="629">
        <v>29</v>
      </c>
      <c r="K29" s="629"/>
      <c r="L29" s="629">
        <v>29</v>
      </c>
      <c r="M29" s="981"/>
      <c r="N29" s="981">
        <v>29</v>
      </c>
      <c r="O29" s="981"/>
      <c r="P29" s="981">
        <v>34</v>
      </c>
      <c r="Q29" s="981"/>
      <c r="R29" s="981">
        <v>34</v>
      </c>
      <c r="S29" s="981"/>
    </row>
    <row r="30" spans="3:21" x14ac:dyDescent="0.3">
      <c r="F30" s="40" t="s">
        <v>406</v>
      </c>
      <c r="G30" s="981">
        <v>5</v>
      </c>
      <c r="H30">
        <f>G30+H29-H31</f>
        <v>5</v>
      </c>
      <c r="I30">
        <f>H30+I29-I31</f>
        <v>5</v>
      </c>
      <c r="J30">
        <f>I30+J29-J31</f>
        <v>5</v>
      </c>
      <c r="K30">
        <f>J30+K29-K31</f>
        <v>5</v>
      </c>
      <c r="L30">
        <f>K30+L29-L31</f>
        <v>5</v>
      </c>
      <c r="M30">
        <f>L30+M29-M31</f>
        <v>5</v>
      </c>
      <c r="N30">
        <f>M30+N29-N31</f>
        <v>5</v>
      </c>
      <c r="O30">
        <f>N30+O29-O31</f>
        <v>5</v>
      </c>
      <c r="P30">
        <f>O30+P29-P31</f>
        <v>5</v>
      </c>
      <c r="Q30">
        <f>P30+Q29-Q31</f>
        <v>5</v>
      </c>
      <c r="R30">
        <f>Q30+R29-R31</f>
        <v>5</v>
      </c>
      <c r="S30">
        <f>R30+S29-S31</f>
        <v>5</v>
      </c>
    </row>
    <row r="31" spans="3:21" x14ac:dyDescent="0.3">
      <c r="F31" s="40" t="s">
        <v>290</v>
      </c>
      <c r="H31">
        <f>H36+H43+H50+I57</f>
        <v>29</v>
      </c>
      <c r="I31">
        <f t="shared" ref="I31:R31" si="0">I36+I43+I50+J57</f>
        <v>0</v>
      </c>
      <c r="J31">
        <f t="shared" si="0"/>
        <v>29</v>
      </c>
      <c r="K31">
        <f t="shared" si="0"/>
        <v>0</v>
      </c>
      <c r="L31">
        <f t="shared" si="0"/>
        <v>29</v>
      </c>
      <c r="M31">
        <f t="shared" si="0"/>
        <v>0</v>
      </c>
      <c r="N31">
        <f t="shared" si="0"/>
        <v>29</v>
      </c>
      <c r="O31">
        <f t="shared" si="0"/>
        <v>0</v>
      </c>
      <c r="P31">
        <f t="shared" si="0"/>
        <v>34</v>
      </c>
      <c r="Q31">
        <f t="shared" si="0"/>
        <v>0</v>
      </c>
      <c r="R31">
        <f t="shared" si="0"/>
        <v>34</v>
      </c>
    </row>
    <row r="32" spans="3:21" x14ac:dyDescent="0.3">
      <c r="J32" s="891"/>
      <c r="K32" s="891"/>
      <c r="L32" s="891"/>
    </row>
    <row r="33" spans="2:19" x14ac:dyDescent="0.3">
      <c r="J33" s="1"/>
      <c r="K33" s="1"/>
      <c r="L33" s="1"/>
    </row>
    <row r="34" spans="2:19" x14ac:dyDescent="0.3">
      <c r="B34" t="s">
        <v>842</v>
      </c>
      <c r="E34" s="295" t="s">
        <v>624</v>
      </c>
      <c r="H34" s="325" t="s">
        <v>821</v>
      </c>
      <c r="I34" s="325" t="s">
        <v>822</v>
      </c>
      <c r="J34" s="325" t="s">
        <v>823</v>
      </c>
      <c r="K34" s="325" t="s">
        <v>824</v>
      </c>
      <c r="L34" s="325" t="s">
        <v>825</v>
      </c>
      <c r="M34" s="325" t="s">
        <v>826</v>
      </c>
      <c r="N34" s="325" t="s">
        <v>827</v>
      </c>
      <c r="O34" s="325" t="s">
        <v>828</v>
      </c>
      <c r="P34" s="325" t="s">
        <v>829</v>
      </c>
      <c r="Q34" s="325" t="s">
        <v>830</v>
      </c>
      <c r="R34" s="325" t="s">
        <v>831</v>
      </c>
      <c r="S34" s="325" t="s">
        <v>832</v>
      </c>
    </row>
    <row r="35" spans="2:19" x14ac:dyDescent="0.3">
      <c r="E35" s="295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2:19" x14ac:dyDescent="0.3">
      <c r="D36" t="s">
        <v>838</v>
      </c>
      <c r="F36" s="40" t="s">
        <v>833</v>
      </c>
      <c r="H36" s="981">
        <v>13</v>
      </c>
      <c r="I36" s="981"/>
      <c r="J36" s="629">
        <v>13</v>
      </c>
      <c r="K36" s="629"/>
      <c r="L36" s="629">
        <v>13</v>
      </c>
      <c r="M36" s="981"/>
      <c r="N36" s="981">
        <v>13</v>
      </c>
      <c r="O36" s="981"/>
      <c r="P36" s="981">
        <v>13</v>
      </c>
      <c r="Q36" s="981"/>
      <c r="R36" s="981">
        <v>13</v>
      </c>
      <c r="S36" s="981"/>
    </row>
    <row r="37" spans="2:19" x14ac:dyDescent="0.3">
      <c r="F37" s="40" t="s">
        <v>406</v>
      </c>
      <c r="G37" s="981">
        <v>3</v>
      </c>
      <c r="H37">
        <f>G37+H36-H38</f>
        <v>10</v>
      </c>
      <c r="I37">
        <f>H37+I36-I38</f>
        <v>3</v>
      </c>
      <c r="J37">
        <f>I37+J36-J38</f>
        <v>10</v>
      </c>
      <c r="K37">
        <f>J37+K36-K38</f>
        <v>3</v>
      </c>
      <c r="L37">
        <f>K37+L36-L38</f>
        <v>10</v>
      </c>
      <c r="M37">
        <f>L37+M36-M38</f>
        <v>3</v>
      </c>
      <c r="N37">
        <f>M37+N36-N38</f>
        <v>10</v>
      </c>
      <c r="O37">
        <f>N37+O36-O38</f>
        <v>3</v>
      </c>
      <c r="P37">
        <f>O37+P36-P38</f>
        <v>10</v>
      </c>
      <c r="Q37">
        <f>P37+Q36-Q38</f>
        <v>3</v>
      </c>
      <c r="R37">
        <f>Q37+R36-R38</f>
        <v>10</v>
      </c>
      <c r="S37">
        <f>R37+S36-S38</f>
        <v>3</v>
      </c>
    </row>
    <row r="38" spans="2:19" x14ac:dyDescent="0.3">
      <c r="F38" s="40" t="s">
        <v>290</v>
      </c>
      <c r="H38" s="981">
        <v>6</v>
      </c>
      <c r="I38" s="981">
        <v>7</v>
      </c>
      <c r="J38" s="629">
        <v>6</v>
      </c>
      <c r="K38" s="629">
        <v>7</v>
      </c>
      <c r="L38" s="629">
        <v>6</v>
      </c>
      <c r="M38" s="629">
        <v>7</v>
      </c>
      <c r="N38" s="981">
        <v>6</v>
      </c>
      <c r="O38" s="629">
        <v>7</v>
      </c>
      <c r="P38" s="981">
        <v>6</v>
      </c>
      <c r="Q38" s="629">
        <v>7</v>
      </c>
      <c r="R38" s="981">
        <v>6</v>
      </c>
      <c r="S38" s="629">
        <v>7</v>
      </c>
    </row>
    <row r="41" spans="2:19" x14ac:dyDescent="0.3">
      <c r="B41" t="s">
        <v>839</v>
      </c>
      <c r="E41" s="295" t="s">
        <v>625</v>
      </c>
      <c r="H41" s="325" t="s">
        <v>821</v>
      </c>
      <c r="I41" s="325" t="s">
        <v>822</v>
      </c>
      <c r="J41" s="325" t="s">
        <v>823</v>
      </c>
      <c r="K41" s="325" t="s">
        <v>824</v>
      </c>
      <c r="L41" s="325" t="s">
        <v>825</v>
      </c>
      <c r="M41" s="325" t="s">
        <v>826</v>
      </c>
      <c r="N41" s="325" t="s">
        <v>827</v>
      </c>
      <c r="O41" s="325" t="s">
        <v>828</v>
      </c>
      <c r="P41" s="325" t="s">
        <v>829</v>
      </c>
      <c r="Q41" s="325" t="s">
        <v>830</v>
      </c>
      <c r="R41" s="325" t="s">
        <v>831</v>
      </c>
      <c r="S41" s="325" t="s">
        <v>832</v>
      </c>
    </row>
    <row r="42" spans="2:19" x14ac:dyDescent="0.3">
      <c r="E42" s="295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2:19" x14ac:dyDescent="0.3">
      <c r="D43" t="s">
        <v>838</v>
      </c>
      <c r="F43" s="40" t="s">
        <v>833</v>
      </c>
      <c r="H43" s="981">
        <v>6</v>
      </c>
      <c r="I43" s="981"/>
      <c r="J43" s="629">
        <v>6</v>
      </c>
      <c r="K43" s="629"/>
      <c r="L43" s="629">
        <v>6</v>
      </c>
      <c r="M43" s="981"/>
      <c r="N43" s="981">
        <v>6</v>
      </c>
      <c r="O43" s="981"/>
      <c r="P43" s="981">
        <v>6</v>
      </c>
      <c r="Q43" s="981"/>
      <c r="R43" s="981">
        <v>6</v>
      </c>
      <c r="S43" s="981"/>
    </row>
    <row r="44" spans="2:19" x14ac:dyDescent="0.3">
      <c r="F44" s="40" t="s">
        <v>406</v>
      </c>
      <c r="G44" s="981">
        <v>2</v>
      </c>
      <c r="H44">
        <f>G44+H43-H45</f>
        <v>5</v>
      </c>
      <c r="I44">
        <f>H44+I43-I45</f>
        <v>2</v>
      </c>
      <c r="J44">
        <f>I44+J43-J45</f>
        <v>5</v>
      </c>
      <c r="K44">
        <f>J44+K43-K45</f>
        <v>2</v>
      </c>
      <c r="L44">
        <f>K44+L43-L45</f>
        <v>5</v>
      </c>
      <c r="M44">
        <f>L44+M43-M45</f>
        <v>2</v>
      </c>
      <c r="N44">
        <f>M44+N43-N45</f>
        <v>5</v>
      </c>
      <c r="O44">
        <f>N44+O43-O45</f>
        <v>2</v>
      </c>
      <c r="P44">
        <f>O44+P43-P45</f>
        <v>5</v>
      </c>
      <c r="Q44">
        <f>P44+Q43-Q45</f>
        <v>2</v>
      </c>
      <c r="R44">
        <f>Q44+R43-R45</f>
        <v>5</v>
      </c>
      <c r="S44">
        <f>R44+S43-S45</f>
        <v>2</v>
      </c>
    </row>
    <row r="45" spans="2:19" x14ac:dyDescent="0.3">
      <c r="F45" s="40" t="s">
        <v>290</v>
      </c>
      <c r="H45" s="981">
        <v>3</v>
      </c>
      <c r="I45" s="981">
        <v>3</v>
      </c>
      <c r="J45" s="629">
        <v>3</v>
      </c>
      <c r="K45" s="629">
        <v>3</v>
      </c>
      <c r="L45" s="629">
        <v>3</v>
      </c>
      <c r="M45" s="629">
        <v>3</v>
      </c>
      <c r="N45" s="981">
        <v>3</v>
      </c>
      <c r="O45" s="629">
        <v>3</v>
      </c>
      <c r="P45" s="981">
        <v>3</v>
      </c>
      <c r="Q45" s="629">
        <v>3</v>
      </c>
      <c r="R45" s="981">
        <v>3</v>
      </c>
      <c r="S45" s="629">
        <v>3</v>
      </c>
    </row>
    <row r="48" spans="2:19" x14ac:dyDescent="0.3">
      <c r="B48" t="s">
        <v>840</v>
      </c>
      <c r="E48" s="295" t="s">
        <v>626</v>
      </c>
      <c r="H48" s="325" t="s">
        <v>821</v>
      </c>
      <c r="I48" s="325" t="s">
        <v>822</v>
      </c>
      <c r="J48" s="325" t="s">
        <v>823</v>
      </c>
      <c r="K48" s="325" t="s">
        <v>824</v>
      </c>
      <c r="L48" s="325" t="s">
        <v>825</v>
      </c>
      <c r="M48" s="325" t="s">
        <v>826</v>
      </c>
      <c r="N48" s="325" t="s">
        <v>827</v>
      </c>
      <c r="O48" s="325" t="s">
        <v>828</v>
      </c>
      <c r="P48" s="325" t="s">
        <v>829</v>
      </c>
      <c r="Q48" s="325" t="s">
        <v>830</v>
      </c>
      <c r="R48" s="325" t="s">
        <v>831</v>
      </c>
      <c r="S48" s="325" t="s">
        <v>832</v>
      </c>
    </row>
    <row r="49" spans="2:19" x14ac:dyDescent="0.3">
      <c r="E49" s="295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2:19" x14ac:dyDescent="0.3">
      <c r="D50" t="s">
        <v>838</v>
      </c>
      <c r="F50" s="40" t="s">
        <v>833</v>
      </c>
      <c r="H50" s="981">
        <v>3</v>
      </c>
      <c r="I50" s="981"/>
      <c r="J50" s="629">
        <v>3</v>
      </c>
      <c r="K50" s="629"/>
      <c r="L50" s="629">
        <v>2</v>
      </c>
      <c r="M50" s="981"/>
      <c r="N50" s="981">
        <v>2</v>
      </c>
      <c r="O50" s="981"/>
      <c r="P50" s="981">
        <v>6</v>
      </c>
      <c r="Q50" s="981"/>
      <c r="R50" s="981">
        <v>6</v>
      </c>
      <c r="S50" s="981"/>
    </row>
    <row r="51" spans="2:19" x14ac:dyDescent="0.3">
      <c r="F51" s="40" t="s">
        <v>406</v>
      </c>
      <c r="G51" s="981">
        <v>2</v>
      </c>
      <c r="H51">
        <f>G51+H50-H52</f>
        <v>4</v>
      </c>
      <c r="I51">
        <f>H51+I50-I52</f>
        <v>2</v>
      </c>
      <c r="J51">
        <f>I51+J50-J52</f>
        <v>4</v>
      </c>
      <c r="K51">
        <f>J51+K50-K52</f>
        <v>2</v>
      </c>
      <c r="L51">
        <f>K51+L50-L52</f>
        <v>3</v>
      </c>
      <c r="M51">
        <f>L51+M50-M52</f>
        <v>1</v>
      </c>
      <c r="N51">
        <f>M51+N50-N52</f>
        <v>2</v>
      </c>
      <c r="O51">
        <f>N51+O50-O52</f>
        <v>0</v>
      </c>
      <c r="P51">
        <f>O51+P50-P52</f>
        <v>5</v>
      </c>
      <c r="Q51">
        <f>P51+Q50-Q52</f>
        <v>3</v>
      </c>
      <c r="R51">
        <f>Q51+R50-R52</f>
        <v>8</v>
      </c>
      <c r="S51">
        <f>R51+S50-S52</f>
        <v>6</v>
      </c>
    </row>
    <row r="52" spans="2:19" x14ac:dyDescent="0.3">
      <c r="F52" s="40" t="s">
        <v>290</v>
      </c>
      <c r="H52" s="981">
        <v>1</v>
      </c>
      <c r="I52" s="981">
        <v>2</v>
      </c>
      <c r="J52" s="629">
        <v>1</v>
      </c>
      <c r="K52" s="629">
        <v>2</v>
      </c>
      <c r="L52" s="629">
        <v>1</v>
      </c>
      <c r="M52" s="629">
        <v>2</v>
      </c>
      <c r="N52" s="981">
        <v>1</v>
      </c>
      <c r="O52" s="629">
        <v>2</v>
      </c>
      <c r="P52" s="981">
        <v>1</v>
      </c>
      <c r="Q52" s="629">
        <v>2</v>
      </c>
      <c r="R52" s="981">
        <v>1</v>
      </c>
      <c r="S52" s="629">
        <v>2</v>
      </c>
    </row>
    <row r="55" spans="2:19" x14ac:dyDescent="0.3">
      <c r="B55" t="s">
        <v>841</v>
      </c>
      <c r="E55" s="295" t="s">
        <v>835</v>
      </c>
      <c r="H55" s="325" t="s">
        <v>821</v>
      </c>
      <c r="I55" s="325" t="s">
        <v>822</v>
      </c>
      <c r="J55" s="325" t="s">
        <v>823</v>
      </c>
      <c r="K55" s="325" t="s">
        <v>824</v>
      </c>
      <c r="L55" s="325" t="s">
        <v>825</v>
      </c>
      <c r="M55" s="325" t="s">
        <v>826</v>
      </c>
      <c r="N55" s="325" t="s">
        <v>827</v>
      </c>
      <c r="O55" s="325" t="s">
        <v>828</v>
      </c>
      <c r="P55" s="325" t="s">
        <v>829</v>
      </c>
      <c r="Q55" s="325" t="s">
        <v>830</v>
      </c>
      <c r="R55" s="325" t="s">
        <v>831</v>
      </c>
      <c r="S55" s="325" t="s">
        <v>832</v>
      </c>
    </row>
    <row r="56" spans="2:19" x14ac:dyDescent="0.3">
      <c r="E56" s="295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2:19" x14ac:dyDescent="0.3">
      <c r="D57" t="s">
        <v>843</v>
      </c>
      <c r="F57" s="40" t="s">
        <v>833</v>
      </c>
      <c r="H57" s="981"/>
      <c r="I57" s="981">
        <v>7</v>
      </c>
      <c r="J57" s="629"/>
      <c r="K57" s="629">
        <v>7</v>
      </c>
      <c r="L57" s="629"/>
      <c r="M57" s="981">
        <v>8</v>
      </c>
      <c r="N57" s="981"/>
      <c r="O57" s="981">
        <v>8</v>
      </c>
      <c r="P57" s="981"/>
      <c r="Q57" s="981">
        <v>9</v>
      </c>
      <c r="R57" s="981"/>
      <c r="S57" s="981">
        <v>9</v>
      </c>
    </row>
    <row r="58" spans="2:19" x14ac:dyDescent="0.3">
      <c r="F58" s="40" t="s">
        <v>406</v>
      </c>
      <c r="G58" s="981">
        <v>3</v>
      </c>
      <c r="H58">
        <f>G58+H57-H59</f>
        <v>0</v>
      </c>
      <c r="I58">
        <f>H58+I57-I59</f>
        <v>3</v>
      </c>
      <c r="J58">
        <f>I58+J57-J59</f>
        <v>0</v>
      </c>
      <c r="K58">
        <f>J58+K57-K59</f>
        <v>3</v>
      </c>
      <c r="L58">
        <f>K58+L57-L59</f>
        <v>0</v>
      </c>
      <c r="M58">
        <f>L58+M57-M59</f>
        <v>4</v>
      </c>
      <c r="N58">
        <f>M58+N57-N59</f>
        <v>0</v>
      </c>
      <c r="O58">
        <f>N58+O57-O59</f>
        <v>4</v>
      </c>
      <c r="P58">
        <f>O58+P57-P59</f>
        <v>0</v>
      </c>
      <c r="Q58">
        <f>P58+Q57-Q59</f>
        <v>4</v>
      </c>
      <c r="R58">
        <f>Q58+R57-R59</f>
        <v>0</v>
      </c>
      <c r="S58">
        <f>R58+S57-S59</f>
        <v>4</v>
      </c>
    </row>
    <row r="59" spans="2:19" x14ac:dyDescent="0.3">
      <c r="F59" s="40" t="s">
        <v>290</v>
      </c>
      <c r="H59" s="981">
        <v>3</v>
      </c>
      <c r="I59" s="981">
        <v>4</v>
      </c>
      <c r="J59" s="629">
        <v>3</v>
      </c>
      <c r="K59" s="629">
        <v>4</v>
      </c>
      <c r="L59" s="629">
        <v>3</v>
      </c>
      <c r="M59" s="629">
        <v>4</v>
      </c>
      <c r="N59" s="981">
        <v>4</v>
      </c>
      <c r="O59" s="629">
        <v>4</v>
      </c>
      <c r="P59" s="981">
        <v>4</v>
      </c>
      <c r="Q59" s="629">
        <v>5</v>
      </c>
      <c r="R59" s="981">
        <v>4</v>
      </c>
      <c r="S59" s="629">
        <v>5</v>
      </c>
    </row>
  </sheetData>
  <mergeCells count="3">
    <mergeCell ref="H27:K27"/>
    <mergeCell ref="L27:O27"/>
    <mergeCell ref="P27:S27"/>
  </mergeCells>
  <conditionalFormatting sqref="C19:E21 C6:C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{4BBE16D0-8FDB-460D-BF6A-F7736662EC5C}</x14:id>
        </ext>
      </extLst>
    </cfRule>
  </conditionalFormatting>
  <conditionalFormatting sqref="D6:F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{7355DEC7-E815-473B-9F2D-BCA863FBD159}</x14:id>
        </ext>
      </extLst>
    </cfRule>
  </conditionalFormatting>
  <conditionalFormatting sqref="H6:J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{E01DC57F-5D11-4D7E-B13D-0A6BF77D37F9}</x14:id>
        </ext>
      </extLst>
    </cfRule>
  </conditionalFormatting>
  <conditionalFormatting sqref="E25:F26 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{68C16E82-C6F6-49F3-90EB-5C87330CC760}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E16D0-8FDB-460D-BF6A-F7736662E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C19:E21 C6:C17</xm:sqref>
        </x14:conditionalFormatting>
        <x14:conditionalFormatting xmlns:xm="http://schemas.microsoft.com/office/excel/2006/main">
          <x14:cfRule type="dataBar" id="{7355DEC7-E815-473B-9F2D-BCA863FBD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D6:F18</xm:sqref>
        </x14:conditionalFormatting>
        <x14:conditionalFormatting xmlns:xm="http://schemas.microsoft.com/office/excel/2006/main">
          <x14:cfRule type="dataBar" id="{E01DC57F-5D11-4D7E-B13D-0A6BF77D3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H6:J18</xm:sqref>
        </x14:conditionalFormatting>
        <x14:conditionalFormatting xmlns:xm="http://schemas.microsoft.com/office/excel/2006/main">
          <x14:cfRule type="dataBar" id="{68C16E82-C6F6-49F3-90EB-5C87330CC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E25:F26 F27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E15C-F8F7-4D4D-9E32-A3BBB2D2B019}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4D0C-40C7-4C94-A130-D4DA756E910D}">
  <sheetPr>
    <tabColor theme="5" tint="0.39997558519241921"/>
  </sheetPr>
  <dimension ref="A1:AQ44"/>
  <sheetViews>
    <sheetView topLeftCell="P1" zoomScaleNormal="100" workbookViewId="0">
      <selection activeCell="W5" sqref="W5:Y5"/>
    </sheetView>
  </sheetViews>
  <sheetFormatPr defaultRowHeight="14.4" x14ac:dyDescent="0.3"/>
  <cols>
    <col min="1" max="1" width="0" hidden="1" customWidth="1"/>
    <col min="2" max="2" width="21.88671875" hidden="1" customWidth="1"/>
    <col min="3" max="3" width="16.6640625" hidden="1" customWidth="1"/>
    <col min="4" max="4" width="7" hidden="1" customWidth="1"/>
    <col min="5" max="7" width="11.5546875" style="16" hidden="1" customWidth="1"/>
    <col min="8" max="8" width="10" hidden="1" customWidth="1"/>
    <col min="9" max="9" width="0" hidden="1" customWidth="1"/>
    <col min="10" max="10" width="18.6640625" hidden="1" customWidth="1"/>
    <col min="11" max="11" width="15" hidden="1" customWidth="1"/>
    <col min="12" max="12" width="15.5546875" style="16" hidden="1" customWidth="1"/>
    <col min="13" max="14" width="15.21875" style="16" hidden="1" customWidth="1"/>
    <col min="15" max="15" width="0" hidden="1" customWidth="1"/>
    <col min="16" max="16" width="9.5546875" customWidth="1"/>
    <col min="17" max="17" width="13.109375" bestFit="1" customWidth="1"/>
    <col min="18" max="18" width="16.109375" style="634" bestFit="1" customWidth="1"/>
    <col min="19" max="19" width="13.5546875" bestFit="1" customWidth="1"/>
    <col min="20" max="20" width="10.109375" bestFit="1" customWidth="1"/>
    <col min="21" max="21" width="10.109375" customWidth="1"/>
    <col min="23" max="23" width="21.109375" bestFit="1" customWidth="1"/>
    <col min="24" max="24" width="10.21875" bestFit="1" customWidth="1"/>
    <col min="25" max="25" width="10.88671875" bestFit="1" customWidth="1"/>
    <col min="26" max="26" width="4.33203125" bestFit="1" customWidth="1"/>
    <col min="27" max="27" width="3.77734375" bestFit="1" customWidth="1"/>
    <col min="28" max="28" width="9.5546875" bestFit="1" customWidth="1"/>
    <col min="29" max="29" width="3.6640625" bestFit="1" customWidth="1"/>
    <col min="30" max="30" width="3.109375" bestFit="1" customWidth="1"/>
    <col min="31" max="31" width="9.5546875" bestFit="1" customWidth="1"/>
    <col min="32" max="33" width="3.88671875" bestFit="1" customWidth="1"/>
    <col min="34" max="34" width="9.5546875" bestFit="1" customWidth="1"/>
    <col min="35" max="35" width="12.77734375" bestFit="1" customWidth="1"/>
    <col min="36" max="36" width="9.88671875" bestFit="1" customWidth="1"/>
    <col min="38" max="38" width="10.77734375" bestFit="1" customWidth="1"/>
    <col min="43" max="43" width="9.77734375" bestFit="1" customWidth="1"/>
  </cols>
  <sheetData>
    <row r="1" spans="1:43" ht="24" thickBot="1" x14ac:dyDescent="0.5">
      <c r="A1" s="153" t="s">
        <v>107</v>
      </c>
    </row>
    <row r="2" spans="1:43" x14ac:dyDescent="0.3">
      <c r="A2" s="715"/>
      <c r="B2" s="706"/>
      <c r="C2" s="706"/>
      <c r="D2" s="706"/>
      <c r="E2" s="716"/>
      <c r="F2" s="716"/>
      <c r="G2" s="716"/>
      <c r="H2" s="706"/>
      <c r="I2" s="708"/>
    </row>
    <row r="3" spans="1:43" x14ac:dyDescent="0.3">
      <c r="A3" s="184"/>
      <c r="B3" s="717" t="s">
        <v>81</v>
      </c>
      <c r="C3" s="18"/>
      <c r="D3" s="18"/>
      <c r="E3" s="95"/>
      <c r="F3" s="95"/>
      <c r="G3" s="95"/>
      <c r="H3" s="18"/>
      <c r="I3" s="185"/>
      <c r="J3" s="26" t="s">
        <v>84</v>
      </c>
      <c r="P3" s="26" t="s">
        <v>720</v>
      </c>
      <c r="W3" s="2" t="s">
        <v>177</v>
      </c>
      <c r="AM3" t="s">
        <v>684</v>
      </c>
      <c r="AN3" t="s">
        <v>685</v>
      </c>
      <c r="AO3" t="s">
        <v>686</v>
      </c>
      <c r="AP3" t="s">
        <v>687</v>
      </c>
    </row>
    <row r="4" spans="1:43" ht="28.8" x14ac:dyDescent="0.3">
      <c r="A4" s="184"/>
      <c r="B4" s="717"/>
      <c r="C4" s="18"/>
      <c r="D4" s="718" t="s">
        <v>428</v>
      </c>
      <c r="E4" s="718" t="s">
        <v>25</v>
      </c>
      <c r="F4" s="718" t="s">
        <v>152</v>
      </c>
      <c r="G4" s="718" t="s">
        <v>154</v>
      </c>
      <c r="H4" s="718" t="s">
        <v>155</v>
      </c>
      <c r="I4" s="185"/>
      <c r="L4" s="16" t="s">
        <v>152</v>
      </c>
      <c r="M4" s="16" t="s">
        <v>154</v>
      </c>
      <c r="N4" s="16" t="s">
        <v>155</v>
      </c>
      <c r="P4" s="2" t="s">
        <v>235</v>
      </c>
      <c r="W4" s="892" t="s">
        <v>151</v>
      </c>
      <c r="X4" s="892"/>
      <c r="Y4" s="892"/>
      <c r="Z4" s="892"/>
      <c r="AA4" s="892"/>
      <c r="AB4" s="892"/>
      <c r="AC4" s="892"/>
      <c r="AD4" s="892"/>
      <c r="AE4" s="892"/>
      <c r="AF4" s="892"/>
      <c r="AG4" s="892"/>
      <c r="AH4" s="892"/>
      <c r="AI4" s="49" t="s">
        <v>159</v>
      </c>
      <c r="AJ4" s="49" t="s">
        <v>160</v>
      </c>
      <c r="AM4" s="638">
        <v>1000000</v>
      </c>
      <c r="AN4" s="638">
        <v>1700000</v>
      </c>
      <c r="AO4" s="638">
        <v>5800000</v>
      </c>
      <c r="AP4" s="638">
        <v>4300000</v>
      </c>
      <c r="AQ4" s="638">
        <f>AM4+AN4+AO4+AP4</f>
        <v>12800000</v>
      </c>
    </row>
    <row r="5" spans="1:43" x14ac:dyDescent="0.3">
      <c r="A5" s="184"/>
      <c r="B5" s="335" t="s">
        <v>68</v>
      </c>
      <c r="C5" s="335" t="s">
        <v>69</v>
      </c>
      <c r="D5" s="335"/>
      <c r="E5" s="95" t="s">
        <v>693</v>
      </c>
      <c r="F5" s="713" t="s">
        <v>17</v>
      </c>
      <c r="G5" s="713" t="s">
        <v>18</v>
      </c>
      <c r="H5" s="713" t="s">
        <v>19</v>
      </c>
      <c r="I5" s="185"/>
      <c r="K5" s="20" t="s">
        <v>68</v>
      </c>
      <c r="L5" s="17" t="s">
        <v>17</v>
      </c>
      <c r="M5" s="17" t="s">
        <v>18</v>
      </c>
      <c r="N5" s="17" t="s">
        <v>19</v>
      </c>
      <c r="P5" s="633" t="s">
        <v>156</v>
      </c>
      <c r="Q5" s="74" t="s">
        <v>144</v>
      </c>
      <c r="R5" s="12" t="s">
        <v>145</v>
      </c>
      <c r="S5" s="74" t="s">
        <v>147</v>
      </c>
      <c r="T5" s="74" t="s">
        <v>148</v>
      </c>
      <c r="U5" s="74"/>
      <c r="W5" s="233" t="s">
        <v>25</v>
      </c>
      <c r="X5" t="s">
        <v>152</v>
      </c>
      <c r="Y5" t="s">
        <v>154</v>
      </c>
      <c r="Z5" t="s">
        <v>155</v>
      </c>
      <c r="AA5" t="s">
        <v>161</v>
      </c>
      <c r="AB5" t="s">
        <v>162</v>
      </c>
      <c r="AC5" t="s">
        <v>163</v>
      </c>
      <c r="AD5" t="s">
        <v>164</v>
      </c>
      <c r="AE5" t="s">
        <v>165</v>
      </c>
      <c r="AF5" t="s">
        <v>166</v>
      </c>
      <c r="AG5" t="s">
        <v>23</v>
      </c>
      <c r="AH5" s="233" t="s">
        <v>24</v>
      </c>
      <c r="AM5" s="43"/>
      <c r="AN5" s="43"/>
    </row>
    <row r="6" spans="1:43" x14ac:dyDescent="0.3">
      <c r="A6" s="184"/>
      <c r="B6" s="18" t="s">
        <v>67</v>
      </c>
      <c r="C6" s="632" t="s">
        <v>70</v>
      </c>
      <c r="D6" s="719" t="s">
        <v>557</v>
      </c>
      <c r="E6" s="76">
        <f>AN9</f>
        <v>300000</v>
      </c>
      <c r="F6" s="76">
        <f>AN10</f>
        <v>400000</v>
      </c>
      <c r="G6" s="76">
        <f>AN11</f>
        <v>400000</v>
      </c>
      <c r="H6" s="720">
        <f>AN12</f>
        <v>550000</v>
      </c>
      <c r="I6" s="721"/>
      <c r="K6" t="s">
        <v>67</v>
      </c>
      <c r="L6" s="50">
        <f>Forecast_Consolidated_3_9b!F18</f>
        <v>408000</v>
      </c>
      <c r="M6" s="50">
        <f>Forecast_Consolidated_3_9b!G18</f>
        <v>1450000</v>
      </c>
      <c r="N6" s="50">
        <f>Forecast_Consolidated_3_9b!H18</f>
        <v>1510000</v>
      </c>
      <c r="P6" t="s">
        <v>107</v>
      </c>
      <c r="Q6" t="s">
        <v>70</v>
      </c>
      <c r="R6" s="634" t="s">
        <v>146</v>
      </c>
      <c r="S6" s="643">
        <f>AQ4</f>
        <v>12800000</v>
      </c>
      <c r="T6" t="s">
        <v>149</v>
      </c>
      <c r="U6" t="s">
        <v>702</v>
      </c>
      <c r="W6" s="62">
        <v>300000</v>
      </c>
      <c r="X6" s="665">
        <v>340000</v>
      </c>
      <c r="Y6" s="43"/>
      <c r="AI6" s="62">
        <f>SUM(W6:AH6)</f>
        <v>640000</v>
      </c>
      <c r="AJ6" s="43">
        <f>SUM(Y7:AH7)-W6</f>
        <v>12500000</v>
      </c>
      <c r="AN6" s="642"/>
    </row>
    <row r="7" spans="1:43" x14ac:dyDescent="0.3">
      <c r="A7" s="184"/>
      <c r="B7" s="18"/>
      <c r="C7" s="632" t="s">
        <v>71</v>
      </c>
      <c r="D7" s="719" t="s">
        <v>557</v>
      </c>
      <c r="E7" s="76"/>
      <c r="F7" s="76"/>
      <c r="G7" s="76">
        <f>S7</f>
        <v>500000</v>
      </c>
      <c r="H7" s="720">
        <f>S7</f>
        <v>500000</v>
      </c>
      <c r="I7" s="722"/>
      <c r="P7" t="s">
        <v>107</v>
      </c>
      <c r="Q7" t="s">
        <v>71</v>
      </c>
      <c r="R7" s="634" t="s">
        <v>146</v>
      </c>
      <c r="S7" s="43">
        <v>500000</v>
      </c>
      <c r="T7" t="s">
        <v>150</v>
      </c>
      <c r="U7" t="s">
        <v>703</v>
      </c>
      <c r="Y7" s="644">
        <f>AM4</f>
        <v>1000000</v>
      </c>
      <c r="AB7" s="643">
        <f>AN4</f>
        <v>1700000</v>
      </c>
      <c r="AE7" s="643">
        <f>AO4</f>
        <v>5800000</v>
      </c>
      <c r="AH7" s="643">
        <f>AP4</f>
        <v>4300000</v>
      </c>
    </row>
    <row r="8" spans="1:43" x14ac:dyDescent="0.3">
      <c r="A8" s="184"/>
      <c r="B8" s="18"/>
      <c r="C8" s="632" t="s">
        <v>72</v>
      </c>
      <c r="D8" s="719" t="s">
        <v>557</v>
      </c>
      <c r="E8" s="76"/>
      <c r="F8" s="76"/>
      <c r="G8" s="76">
        <f>S8/12</f>
        <v>500000</v>
      </c>
      <c r="H8" s="691">
        <f>G8</f>
        <v>500000</v>
      </c>
      <c r="I8" s="722"/>
      <c r="L8" s="433"/>
      <c r="M8" s="433"/>
      <c r="N8" s="433"/>
      <c r="P8" t="s">
        <v>107</v>
      </c>
      <c r="Q8" t="s">
        <v>72</v>
      </c>
      <c r="R8" s="634" t="s">
        <v>146</v>
      </c>
      <c r="S8" s="43">
        <v>6000000</v>
      </c>
      <c r="T8" t="s">
        <v>149</v>
      </c>
      <c r="U8" t="s">
        <v>703</v>
      </c>
    </row>
    <row r="9" spans="1:43" ht="15" thickBot="1" x14ac:dyDescent="0.35">
      <c r="A9" s="184"/>
      <c r="B9" s="18"/>
      <c r="C9" s="25" t="s">
        <v>66</v>
      </c>
      <c r="D9" s="25"/>
      <c r="E9" s="51">
        <f>SUM(E6:E8)</f>
        <v>300000</v>
      </c>
      <c r="F9" s="51">
        <f t="shared" ref="F9:H9" si="0">SUM(F6:F8)</f>
        <v>400000</v>
      </c>
      <c r="G9" s="51">
        <f t="shared" si="0"/>
        <v>1400000</v>
      </c>
      <c r="H9" s="51">
        <f t="shared" si="0"/>
        <v>1550000</v>
      </c>
      <c r="I9" s="723"/>
      <c r="Q9" s="40" t="s">
        <v>167</v>
      </c>
      <c r="S9" s="62"/>
      <c r="W9" s="2" t="s">
        <v>176</v>
      </c>
      <c r="AM9" t="s">
        <v>689</v>
      </c>
      <c r="AN9" s="43">
        <v>300000</v>
      </c>
      <c r="AO9" s="43"/>
      <c r="AP9" s="43"/>
      <c r="AQ9" s="43"/>
    </row>
    <row r="10" spans="1:43" ht="29.4" thickTop="1" x14ac:dyDescent="0.3">
      <c r="A10" s="184"/>
      <c r="B10" s="18"/>
      <c r="C10" s="18"/>
      <c r="D10" s="18"/>
      <c r="E10" s="76"/>
      <c r="F10" s="76"/>
      <c r="G10" s="76"/>
      <c r="H10" s="18"/>
      <c r="I10" s="185"/>
      <c r="S10" s="43"/>
      <c r="W10" s="892" t="s">
        <v>151</v>
      </c>
      <c r="X10" s="892"/>
      <c r="Y10" s="892"/>
      <c r="Z10" s="892"/>
      <c r="AA10" s="892"/>
      <c r="AB10" s="892"/>
      <c r="AC10" s="892"/>
      <c r="AD10" s="892"/>
      <c r="AE10" s="892"/>
      <c r="AF10" s="892"/>
      <c r="AG10" s="892"/>
      <c r="AH10" s="892"/>
      <c r="AI10" s="49" t="s">
        <v>159</v>
      </c>
      <c r="AJ10" s="49" t="s">
        <v>160</v>
      </c>
      <c r="AM10" t="s">
        <v>690</v>
      </c>
      <c r="AN10" s="43">
        <v>400000</v>
      </c>
    </row>
    <row r="11" spans="1:43" x14ac:dyDescent="0.3">
      <c r="A11" s="184"/>
      <c r="B11" s="18">
        <f>12/60</f>
        <v>0.2</v>
      </c>
      <c r="C11" s="18"/>
      <c r="D11" s="18"/>
      <c r="E11" s="76"/>
      <c r="F11" s="76"/>
      <c r="G11" s="76"/>
      <c r="H11" s="18"/>
      <c r="I11" s="185"/>
      <c r="J11" s="678" t="s">
        <v>108</v>
      </c>
      <c r="K11" s="679"/>
      <c r="L11" s="680"/>
      <c r="M11" s="680"/>
      <c r="N11" s="680"/>
      <c r="O11" s="679"/>
      <c r="P11" s="679"/>
      <c r="Q11" s="679"/>
      <c r="R11" s="681"/>
      <c r="S11" s="679"/>
      <c r="T11" s="647"/>
      <c r="U11" s="647"/>
      <c r="V11" s="647"/>
      <c r="W11" s="650" t="s">
        <v>25</v>
      </c>
      <c r="X11" s="650" t="s">
        <v>152</v>
      </c>
      <c r="Y11" s="651" t="s">
        <v>154</v>
      </c>
      <c r="Z11" s="647" t="s">
        <v>155</v>
      </c>
      <c r="AA11" s="647" t="s">
        <v>161</v>
      </c>
      <c r="AB11" s="647" t="s">
        <v>162</v>
      </c>
      <c r="AC11" s="652" t="s">
        <v>163</v>
      </c>
      <c r="AD11" s="650" t="s">
        <v>164</v>
      </c>
      <c r="AE11" s="651" t="s">
        <v>165</v>
      </c>
      <c r="AF11" s="156" t="s">
        <v>166</v>
      </c>
      <c r="AG11" s="18" t="s">
        <v>23</v>
      </c>
      <c r="AH11" s="9" t="s">
        <v>24</v>
      </c>
      <c r="AM11" t="s">
        <v>691</v>
      </c>
      <c r="AN11" s="43">
        <v>400000</v>
      </c>
    </row>
    <row r="12" spans="1:43" ht="15" thickBot="1" x14ac:dyDescent="0.35">
      <c r="A12" s="637"/>
      <c r="B12" s="630"/>
      <c r="C12" s="630"/>
      <c r="D12" s="630"/>
      <c r="E12" s="724"/>
      <c r="F12" s="724"/>
      <c r="G12" s="724"/>
      <c r="H12" s="630"/>
      <c r="I12" s="631"/>
      <c r="J12" s="679"/>
      <c r="K12" s="679"/>
      <c r="L12" s="680"/>
      <c r="M12" s="680"/>
      <c r="N12" s="680"/>
      <c r="O12" s="679"/>
      <c r="P12" s="679"/>
      <c r="Q12" s="679"/>
      <c r="R12" s="681"/>
      <c r="S12" s="682"/>
      <c r="T12" s="647"/>
      <c r="U12" s="647"/>
      <c r="V12" s="647"/>
      <c r="W12" s="654">
        <v>2962800</v>
      </c>
      <c r="X12" s="654">
        <v>2896960</v>
      </c>
      <c r="Y12" s="651"/>
      <c r="Z12" s="647"/>
      <c r="AA12" s="647"/>
      <c r="AB12" s="647"/>
      <c r="AC12" s="652"/>
      <c r="AD12" s="650"/>
      <c r="AE12" s="651"/>
      <c r="AF12" s="156"/>
      <c r="AG12" s="18"/>
      <c r="AH12" s="9"/>
      <c r="AI12">
        <f>SUM(W12:AH12)</f>
        <v>5859760</v>
      </c>
      <c r="AJ12" s="43">
        <f>S8*4-AI12</f>
        <v>18140240</v>
      </c>
      <c r="AM12" t="s">
        <v>692</v>
      </c>
      <c r="AN12" s="43">
        <v>550000</v>
      </c>
    </row>
    <row r="13" spans="1:43" x14ac:dyDescent="0.3">
      <c r="C13" s="18"/>
      <c r="D13" s="18"/>
      <c r="E13" s="76"/>
      <c r="F13" s="76"/>
      <c r="G13" s="76"/>
      <c r="J13" s="679"/>
      <c r="K13" s="683" t="s">
        <v>68</v>
      </c>
      <c r="L13" s="684" t="s">
        <v>17</v>
      </c>
      <c r="M13" s="684" t="s">
        <v>18</v>
      </c>
      <c r="N13" s="684" t="s">
        <v>19</v>
      </c>
      <c r="O13" s="679"/>
      <c r="P13" s="680" t="s">
        <v>219</v>
      </c>
      <c r="Q13" s="679"/>
      <c r="R13" s="681"/>
      <c r="S13" s="682"/>
      <c r="T13" s="647"/>
      <c r="U13" s="647"/>
      <c r="V13" s="655" t="s">
        <v>237</v>
      </c>
      <c r="W13" s="650"/>
      <c r="X13" s="650"/>
      <c r="Y13" s="656">
        <f>SUM(W12:Y12)</f>
        <v>5859760</v>
      </c>
      <c r="Z13" s="657"/>
      <c r="AA13" s="657"/>
      <c r="AB13" s="658">
        <f>SUM(Z12:AB12)</f>
        <v>0</v>
      </c>
      <c r="AC13" s="659"/>
      <c r="AD13" s="660"/>
      <c r="AE13" s="656">
        <f>SUM(AC12:AE12)</f>
        <v>0</v>
      </c>
      <c r="AF13" s="157"/>
      <c r="AG13" s="158"/>
      <c r="AH13" s="154">
        <f>SUM(AF12:AH12)</f>
        <v>0</v>
      </c>
    </row>
    <row r="14" spans="1:43" x14ac:dyDescent="0.3">
      <c r="C14" s="18"/>
      <c r="D14" s="18"/>
      <c r="E14" s="76"/>
      <c r="F14" s="76"/>
      <c r="G14" s="76"/>
      <c r="J14" s="679"/>
      <c r="K14" s="679" t="s">
        <v>67</v>
      </c>
      <c r="L14" s="682">
        <f>L23</f>
        <v>6526375</v>
      </c>
      <c r="M14" s="682">
        <f t="shared" ref="M14:N14" si="1">M23</f>
        <v>6371375</v>
      </c>
      <c r="N14" s="682">
        <f t="shared" si="1"/>
        <v>6541375</v>
      </c>
      <c r="O14" s="679"/>
      <c r="P14" s="679"/>
      <c r="Q14" s="679"/>
      <c r="R14" s="681"/>
      <c r="S14" s="682"/>
      <c r="T14" s="647"/>
      <c r="U14" s="647"/>
      <c r="V14" s="655" t="s">
        <v>236</v>
      </c>
      <c r="W14" s="650"/>
      <c r="X14" s="650"/>
      <c r="Y14" s="661">
        <f>$S$8-Y13</f>
        <v>140240</v>
      </c>
      <c r="Z14" s="657"/>
      <c r="AA14" s="657"/>
      <c r="AB14" s="662">
        <f>$S$8-AB13</f>
        <v>6000000</v>
      </c>
      <c r="AC14" s="659"/>
      <c r="AD14" s="660"/>
      <c r="AE14" s="661">
        <f>$S$8-AE13</f>
        <v>6000000</v>
      </c>
      <c r="AF14" s="157"/>
      <c r="AG14" s="158"/>
      <c r="AH14" s="155">
        <f>$S$8-AH13</f>
        <v>6000000</v>
      </c>
    </row>
    <row r="15" spans="1:43" x14ac:dyDescent="0.3">
      <c r="C15" s="18"/>
      <c r="D15" s="18"/>
      <c r="E15" s="76"/>
      <c r="F15" s="76"/>
      <c r="G15" s="76"/>
      <c r="J15" s="679"/>
      <c r="K15" s="679"/>
      <c r="L15" s="680"/>
      <c r="M15" s="680"/>
      <c r="N15" s="680"/>
      <c r="O15" s="679"/>
      <c r="P15" s="679"/>
      <c r="Q15" s="679"/>
      <c r="R15" s="681"/>
      <c r="S15" s="682"/>
      <c r="T15" s="647"/>
      <c r="U15" s="647"/>
      <c r="V15" s="647"/>
      <c r="W15" s="647"/>
      <c r="X15" s="647"/>
      <c r="Y15" s="647"/>
      <c r="Z15" s="647"/>
      <c r="AA15" s="647"/>
      <c r="AB15" s="647"/>
      <c r="AC15" s="647"/>
      <c r="AD15" s="647"/>
      <c r="AE15" s="647"/>
      <c r="AM15" t="s">
        <v>393</v>
      </c>
      <c r="AO15" s="43">
        <v>340000</v>
      </c>
      <c r="AP15" t="s">
        <v>596</v>
      </c>
    </row>
    <row r="16" spans="1:43" x14ac:dyDescent="0.3">
      <c r="C16" s="18"/>
      <c r="D16" s="18"/>
      <c r="E16" s="76"/>
      <c r="F16" s="76"/>
      <c r="G16" s="76"/>
      <c r="J16" s="679"/>
      <c r="K16" s="679"/>
      <c r="L16" s="680"/>
      <c r="M16" s="680"/>
      <c r="N16" s="680"/>
      <c r="O16" s="679"/>
      <c r="P16" s="679"/>
      <c r="Q16" s="679"/>
      <c r="R16" s="681"/>
      <c r="S16" s="682"/>
      <c r="T16" s="647"/>
      <c r="U16" s="647"/>
      <c r="V16" s="647"/>
      <c r="W16" s="647"/>
      <c r="X16" s="647"/>
      <c r="Y16" s="647"/>
      <c r="Z16" s="647"/>
      <c r="AA16" s="647"/>
      <c r="AB16" s="647"/>
      <c r="AC16" s="647"/>
      <c r="AD16" s="647"/>
      <c r="AE16" s="647"/>
      <c r="AO16" s="664">
        <f>AO15/5</f>
        <v>68000</v>
      </c>
      <c r="AP16" t="s">
        <v>705</v>
      </c>
    </row>
    <row r="17" spans="1:42" x14ac:dyDescent="0.3">
      <c r="J17" s="679"/>
      <c r="K17" s="679"/>
      <c r="L17" s="680"/>
      <c r="M17" s="680"/>
      <c r="N17" s="680"/>
      <c r="O17" s="679"/>
      <c r="P17" s="679"/>
      <c r="Q17" s="679"/>
      <c r="R17" s="681"/>
      <c r="S17" s="679"/>
      <c r="T17" s="647"/>
      <c r="U17" s="647"/>
      <c r="V17" s="647"/>
      <c r="W17" s="647"/>
      <c r="X17" s="647"/>
      <c r="Y17" s="647"/>
      <c r="Z17" s="647"/>
      <c r="AA17" s="647"/>
      <c r="AB17" s="647"/>
      <c r="AC17" s="647"/>
      <c r="AD17" s="647"/>
      <c r="AE17" s="647"/>
      <c r="AO17" s="664">
        <f>AO16/975</f>
        <v>69.743589743589737</v>
      </c>
      <c r="AP17" t="s">
        <v>706</v>
      </c>
    </row>
    <row r="18" spans="1:42" x14ac:dyDescent="0.3">
      <c r="B18" s="26" t="s">
        <v>73</v>
      </c>
      <c r="F18" s="16" t="s">
        <v>152</v>
      </c>
      <c r="G18" s="16" t="s">
        <v>154</v>
      </c>
      <c r="H18" s="16" t="s">
        <v>155</v>
      </c>
      <c r="J18" s="678" t="s">
        <v>239</v>
      </c>
      <c r="K18" s="679"/>
      <c r="L18" s="680" t="s">
        <v>544</v>
      </c>
      <c r="M18" s="680" t="s">
        <v>152</v>
      </c>
      <c r="N18" s="680" t="s">
        <v>154</v>
      </c>
      <c r="O18" s="679"/>
      <c r="P18" s="679"/>
      <c r="Q18" s="679"/>
      <c r="R18" s="679"/>
      <c r="S18" s="679"/>
      <c r="T18" s="647"/>
      <c r="U18" s="647"/>
      <c r="V18" s="647"/>
      <c r="W18" s="647"/>
      <c r="X18" s="647"/>
      <c r="Y18" s="647"/>
      <c r="Z18" s="647"/>
      <c r="AA18" s="647"/>
      <c r="AB18" s="647"/>
      <c r="AC18" s="647"/>
      <c r="AD18" s="647"/>
      <c r="AE18" s="647"/>
    </row>
    <row r="19" spans="1:42" x14ac:dyDescent="0.3">
      <c r="F19" s="17" t="s">
        <v>17</v>
      </c>
      <c r="G19" s="17" t="s">
        <v>18</v>
      </c>
      <c r="H19" s="17" t="s">
        <v>19</v>
      </c>
      <c r="J19" s="679"/>
      <c r="K19" s="683" t="s">
        <v>69</v>
      </c>
      <c r="L19" s="684" t="s">
        <v>17</v>
      </c>
      <c r="M19" s="684" t="s">
        <v>18</v>
      </c>
      <c r="N19" s="684" t="s">
        <v>19</v>
      </c>
      <c r="O19" s="679"/>
      <c r="P19" s="679"/>
      <c r="Q19" s="679"/>
      <c r="R19" s="679"/>
      <c r="S19" s="679"/>
      <c r="T19" s="647"/>
      <c r="U19" s="647"/>
      <c r="V19" s="647"/>
      <c r="W19" s="647"/>
      <c r="X19" s="647"/>
      <c r="Y19" s="647"/>
      <c r="Z19" s="647"/>
      <c r="AA19" s="647"/>
      <c r="AB19" s="647"/>
      <c r="AC19" s="647"/>
      <c r="AD19" s="647"/>
      <c r="AE19" s="647"/>
    </row>
    <row r="20" spans="1:42" x14ac:dyDescent="0.3">
      <c r="B20" t="s">
        <v>68</v>
      </c>
      <c r="C20" t="s">
        <v>74</v>
      </c>
      <c r="D20" s="2" t="s">
        <v>557</v>
      </c>
      <c r="F20" s="50">
        <f>F9</f>
        <v>400000</v>
      </c>
      <c r="G20" s="50">
        <f>G9</f>
        <v>1400000</v>
      </c>
      <c r="H20" s="50">
        <f>H9</f>
        <v>1550000</v>
      </c>
      <c r="J20" s="679" t="s">
        <v>68</v>
      </c>
      <c r="K20" s="679" t="s">
        <v>70</v>
      </c>
      <c r="L20" s="685">
        <f>'Indv supp plan_7_8'!E31</f>
        <v>340000</v>
      </c>
      <c r="M20" s="682">
        <f>'Indv supp plan_7_8'!F31</f>
        <v>380000</v>
      </c>
      <c r="N20" s="682">
        <f>'Indv supp plan_7_8'!G31</f>
        <v>550000</v>
      </c>
      <c r="O20" s="679"/>
      <c r="P20" s="679"/>
      <c r="Q20" s="679"/>
      <c r="R20" s="679"/>
      <c r="S20" s="679"/>
      <c r="T20" s="647"/>
      <c r="U20" s="647"/>
      <c r="V20" s="647"/>
      <c r="W20" s="647"/>
      <c r="X20" s="647"/>
      <c r="Y20" s="647"/>
      <c r="Z20" s="647"/>
      <c r="AA20" s="647"/>
      <c r="AB20" s="647"/>
      <c r="AC20" s="647"/>
      <c r="AD20" s="647"/>
      <c r="AE20" s="647"/>
    </row>
    <row r="21" spans="1:42" x14ac:dyDescent="0.3">
      <c r="B21" t="s">
        <v>67</v>
      </c>
      <c r="C21" t="s">
        <v>75</v>
      </c>
      <c r="D21" s="2" t="s">
        <v>557</v>
      </c>
      <c r="F21" s="50">
        <f>L6</f>
        <v>408000</v>
      </c>
      <c r="G21" s="50">
        <f>M6</f>
        <v>1450000</v>
      </c>
      <c r="H21" s="50">
        <f>N6</f>
        <v>1510000</v>
      </c>
      <c r="J21" s="679" t="s">
        <v>67</v>
      </c>
      <c r="K21" s="679" t="s">
        <v>71</v>
      </c>
      <c r="L21" s="682">
        <v>3290625</v>
      </c>
      <c r="M21" s="682">
        <v>3290625</v>
      </c>
      <c r="N21" s="682">
        <v>3290625</v>
      </c>
      <c r="O21" s="679"/>
      <c r="P21" s="679"/>
      <c r="Q21" s="679"/>
      <c r="R21" s="679"/>
      <c r="S21" s="679"/>
      <c r="T21" s="647"/>
      <c r="U21" s="647"/>
      <c r="V21" s="647"/>
      <c r="W21" s="647"/>
      <c r="X21" s="647"/>
      <c r="Y21" s="647"/>
      <c r="Z21" s="647"/>
      <c r="AA21" s="647"/>
      <c r="AB21" s="647"/>
      <c r="AC21" s="647"/>
      <c r="AD21" s="647"/>
      <c r="AE21" s="647"/>
    </row>
    <row r="22" spans="1:42" ht="15" thickBot="1" x14ac:dyDescent="0.35">
      <c r="C22" s="25" t="s">
        <v>76</v>
      </c>
      <c r="D22" s="25"/>
      <c r="F22" s="51">
        <f>F20-F21</f>
        <v>-8000</v>
      </c>
      <c r="G22" s="51">
        <f t="shared" ref="G22:H22" si="2">G20-G21</f>
        <v>-50000</v>
      </c>
      <c r="H22" s="51">
        <f t="shared" si="2"/>
        <v>40000</v>
      </c>
      <c r="J22" s="679"/>
      <c r="K22" s="679" t="s">
        <v>72</v>
      </c>
      <c r="L22" s="682">
        <v>2895750</v>
      </c>
      <c r="M22" s="682">
        <v>2700750</v>
      </c>
      <c r="N22" s="682">
        <v>2700750</v>
      </c>
      <c r="O22" s="679"/>
      <c r="P22" s="679"/>
      <c r="Q22" s="679"/>
      <c r="R22" s="679"/>
      <c r="S22" s="679"/>
      <c r="T22" s="647"/>
      <c r="U22" s="647"/>
      <c r="V22" s="647"/>
      <c r="W22" s="647"/>
      <c r="X22" s="647"/>
      <c r="Y22" s="647"/>
      <c r="Z22" s="647"/>
      <c r="AA22" s="647"/>
      <c r="AB22" s="647"/>
      <c r="AC22" s="647"/>
      <c r="AD22" s="647"/>
      <c r="AE22" s="647"/>
    </row>
    <row r="23" spans="1:42" ht="15.6" thickTop="1" thickBot="1" x14ac:dyDescent="0.35">
      <c r="F23" s="68">
        <f>F20-F22</f>
        <v>408000</v>
      </c>
      <c r="G23" s="68">
        <f t="shared" ref="G23:H23" si="3">G20-G22</f>
        <v>1450000</v>
      </c>
      <c r="H23" s="68">
        <f t="shared" si="3"/>
        <v>1510000</v>
      </c>
      <c r="J23" s="679"/>
      <c r="K23" s="686" t="s">
        <v>66</v>
      </c>
      <c r="L23" s="687">
        <f>SUM(L20:L22)</f>
        <v>6526375</v>
      </c>
      <c r="M23" s="687">
        <f t="shared" ref="M23:N23" si="4">SUM(M20:M22)</f>
        <v>6371375</v>
      </c>
      <c r="N23" s="687">
        <f t="shared" si="4"/>
        <v>6541375</v>
      </c>
      <c r="O23" s="679"/>
      <c r="P23" s="679"/>
      <c r="Q23" s="679"/>
      <c r="R23" s="679"/>
      <c r="S23" s="679"/>
      <c r="T23" s="647"/>
      <c r="U23" s="647"/>
      <c r="V23" s="647"/>
      <c r="W23" s="647"/>
      <c r="X23" s="647"/>
      <c r="Y23" s="647"/>
      <c r="Z23" s="647"/>
      <c r="AA23" s="647"/>
      <c r="AB23" s="647"/>
      <c r="AC23" s="647"/>
      <c r="AD23" s="647"/>
      <c r="AE23" s="647"/>
    </row>
    <row r="24" spans="1:42" ht="15" thickTop="1" x14ac:dyDescent="0.3">
      <c r="A24" s="725"/>
      <c r="B24" s="706"/>
      <c r="C24" s="706"/>
      <c r="D24" s="706"/>
      <c r="E24" s="716"/>
      <c r="F24" s="716"/>
      <c r="G24" s="716"/>
      <c r="H24" s="708"/>
      <c r="J24" s="679"/>
      <c r="K24" s="679"/>
      <c r="L24" s="680"/>
      <c r="M24" s="680"/>
      <c r="N24" s="680"/>
      <c r="O24" s="679"/>
      <c r="P24" s="679"/>
      <c r="Q24" s="679"/>
      <c r="R24" s="679"/>
      <c r="S24" s="679"/>
      <c r="T24" s="647"/>
      <c r="U24" s="647"/>
      <c r="V24" s="647"/>
      <c r="W24" s="647"/>
      <c r="X24" s="647"/>
      <c r="Y24" s="647"/>
      <c r="Z24" s="647"/>
      <c r="AA24" s="647"/>
      <c r="AB24" s="647"/>
      <c r="AC24" s="647"/>
      <c r="AD24" s="647"/>
      <c r="AE24" s="647"/>
    </row>
    <row r="25" spans="1:42" x14ac:dyDescent="0.3">
      <c r="A25" s="184"/>
      <c r="B25" s="717" t="s">
        <v>718</v>
      </c>
      <c r="C25" s="18"/>
      <c r="D25" s="18"/>
      <c r="E25" s="95"/>
      <c r="F25" s="95" t="s">
        <v>152</v>
      </c>
      <c r="G25" s="95" t="s">
        <v>154</v>
      </c>
      <c r="H25" s="700" t="s">
        <v>155</v>
      </c>
      <c r="J25" s="679"/>
      <c r="K25" s="679"/>
      <c r="L25" s="680"/>
      <c r="M25" s="680"/>
      <c r="N25" s="680"/>
      <c r="O25" s="679"/>
      <c r="P25" s="679"/>
      <c r="Q25" s="679"/>
      <c r="R25" s="679"/>
      <c r="S25" s="679"/>
      <c r="T25" s="647"/>
      <c r="U25" s="647"/>
      <c r="V25" s="647"/>
      <c r="W25" s="647"/>
      <c r="X25" s="647"/>
      <c r="Y25" s="647"/>
      <c r="Z25" s="647"/>
      <c r="AA25" s="647"/>
      <c r="AB25" s="647"/>
      <c r="AC25" s="647"/>
      <c r="AD25" s="647"/>
      <c r="AE25" s="647"/>
    </row>
    <row r="26" spans="1:42" x14ac:dyDescent="0.3">
      <c r="A26" s="184"/>
      <c r="B26" s="18"/>
      <c r="C26" s="335" t="s">
        <v>69</v>
      </c>
      <c r="D26" s="335"/>
      <c r="E26" s="95"/>
      <c r="F26" s="713" t="s">
        <v>17</v>
      </c>
      <c r="G26" s="713" t="s">
        <v>18</v>
      </c>
      <c r="H26" s="726" t="s">
        <v>19</v>
      </c>
      <c r="J26" s="647"/>
      <c r="K26" s="647"/>
      <c r="L26" s="648"/>
      <c r="M26" s="648"/>
      <c r="N26" s="648"/>
      <c r="O26" s="647"/>
      <c r="P26" s="647"/>
      <c r="Q26" s="647"/>
      <c r="R26" s="647"/>
      <c r="S26" s="647"/>
      <c r="T26" s="647"/>
      <c r="U26" s="647"/>
      <c r="V26" s="647"/>
      <c r="W26" s="647"/>
      <c r="X26" s="647"/>
      <c r="Y26" s="647"/>
      <c r="Z26" s="647"/>
      <c r="AA26" s="647"/>
      <c r="AB26" s="647"/>
      <c r="AC26" s="647"/>
      <c r="AD26" s="647"/>
      <c r="AE26" s="647"/>
    </row>
    <row r="27" spans="1:42" x14ac:dyDescent="0.3">
      <c r="A27" s="184"/>
      <c r="B27" s="18" t="s">
        <v>68</v>
      </c>
      <c r="C27" s="18" t="s">
        <v>70</v>
      </c>
      <c r="D27" s="719" t="s">
        <v>557</v>
      </c>
      <c r="E27" s="95"/>
      <c r="F27" s="727">
        <f>F6</f>
        <v>400000</v>
      </c>
      <c r="G27" s="728">
        <f>G6</f>
        <v>400000</v>
      </c>
      <c r="H27" s="729">
        <f>H6</f>
        <v>550000</v>
      </c>
      <c r="J27" s="647"/>
      <c r="K27" s="647"/>
      <c r="L27" s="648"/>
      <c r="M27" s="648"/>
      <c r="N27" s="648"/>
      <c r="O27" s="647"/>
      <c r="P27" s="647"/>
      <c r="Q27" s="647"/>
      <c r="R27" s="647"/>
      <c r="S27" s="647"/>
      <c r="T27" s="647"/>
      <c r="U27" s="647"/>
      <c r="V27" s="647"/>
      <c r="W27" s="647"/>
      <c r="X27" s="647"/>
      <c r="Y27" s="647"/>
      <c r="Z27" s="647"/>
      <c r="AA27" s="647"/>
      <c r="AB27" s="647"/>
      <c r="AC27" s="647"/>
      <c r="AD27" s="647"/>
      <c r="AE27" s="647"/>
    </row>
    <row r="28" spans="1:42" x14ac:dyDescent="0.3">
      <c r="A28" s="184"/>
      <c r="B28" s="18" t="s">
        <v>67</v>
      </c>
      <c r="C28" s="18" t="s">
        <v>71</v>
      </c>
      <c r="D28" s="719" t="s">
        <v>557</v>
      </c>
      <c r="E28" s="95"/>
      <c r="F28" s="728">
        <f>E7</f>
        <v>0</v>
      </c>
      <c r="G28" s="728">
        <f>G7</f>
        <v>500000</v>
      </c>
      <c r="H28" s="729">
        <f>G7</f>
        <v>500000</v>
      </c>
      <c r="J28" s="647"/>
      <c r="K28" s="647"/>
      <c r="L28" s="648"/>
      <c r="M28" s="648"/>
      <c r="N28" s="648"/>
      <c r="O28" s="647"/>
      <c r="P28" s="647"/>
      <c r="Q28" s="647"/>
      <c r="R28" s="647"/>
      <c r="S28" s="647"/>
      <c r="T28" s="647"/>
      <c r="U28" s="647"/>
      <c r="V28" s="647"/>
      <c r="W28" s="647"/>
      <c r="X28" s="647"/>
      <c r="Y28" s="647"/>
      <c r="Z28" s="647"/>
      <c r="AA28" s="647"/>
      <c r="AB28" s="647"/>
      <c r="AC28" s="647"/>
      <c r="AD28" s="647"/>
      <c r="AE28" s="647"/>
    </row>
    <row r="29" spans="1:42" x14ac:dyDescent="0.3">
      <c r="A29" s="184"/>
      <c r="B29" s="18"/>
      <c r="C29" s="18" t="s">
        <v>72</v>
      </c>
      <c r="D29" s="719" t="s">
        <v>557</v>
      </c>
      <c r="E29" s="95"/>
      <c r="F29" s="728">
        <f>E8</f>
        <v>0</v>
      </c>
      <c r="G29" s="728">
        <f>G8</f>
        <v>500000</v>
      </c>
      <c r="H29" s="729">
        <f>H8-H22</f>
        <v>460000</v>
      </c>
      <c r="I29" t="s">
        <v>704</v>
      </c>
      <c r="J29" s="647"/>
      <c r="K29" s="647"/>
      <c r="L29" s="648"/>
      <c r="M29" s="648"/>
      <c r="N29" s="648"/>
      <c r="O29" s="647"/>
      <c r="P29" s="647"/>
      <c r="Q29" s="647"/>
      <c r="R29" s="649"/>
      <c r="S29" s="647"/>
      <c r="T29" s="647"/>
      <c r="U29" s="647"/>
      <c r="V29" s="647"/>
      <c r="W29" s="647"/>
      <c r="X29" s="647"/>
      <c r="Y29" s="647"/>
      <c r="Z29" s="647"/>
      <c r="AA29" s="647"/>
      <c r="AB29" s="647"/>
      <c r="AC29" s="647"/>
      <c r="AD29" s="647"/>
      <c r="AE29" s="647"/>
    </row>
    <row r="30" spans="1:42" ht="15" thickBot="1" x14ac:dyDescent="0.35">
      <c r="A30" s="184"/>
      <c r="B30" s="18"/>
      <c r="C30" s="25" t="s">
        <v>66</v>
      </c>
      <c r="D30" s="25"/>
      <c r="E30" s="95"/>
      <c r="F30" s="52">
        <f>SUM(F27:F29)</f>
        <v>400000</v>
      </c>
      <c r="G30" s="52">
        <f t="shared" ref="G30:H30" si="5">SUM(G27:G29)</f>
        <v>1400000</v>
      </c>
      <c r="H30" s="730">
        <f t="shared" si="5"/>
        <v>1510000</v>
      </c>
      <c r="J30" s="647"/>
      <c r="K30" s="647"/>
      <c r="L30" s="653"/>
      <c r="M30" s="653"/>
      <c r="N30" s="653"/>
      <c r="O30" s="647"/>
      <c r="P30" s="647"/>
      <c r="Q30" s="663"/>
      <c r="R30" s="649"/>
      <c r="S30" s="647"/>
      <c r="T30" s="647"/>
      <c r="U30" s="647"/>
      <c r="V30" s="647"/>
      <c r="W30" s="647"/>
      <c r="X30" s="647"/>
      <c r="Y30" s="647"/>
      <c r="Z30" s="647"/>
      <c r="AA30" s="647"/>
      <c r="AB30" s="647"/>
      <c r="AC30" s="647"/>
      <c r="AD30" s="647"/>
      <c r="AE30" s="647"/>
    </row>
    <row r="31" spans="1:42" ht="15" thickTop="1" x14ac:dyDescent="0.3">
      <c r="A31" s="184"/>
      <c r="B31" s="18" t="s">
        <v>173</v>
      </c>
      <c r="C31" s="18"/>
      <c r="D31" s="18"/>
      <c r="E31" s="95"/>
      <c r="F31" s="95"/>
      <c r="G31" s="95"/>
      <c r="H31" s="185"/>
      <c r="J31" s="647"/>
      <c r="K31" s="647"/>
      <c r="L31" s="653"/>
      <c r="M31" s="653"/>
      <c r="N31" s="653"/>
      <c r="O31" s="647"/>
      <c r="P31" s="647"/>
      <c r="Q31" s="647"/>
      <c r="R31" s="649"/>
      <c r="S31" s="647"/>
      <c r="T31" s="647"/>
      <c r="U31" s="647"/>
      <c r="V31" s="647"/>
      <c r="W31" s="647"/>
      <c r="X31" s="647"/>
      <c r="Y31" s="647"/>
      <c r="Z31" s="647"/>
      <c r="AA31" s="647"/>
      <c r="AB31" s="647"/>
      <c r="AC31" s="647"/>
      <c r="AD31" s="647"/>
      <c r="AE31" s="647"/>
    </row>
    <row r="32" spans="1:42" x14ac:dyDescent="0.3">
      <c r="A32" s="184"/>
      <c r="B32" s="18"/>
      <c r="C32" s="18"/>
      <c r="D32" s="18"/>
      <c r="E32" s="95"/>
      <c r="F32" s="95"/>
      <c r="G32" s="95"/>
      <c r="H32" s="185"/>
      <c r="J32" s="647"/>
      <c r="K32" s="647"/>
      <c r="L32" s="653"/>
      <c r="M32" s="653"/>
      <c r="N32" s="653"/>
      <c r="O32" s="647"/>
      <c r="P32" s="647"/>
      <c r="Q32" s="647"/>
      <c r="R32" s="649"/>
      <c r="S32" s="647"/>
      <c r="T32" s="647"/>
      <c r="U32" s="647"/>
      <c r="V32" s="647"/>
      <c r="W32" s="647"/>
      <c r="X32" s="647"/>
      <c r="Y32" s="647"/>
      <c r="Z32" s="647"/>
      <c r="AA32" s="647"/>
      <c r="AB32" s="647"/>
      <c r="AC32" s="647"/>
      <c r="AD32" s="647"/>
      <c r="AE32" s="647"/>
    </row>
    <row r="33" spans="1:31" ht="15" thickBot="1" x14ac:dyDescent="0.35">
      <c r="A33" s="637"/>
      <c r="B33" s="630"/>
      <c r="C33" s="630"/>
      <c r="D33" s="630"/>
      <c r="E33" s="704"/>
      <c r="F33" s="704"/>
      <c r="G33" s="704"/>
      <c r="H33" s="631"/>
      <c r="J33" s="647"/>
      <c r="K33" s="647"/>
      <c r="L33" s="653"/>
      <c r="M33" s="653"/>
      <c r="N33" s="653"/>
      <c r="O33" s="647"/>
      <c r="P33" s="647"/>
      <c r="Q33" s="647"/>
      <c r="R33" s="649"/>
      <c r="S33" s="647"/>
      <c r="T33" s="647"/>
      <c r="U33" s="647"/>
      <c r="V33" s="647"/>
      <c r="W33" s="647"/>
      <c r="X33" s="647"/>
      <c r="Y33" s="647"/>
      <c r="Z33" s="647"/>
      <c r="AA33" s="647"/>
      <c r="AB33" s="647"/>
      <c r="AC33" s="647"/>
      <c r="AD33" s="647"/>
      <c r="AE33" s="647"/>
    </row>
    <row r="34" spans="1:31" x14ac:dyDescent="0.3">
      <c r="F34" s="16" t="s">
        <v>98</v>
      </c>
      <c r="J34" s="647"/>
      <c r="K34" s="647"/>
      <c r="L34" s="653"/>
      <c r="M34" s="653"/>
      <c r="N34" s="653"/>
      <c r="O34" s="647"/>
      <c r="P34" s="647"/>
      <c r="Q34" s="647"/>
      <c r="R34" s="649"/>
      <c r="S34" s="647"/>
      <c r="T34" s="647"/>
      <c r="U34" s="647"/>
      <c r="V34" s="647"/>
      <c r="W34" s="647"/>
      <c r="X34" s="647"/>
      <c r="Y34" s="647"/>
      <c r="Z34" s="647"/>
      <c r="AA34" s="647"/>
      <c r="AB34" s="647"/>
      <c r="AC34" s="647"/>
      <c r="AD34" s="647"/>
      <c r="AE34" s="647"/>
    </row>
    <row r="35" spans="1:31" ht="15" thickBot="1" x14ac:dyDescent="0.35">
      <c r="J35" s="647"/>
      <c r="K35" s="647"/>
      <c r="L35" s="653"/>
      <c r="M35" s="653"/>
      <c r="N35" s="653"/>
      <c r="O35" s="647"/>
      <c r="P35" s="647"/>
      <c r="Q35" s="647"/>
      <c r="R35" s="649"/>
      <c r="S35" s="647"/>
      <c r="T35" s="647"/>
      <c r="U35" s="647"/>
      <c r="V35" s="647"/>
      <c r="W35" s="647"/>
      <c r="X35" s="647"/>
      <c r="Y35" s="647"/>
      <c r="Z35" s="647"/>
      <c r="AA35" s="647"/>
      <c r="AB35" s="647"/>
      <c r="AC35" s="647"/>
      <c r="AD35" s="647"/>
      <c r="AE35" s="647"/>
    </row>
    <row r="36" spans="1:31" x14ac:dyDescent="0.3">
      <c r="A36" s="725"/>
      <c r="B36" s="706"/>
      <c r="C36" s="706"/>
      <c r="D36" s="706"/>
      <c r="E36" s="716"/>
      <c r="F36" s="716"/>
      <c r="G36" s="716"/>
      <c r="H36" s="708"/>
      <c r="L36" s="50"/>
      <c r="M36" s="50"/>
      <c r="N36" s="50"/>
    </row>
    <row r="37" spans="1:31" x14ac:dyDescent="0.3">
      <c r="A37" s="184"/>
      <c r="B37" s="335" t="s">
        <v>719</v>
      </c>
      <c r="C37" s="18"/>
      <c r="D37" s="18"/>
      <c r="E37" s="95"/>
      <c r="F37" s="95" t="s">
        <v>152</v>
      </c>
      <c r="G37" s="95" t="s">
        <v>154</v>
      </c>
      <c r="H37" s="700" t="s">
        <v>155</v>
      </c>
      <c r="L37" s="50"/>
      <c r="M37" s="50"/>
      <c r="N37" s="50"/>
    </row>
    <row r="38" spans="1:31" x14ac:dyDescent="0.3">
      <c r="A38" s="184"/>
      <c r="B38" s="18"/>
      <c r="C38" s="335" t="s">
        <v>69</v>
      </c>
      <c r="D38" s="335"/>
      <c r="E38" s="95"/>
      <c r="F38" s="713" t="s">
        <v>17</v>
      </c>
      <c r="G38" s="713" t="s">
        <v>18</v>
      </c>
      <c r="H38" s="726" t="s">
        <v>19</v>
      </c>
      <c r="L38" s="50"/>
      <c r="M38" s="50"/>
      <c r="N38" s="50"/>
    </row>
    <row r="39" spans="1:31" x14ac:dyDescent="0.3">
      <c r="A39" s="184"/>
      <c r="B39" s="18"/>
      <c r="C39" s="18" t="s">
        <v>70</v>
      </c>
      <c r="D39" s="719" t="s">
        <v>557</v>
      </c>
      <c r="E39" s="95"/>
      <c r="F39" s="727">
        <f>'Indv supp plan_7_8'!E31</f>
        <v>340000</v>
      </c>
      <c r="G39" s="728">
        <f>'Indv supp plan_7_8'!F31</f>
        <v>380000</v>
      </c>
      <c r="H39" s="729">
        <f>'Indv supp plan_7_8'!G31</f>
        <v>550000</v>
      </c>
      <c r="L39" s="50"/>
      <c r="M39" s="50"/>
      <c r="N39" s="50"/>
    </row>
    <row r="40" spans="1:31" x14ac:dyDescent="0.3">
      <c r="A40" s="184"/>
      <c r="B40" s="18"/>
      <c r="C40" s="18" t="s">
        <v>71</v>
      </c>
      <c r="D40" s="719" t="s">
        <v>557</v>
      </c>
      <c r="E40" s="95"/>
      <c r="F40" s="728"/>
      <c r="G40" s="728">
        <f>G28</f>
        <v>500000</v>
      </c>
      <c r="H40" s="729">
        <f>H28</f>
        <v>500000</v>
      </c>
      <c r="L40" s="50"/>
      <c r="M40" s="50"/>
      <c r="N40" s="50"/>
    </row>
    <row r="41" spans="1:31" x14ac:dyDescent="0.3">
      <c r="A41" s="184"/>
      <c r="B41" s="18"/>
      <c r="C41" s="18" t="s">
        <v>72</v>
      </c>
      <c r="D41" s="719" t="s">
        <v>557</v>
      </c>
      <c r="E41" s="95"/>
      <c r="F41" s="728"/>
      <c r="G41" s="728">
        <f>G29</f>
        <v>500000</v>
      </c>
      <c r="H41" s="729">
        <f>H29</f>
        <v>460000</v>
      </c>
      <c r="L41" s="50"/>
      <c r="M41" s="50"/>
      <c r="N41" s="50"/>
    </row>
    <row r="42" spans="1:31" ht="15" thickBot="1" x14ac:dyDescent="0.35">
      <c r="A42" s="184"/>
      <c r="B42" s="18"/>
      <c r="C42" s="25" t="s">
        <v>66</v>
      </c>
      <c r="D42" s="25"/>
      <c r="E42" s="95"/>
      <c r="F42" s="52">
        <f>SUM(F39:F41)</f>
        <v>340000</v>
      </c>
      <c r="G42" s="52">
        <f t="shared" ref="G42:H42" si="6">SUM(G39:G41)</f>
        <v>1380000</v>
      </c>
      <c r="H42" s="730">
        <f t="shared" si="6"/>
        <v>1510000</v>
      </c>
    </row>
    <row r="43" spans="1:31" ht="15.6" thickTop="1" thickBot="1" x14ac:dyDescent="0.35">
      <c r="A43" s="637"/>
      <c r="B43" s="630"/>
      <c r="C43" s="630"/>
      <c r="D43" s="630"/>
      <c r="E43" s="704"/>
      <c r="F43" s="704"/>
      <c r="G43" s="704"/>
      <c r="H43" s="631"/>
      <c r="L43" s="68"/>
      <c r="M43" s="68"/>
      <c r="N43" s="68"/>
    </row>
    <row r="44" spans="1:31" x14ac:dyDescent="0.3">
      <c r="L44" s="68"/>
      <c r="M44" s="68"/>
      <c r="N44" s="68"/>
    </row>
  </sheetData>
  <mergeCells count="2">
    <mergeCell ref="W4:AH4"/>
    <mergeCell ref="W10:AH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14A9-53BB-4F7A-B858-81B67EE6BBF1}">
  <sheetPr>
    <tabColor theme="5" tint="0.39997558519241921"/>
  </sheetPr>
  <dimension ref="A1:AR44"/>
  <sheetViews>
    <sheetView zoomScaleNormal="100" workbookViewId="0">
      <selection activeCell="G7" sqref="G7:H8"/>
    </sheetView>
  </sheetViews>
  <sheetFormatPr defaultRowHeight="14.4" x14ac:dyDescent="0.3"/>
  <cols>
    <col min="2" max="2" width="21.88671875" bestFit="1" customWidth="1"/>
    <col min="3" max="3" width="16.6640625" customWidth="1"/>
    <col min="4" max="4" width="7" bestFit="1" customWidth="1"/>
    <col min="5" max="7" width="11.5546875" style="16" bestFit="1" customWidth="1"/>
    <col min="8" max="8" width="10" bestFit="1" customWidth="1"/>
    <col min="11" max="11" width="18.6640625" bestFit="1" customWidth="1"/>
    <col min="12" max="12" width="15" bestFit="1" customWidth="1"/>
    <col min="13" max="13" width="15.5546875" style="16" customWidth="1"/>
    <col min="14" max="15" width="15.21875" style="16" customWidth="1"/>
    <col min="16" max="16" width="0" hidden="1" customWidth="1"/>
    <col min="17" max="17" width="9.5546875" hidden="1" customWidth="1"/>
    <col min="18" max="18" width="13.109375" hidden="1" customWidth="1"/>
    <col min="19" max="19" width="16.109375" style="1" hidden="1" customWidth="1"/>
    <col min="20" max="20" width="13.5546875" hidden="1" customWidth="1"/>
    <col min="21" max="22" width="10.109375" hidden="1" customWidth="1"/>
    <col min="23" max="23" width="0" hidden="1" customWidth="1"/>
    <col min="24" max="24" width="21.109375" hidden="1" customWidth="1"/>
    <col min="25" max="25" width="10.21875" hidden="1" customWidth="1"/>
    <col min="26" max="26" width="10.88671875" hidden="1" customWidth="1"/>
    <col min="27" max="27" width="4.33203125" hidden="1" customWidth="1"/>
    <col min="28" max="28" width="3.77734375" hidden="1" customWidth="1"/>
    <col min="29" max="29" width="9.5546875" hidden="1" customWidth="1"/>
    <col min="30" max="30" width="3.6640625" hidden="1" customWidth="1"/>
    <col min="31" max="31" width="3.109375" hidden="1" customWidth="1"/>
    <col min="32" max="32" width="9.5546875" hidden="1" customWidth="1"/>
    <col min="33" max="34" width="3.88671875" hidden="1" customWidth="1"/>
    <col min="35" max="35" width="9.5546875" hidden="1" customWidth="1"/>
    <col min="36" max="36" width="12.77734375" hidden="1" customWidth="1"/>
    <col min="37" max="37" width="9.88671875" hidden="1" customWidth="1"/>
    <col min="38" max="38" width="0" hidden="1" customWidth="1"/>
    <col min="39" max="39" width="10.77734375" hidden="1" customWidth="1"/>
    <col min="40" max="43" width="0" hidden="1" customWidth="1"/>
    <col min="44" max="44" width="9.77734375" hidden="1" customWidth="1"/>
    <col min="45" max="46" width="0" hidden="1" customWidth="1"/>
  </cols>
  <sheetData>
    <row r="1" spans="1:44" ht="24" thickBot="1" x14ac:dyDescent="0.5">
      <c r="A1" s="153" t="s">
        <v>107</v>
      </c>
    </row>
    <row r="2" spans="1:44" x14ac:dyDescent="0.3">
      <c r="A2" s="715"/>
      <c r="B2" s="706"/>
      <c r="C2" s="706"/>
      <c r="D2" s="706"/>
      <c r="E2" s="716"/>
      <c r="F2" s="716"/>
      <c r="G2" s="716"/>
      <c r="H2" s="706"/>
      <c r="I2" s="708"/>
      <c r="J2" s="18"/>
    </row>
    <row r="3" spans="1:44" x14ac:dyDescent="0.3">
      <c r="A3" s="184"/>
      <c r="B3" s="717" t="s">
        <v>81</v>
      </c>
      <c r="C3" s="18"/>
      <c r="D3" s="18"/>
      <c r="E3" s="95"/>
      <c r="F3" s="95"/>
      <c r="G3" s="95"/>
      <c r="H3" s="18"/>
      <c r="I3" s="185"/>
      <c r="J3" s="18"/>
      <c r="K3" s="26" t="s">
        <v>84</v>
      </c>
      <c r="Q3" s="26" t="s">
        <v>720</v>
      </c>
      <c r="X3" s="2" t="s">
        <v>177</v>
      </c>
      <c r="AN3" t="s">
        <v>684</v>
      </c>
      <c r="AO3" t="s">
        <v>685</v>
      </c>
      <c r="AP3" t="s">
        <v>686</v>
      </c>
      <c r="AQ3" t="s">
        <v>687</v>
      </c>
    </row>
    <row r="4" spans="1:44" ht="28.8" x14ac:dyDescent="0.3">
      <c r="A4" s="184"/>
      <c r="B4" s="717"/>
      <c r="C4" s="18"/>
      <c r="D4" s="718" t="s">
        <v>428</v>
      </c>
      <c r="E4" s="718" t="s">
        <v>25</v>
      </c>
      <c r="F4" s="718" t="s">
        <v>152</v>
      </c>
      <c r="G4" s="718" t="s">
        <v>154</v>
      </c>
      <c r="H4" s="718" t="s">
        <v>155</v>
      </c>
      <c r="I4" s="185"/>
      <c r="J4" s="18"/>
      <c r="M4" s="16" t="s">
        <v>152</v>
      </c>
      <c r="N4" s="16" t="s">
        <v>154</v>
      </c>
      <c r="O4" s="16" t="s">
        <v>155</v>
      </c>
      <c r="Q4" s="2" t="s">
        <v>235</v>
      </c>
      <c r="X4" s="892" t="s">
        <v>151</v>
      </c>
      <c r="Y4" s="892"/>
      <c r="Z4" s="892"/>
      <c r="AA4" s="892"/>
      <c r="AB4" s="892"/>
      <c r="AC4" s="892"/>
      <c r="AD4" s="892"/>
      <c r="AE4" s="892"/>
      <c r="AF4" s="892"/>
      <c r="AG4" s="892"/>
      <c r="AH4" s="892"/>
      <c r="AI4" s="892"/>
      <c r="AJ4" s="49" t="s">
        <v>159</v>
      </c>
      <c r="AK4" s="49" t="s">
        <v>160</v>
      </c>
      <c r="AN4" s="638">
        <v>1000000</v>
      </c>
      <c r="AO4" s="638">
        <v>1700000</v>
      </c>
      <c r="AP4" s="638">
        <v>5800000</v>
      </c>
      <c r="AQ4" s="638">
        <v>4300000</v>
      </c>
      <c r="AR4" s="638">
        <f>AN4+AO4+AP4+AQ4</f>
        <v>12800000</v>
      </c>
    </row>
    <row r="5" spans="1:44" x14ac:dyDescent="0.3">
      <c r="A5" s="184"/>
      <c r="B5" s="335" t="s">
        <v>68</v>
      </c>
      <c r="C5" s="335" t="s">
        <v>69</v>
      </c>
      <c r="D5" s="335"/>
      <c r="E5" s="95" t="s">
        <v>693</v>
      </c>
      <c r="F5" s="713" t="s">
        <v>17</v>
      </c>
      <c r="G5" s="713" t="s">
        <v>18</v>
      </c>
      <c r="H5" s="713" t="s">
        <v>19</v>
      </c>
      <c r="I5" s="185"/>
      <c r="J5" s="18"/>
      <c r="L5" s="20" t="s">
        <v>68</v>
      </c>
      <c r="M5" s="17" t="s">
        <v>17</v>
      </c>
      <c r="N5" s="17" t="s">
        <v>18</v>
      </c>
      <c r="O5" s="17" t="s">
        <v>19</v>
      </c>
      <c r="Q5" s="48" t="s">
        <v>156</v>
      </c>
      <c r="R5" s="74" t="s">
        <v>144</v>
      </c>
      <c r="S5" s="12" t="s">
        <v>145</v>
      </c>
      <c r="T5" s="74" t="s">
        <v>147</v>
      </c>
      <c r="U5" s="74" t="s">
        <v>148</v>
      </c>
      <c r="V5" s="74"/>
      <c r="X5" s="233" t="s">
        <v>25</v>
      </c>
      <c r="Y5" t="s">
        <v>152</v>
      </c>
      <c r="Z5" t="s">
        <v>154</v>
      </c>
      <c r="AA5" t="s">
        <v>155</v>
      </c>
      <c r="AB5" t="s">
        <v>161</v>
      </c>
      <c r="AC5" t="s">
        <v>162</v>
      </c>
      <c r="AD5" t="s">
        <v>163</v>
      </c>
      <c r="AE5" t="s">
        <v>164</v>
      </c>
      <c r="AF5" t="s">
        <v>165</v>
      </c>
      <c r="AG5" t="s">
        <v>166</v>
      </c>
      <c r="AH5" t="s">
        <v>23</v>
      </c>
      <c r="AI5" s="233" t="s">
        <v>24</v>
      </c>
      <c r="AN5" s="43"/>
      <c r="AO5" s="43"/>
    </row>
    <row r="6" spans="1:44" x14ac:dyDescent="0.3">
      <c r="A6" s="184"/>
      <c r="B6" s="18" t="s">
        <v>67</v>
      </c>
      <c r="C6" s="632" t="s">
        <v>70</v>
      </c>
      <c r="D6" s="719" t="s">
        <v>557</v>
      </c>
      <c r="E6" s="76">
        <f>AO9</f>
        <v>300000</v>
      </c>
      <c r="F6" s="76">
        <f>AO10</f>
        <v>400000</v>
      </c>
      <c r="G6" s="76">
        <f>AO11</f>
        <v>400000</v>
      </c>
      <c r="H6" s="720">
        <f>AO12</f>
        <v>550000</v>
      </c>
      <c r="I6" s="721"/>
      <c r="J6" s="76"/>
      <c r="L6" t="s">
        <v>67</v>
      </c>
      <c r="M6" s="50">
        <f>Forecast_Consolidated_3_9b!F18</f>
        <v>408000</v>
      </c>
      <c r="N6" s="50">
        <f>Forecast_Consolidated_3_9b!G18</f>
        <v>1450000</v>
      </c>
      <c r="O6" s="50">
        <f>Forecast_Consolidated_3_9b!H18</f>
        <v>1510000</v>
      </c>
      <c r="Q6" t="s">
        <v>107</v>
      </c>
      <c r="R6" t="s">
        <v>70</v>
      </c>
      <c r="S6" s="1" t="s">
        <v>146</v>
      </c>
      <c r="T6" s="643">
        <f>AR4</f>
        <v>12800000</v>
      </c>
      <c r="U6" t="s">
        <v>149</v>
      </c>
      <c r="V6" t="s">
        <v>702</v>
      </c>
      <c r="X6" s="62">
        <v>300000</v>
      </c>
      <c r="Y6" s="665">
        <v>340000</v>
      </c>
      <c r="Z6" s="43"/>
      <c r="AJ6" s="62">
        <f>SUM(X6:AI6)</f>
        <v>640000</v>
      </c>
      <c r="AK6" s="43">
        <f>SUM(Z7:AI7)-X6</f>
        <v>12500000</v>
      </c>
      <c r="AO6" s="642"/>
    </row>
    <row r="7" spans="1:44" x14ac:dyDescent="0.3">
      <c r="A7" s="184"/>
      <c r="B7" s="18"/>
      <c r="C7" s="632" t="s">
        <v>71</v>
      </c>
      <c r="D7" s="719" t="s">
        <v>557</v>
      </c>
      <c r="E7" s="76"/>
      <c r="F7" s="76"/>
      <c r="G7" s="76">
        <f>T7</f>
        <v>500000</v>
      </c>
      <c r="H7" s="720">
        <f>T7</f>
        <v>500000</v>
      </c>
      <c r="I7" s="722"/>
      <c r="J7" s="731"/>
      <c r="Q7" t="s">
        <v>107</v>
      </c>
      <c r="R7" t="s">
        <v>71</v>
      </c>
      <c r="S7" s="1" t="s">
        <v>146</v>
      </c>
      <c r="T7" s="43">
        <v>500000</v>
      </c>
      <c r="U7" t="s">
        <v>150</v>
      </c>
      <c r="V7" t="s">
        <v>703</v>
      </c>
      <c r="Z7" s="644">
        <f>AN4</f>
        <v>1000000</v>
      </c>
      <c r="AC7" s="643">
        <f>AO4</f>
        <v>1700000</v>
      </c>
      <c r="AF7" s="643">
        <f>AP4</f>
        <v>5800000</v>
      </c>
      <c r="AI7" s="643">
        <f>AQ4</f>
        <v>4300000</v>
      </c>
    </row>
    <row r="8" spans="1:44" x14ac:dyDescent="0.3">
      <c r="A8" s="184"/>
      <c r="B8" s="18"/>
      <c r="C8" s="632" t="s">
        <v>72</v>
      </c>
      <c r="D8" s="719" t="s">
        <v>557</v>
      </c>
      <c r="E8" s="76"/>
      <c r="F8" s="76"/>
      <c r="G8" s="76">
        <f>T8/12</f>
        <v>500000</v>
      </c>
      <c r="H8" s="691">
        <f>G8</f>
        <v>500000</v>
      </c>
      <c r="I8" s="722"/>
      <c r="J8" s="731"/>
      <c r="M8" s="433"/>
      <c r="N8" s="433"/>
      <c r="O8" s="433"/>
      <c r="Q8" t="s">
        <v>107</v>
      </c>
      <c r="R8" t="s">
        <v>72</v>
      </c>
      <c r="S8" s="1" t="s">
        <v>146</v>
      </c>
      <c r="T8" s="43">
        <v>6000000</v>
      </c>
      <c r="U8" t="s">
        <v>149</v>
      </c>
      <c r="V8" t="s">
        <v>703</v>
      </c>
    </row>
    <row r="9" spans="1:44" ht="15" thickBot="1" x14ac:dyDescent="0.35">
      <c r="A9" s="184"/>
      <c r="B9" s="18"/>
      <c r="C9" s="25" t="s">
        <v>66</v>
      </c>
      <c r="D9" s="25"/>
      <c r="E9" s="51">
        <f>SUM(E6:E8)</f>
        <v>300000</v>
      </c>
      <c r="F9" s="51">
        <f t="shared" ref="F9:H9" si="0">SUM(F6:F8)</f>
        <v>400000</v>
      </c>
      <c r="G9" s="51">
        <f t="shared" si="0"/>
        <v>1400000</v>
      </c>
      <c r="H9" s="51">
        <f t="shared" si="0"/>
        <v>1550000</v>
      </c>
      <c r="I9" s="723"/>
      <c r="J9" s="76"/>
      <c r="R9" s="40" t="s">
        <v>167</v>
      </c>
      <c r="T9" s="62"/>
      <c r="X9" s="2" t="s">
        <v>176</v>
      </c>
      <c r="AN9" t="s">
        <v>689</v>
      </c>
      <c r="AO9" s="43">
        <v>300000</v>
      </c>
      <c r="AP9" s="43"/>
      <c r="AQ9" s="43"/>
      <c r="AR9" s="43"/>
    </row>
    <row r="10" spans="1:44" ht="29.4" thickTop="1" x14ac:dyDescent="0.3">
      <c r="A10" s="184"/>
      <c r="B10" s="18"/>
      <c r="C10" s="18"/>
      <c r="D10" s="18"/>
      <c r="E10" s="76"/>
      <c r="F10" s="76"/>
      <c r="G10" s="76"/>
      <c r="H10" s="18"/>
      <c r="I10" s="185"/>
      <c r="J10" s="18"/>
      <c r="T10" s="43"/>
      <c r="X10" s="892" t="s">
        <v>151</v>
      </c>
      <c r="Y10" s="892"/>
      <c r="Z10" s="892"/>
      <c r="AA10" s="892"/>
      <c r="AB10" s="892"/>
      <c r="AC10" s="892"/>
      <c r="AD10" s="892"/>
      <c r="AE10" s="892"/>
      <c r="AF10" s="892"/>
      <c r="AG10" s="892"/>
      <c r="AH10" s="892"/>
      <c r="AI10" s="892"/>
      <c r="AJ10" s="49" t="s">
        <v>159</v>
      </c>
      <c r="AK10" s="49" t="s">
        <v>160</v>
      </c>
      <c r="AN10" t="s">
        <v>690</v>
      </c>
      <c r="AO10" s="43">
        <v>400000</v>
      </c>
    </row>
    <row r="11" spans="1:44" x14ac:dyDescent="0.3">
      <c r="A11" s="184"/>
      <c r="B11" s="18">
        <f>12/60</f>
        <v>0.2</v>
      </c>
      <c r="C11" s="18"/>
      <c r="D11" s="18"/>
      <c r="E11" s="76"/>
      <c r="F11" s="76"/>
      <c r="G11" s="76"/>
      <c r="H11" s="18"/>
      <c r="I11" s="185"/>
      <c r="J11" s="18"/>
      <c r="K11" s="678" t="s">
        <v>108</v>
      </c>
      <c r="L11" s="679"/>
      <c r="M11" s="680"/>
      <c r="N11" s="680"/>
      <c r="O11" s="680"/>
      <c r="P11" s="679"/>
      <c r="Q11" s="679"/>
      <c r="R11" s="679"/>
      <c r="S11" s="681"/>
      <c r="T11" s="679"/>
      <c r="U11" s="647"/>
      <c r="V11" s="647"/>
      <c r="W11" s="647"/>
      <c r="X11" s="650" t="s">
        <v>25</v>
      </c>
      <c r="Y11" s="650" t="s">
        <v>152</v>
      </c>
      <c r="Z11" s="651" t="s">
        <v>154</v>
      </c>
      <c r="AA11" s="647" t="s">
        <v>155</v>
      </c>
      <c r="AB11" s="647" t="s">
        <v>161</v>
      </c>
      <c r="AC11" s="647" t="s">
        <v>162</v>
      </c>
      <c r="AD11" s="652" t="s">
        <v>163</v>
      </c>
      <c r="AE11" s="650" t="s">
        <v>164</v>
      </c>
      <c r="AF11" s="651" t="s">
        <v>165</v>
      </c>
      <c r="AG11" s="156" t="s">
        <v>166</v>
      </c>
      <c r="AH11" s="18" t="s">
        <v>23</v>
      </c>
      <c r="AI11" s="9" t="s">
        <v>24</v>
      </c>
      <c r="AN11" t="s">
        <v>691</v>
      </c>
      <c r="AO11" s="43">
        <v>400000</v>
      </c>
    </row>
    <row r="12" spans="1:44" ht="15" thickBot="1" x14ac:dyDescent="0.35">
      <c r="A12" s="637"/>
      <c r="B12" s="630"/>
      <c r="C12" s="630"/>
      <c r="D12" s="630"/>
      <c r="E12" s="724"/>
      <c r="F12" s="724"/>
      <c r="G12" s="724"/>
      <c r="H12" s="630"/>
      <c r="I12" s="631"/>
      <c r="J12" s="18"/>
      <c r="K12" s="679"/>
      <c r="L12" s="679"/>
      <c r="M12" s="680"/>
      <c r="N12" s="680"/>
      <c r="O12" s="680"/>
      <c r="P12" s="679"/>
      <c r="Q12" s="679"/>
      <c r="R12" s="679"/>
      <c r="S12" s="681"/>
      <c r="T12" s="682"/>
      <c r="U12" s="647"/>
      <c r="V12" s="647"/>
      <c r="W12" s="647"/>
      <c r="X12" s="654">
        <v>2962800</v>
      </c>
      <c r="Y12" s="654">
        <v>2896960</v>
      </c>
      <c r="Z12" s="651"/>
      <c r="AA12" s="647"/>
      <c r="AB12" s="647"/>
      <c r="AC12" s="647"/>
      <c r="AD12" s="652"/>
      <c r="AE12" s="650"/>
      <c r="AF12" s="651"/>
      <c r="AG12" s="156"/>
      <c r="AH12" s="18"/>
      <c r="AI12" s="9"/>
      <c r="AJ12">
        <f>SUM(X12:AI12)</f>
        <v>5859760</v>
      </c>
      <c r="AK12" s="43">
        <f>T8*4-AJ12</f>
        <v>18140240</v>
      </c>
      <c r="AN12" t="s">
        <v>692</v>
      </c>
      <c r="AO12" s="43">
        <v>550000</v>
      </c>
    </row>
    <row r="13" spans="1:44" x14ac:dyDescent="0.3">
      <c r="C13" s="18"/>
      <c r="D13" s="18"/>
      <c r="E13" s="76"/>
      <c r="F13" s="76"/>
      <c r="G13" s="76"/>
      <c r="K13" s="679"/>
      <c r="L13" s="683" t="s">
        <v>68</v>
      </c>
      <c r="M13" s="684" t="s">
        <v>17</v>
      </c>
      <c r="N13" s="684" t="s">
        <v>18</v>
      </c>
      <c r="O13" s="684" t="s">
        <v>19</v>
      </c>
      <c r="P13" s="679"/>
      <c r="Q13" s="680" t="s">
        <v>219</v>
      </c>
      <c r="R13" s="679"/>
      <c r="S13" s="681"/>
      <c r="T13" s="682"/>
      <c r="U13" s="647"/>
      <c r="V13" s="647"/>
      <c r="W13" s="655" t="s">
        <v>237</v>
      </c>
      <c r="X13" s="650"/>
      <c r="Y13" s="650"/>
      <c r="Z13" s="656">
        <f>SUM(X12:Z12)</f>
        <v>5859760</v>
      </c>
      <c r="AA13" s="657"/>
      <c r="AB13" s="657"/>
      <c r="AC13" s="658">
        <f>SUM(AA12:AC12)</f>
        <v>0</v>
      </c>
      <c r="AD13" s="659"/>
      <c r="AE13" s="660"/>
      <c r="AF13" s="656">
        <f>SUM(AD12:AF12)</f>
        <v>0</v>
      </c>
      <c r="AG13" s="157"/>
      <c r="AH13" s="158"/>
      <c r="AI13" s="154">
        <f>SUM(AG12:AI12)</f>
        <v>0</v>
      </c>
    </row>
    <row r="14" spans="1:44" x14ac:dyDescent="0.3">
      <c r="C14" s="18"/>
      <c r="D14" s="18"/>
      <c r="E14" s="76"/>
      <c r="F14" s="76"/>
      <c r="G14" s="76"/>
      <c r="K14" s="679"/>
      <c r="L14" s="679" t="s">
        <v>67</v>
      </c>
      <c r="M14" s="682">
        <f>M23</f>
        <v>6526375</v>
      </c>
      <c r="N14" s="682">
        <f t="shared" ref="N14:O14" si="1">N23</f>
        <v>6371375</v>
      </c>
      <c r="O14" s="682">
        <f t="shared" si="1"/>
        <v>6541375</v>
      </c>
      <c r="P14" s="679"/>
      <c r="Q14" s="679"/>
      <c r="R14" s="679"/>
      <c r="S14" s="681"/>
      <c r="T14" s="682"/>
      <c r="U14" s="647"/>
      <c r="V14" s="647"/>
      <c r="W14" s="655" t="s">
        <v>236</v>
      </c>
      <c r="X14" s="650"/>
      <c r="Y14" s="650"/>
      <c r="Z14" s="661">
        <f>$T$8-Z13</f>
        <v>140240</v>
      </c>
      <c r="AA14" s="657"/>
      <c r="AB14" s="657"/>
      <c r="AC14" s="662">
        <f>$T$8-AC13</f>
        <v>6000000</v>
      </c>
      <c r="AD14" s="659"/>
      <c r="AE14" s="660"/>
      <c r="AF14" s="661">
        <f>$T$8-AF13</f>
        <v>6000000</v>
      </c>
      <c r="AG14" s="157"/>
      <c r="AH14" s="158"/>
      <c r="AI14" s="155">
        <f>$T$8-AI13</f>
        <v>6000000</v>
      </c>
    </row>
    <row r="15" spans="1:44" x14ac:dyDescent="0.3">
      <c r="C15" s="18"/>
      <c r="D15" s="18"/>
      <c r="E15" s="76"/>
      <c r="F15" s="76"/>
      <c r="G15" s="76"/>
      <c r="K15" s="679"/>
      <c r="L15" s="679"/>
      <c r="M15" s="680"/>
      <c r="N15" s="680"/>
      <c r="O15" s="680"/>
      <c r="P15" s="679"/>
      <c r="Q15" s="679"/>
      <c r="R15" s="679"/>
      <c r="S15" s="681"/>
      <c r="T15" s="682"/>
      <c r="U15" s="647"/>
      <c r="V15" s="647"/>
      <c r="W15" s="647"/>
      <c r="X15" s="647"/>
      <c r="Y15" s="647"/>
      <c r="Z15" s="647"/>
      <c r="AA15" s="647"/>
      <c r="AB15" s="647"/>
      <c r="AC15" s="647"/>
      <c r="AD15" s="647"/>
      <c r="AE15" s="647"/>
      <c r="AF15" s="647"/>
      <c r="AN15" t="s">
        <v>393</v>
      </c>
      <c r="AP15" s="43">
        <v>340000</v>
      </c>
      <c r="AQ15" t="s">
        <v>596</v>
      </c>
    </row>
    <row r="16" spans="1:44" x14ac:dyDescent="0.3">
      <c r="C16" s="18"/>
      <c r="D16" s="18"/>
      <c r="E16" s="76"/>
      <c r="F16" s="76"/>
      <c r="G16" s="76"/>
      <c r="K16" s="679"/>
      <c r="L16" s="679"/>
      <c r="M16" s="680"/>
      <c r="N16" s="680"/>
      <c r="O16" s="680"/>
      <c r="P16" s="679"/>
      <c r="Q16" s="679"/>
      <c r="R16" s="679"/>
      <c r="S16" s="681"/>
      <c r="T16" s="682"/>
      <c r="U16" s="647"/>
      <c r="V16" s="647"/>
      <c r="W16" s="647"/>
      <c r="X16" s="647"/>
      <c r="Y16" s="647"/>
      <c r="Z16" s="647"/>
      <c r="AA16" s="647"/>
      <c r="AB16" s="647"/>
      <c r="AC16" s="647"/>
      <c r="AD16" s="647"/>
      <c r="AE16" s="647"/>
      <c r="AF16" s="647"/>
      <c r="AP16" s="664">
        <f>AP15/5</f>
        <v>68000</v>
      </c>
      <c r="AQ16" t="s">
        <v>705</v>
      </c>
    </row>
    <row r="17" spans="1:43" x14ac:dyDescent="0.3">
      <c r="K17" s="679"/>
      <c r="L17" s="679"/>
      <c r="M17" s="680"/>
      <c r="N17" s="680"/>
      <c r="O17" s="680"/>
      <c r="P17" s="679"/>
      <c r="Q17" s="679"/>
      <c r="R17" s="679"/>
      <c r="S17" s="681"/>
      <c r="T17" s="679"/>
      <c r="U17" s="647"/>
      <c r="V17" s="647"/>
      <c r="W17" s="647"/>
      <c r="X17" s="647"/>
      <c r="Y17" s="647"/>
      <c r="Z17" s="647"/>
      <c r="AA17" s="647"/>
      <c r="AB17" s="647"/>
      <c r="AC17" s="647"/>
      <c r="AD17" s="647"/>
      <c r="AE17" s="647"/>
      <c r="AF17" s="647"/>
      <c r="AP17" s="664">
        <f>AP16/975</f>
        <v>69.743589743589737</v>
      </c>
      <c r="AQ17" t="s">
        <v>706</v>
      </c>
    </row>
    <row r="18" spans="1:43" x14ac:dyDescent="0.3">
      <c r="B18" s="26" t="s">
        <v>73</v>
      </c>
      <c r="F18" s="16" t="s">
        <v>152</v>
      </c>
      <c r="G18" s="16" t="s">
        <v>154</v>
      </c>
      <c r="H18" s="16" t="s">
        <v>155</v>
      </c>
      <c r="K18" s="678" t="s">
        <v>239</v>
      </c>
      <c r="L18" s="679"/>
      <c r="M18" s="680" t="s">
        <v>544</v>
      </c>
      <c r="N18" s="680" t="s">
        <v>152</v>
      </c>
      <c r="O18" s="680" t="s">
        <v>154</v>
      </c>
      <c r="P18" s="679"/>
      <c r="Q18" s="679"/>
      <c r="R18" s="679"/>
      <c r="S18" s="679"/>
      <c r="T18" s="679"/>
      <c r="U18" s="647"/>
      <c r="V18" s="647"/>
      <c r="W18" s="647"/>
      <c r="X18" s="647"/>
      <c r="Y18" s="647"/>
      <c r="Z18" s="647"/>
      <c r="AA18" s="647"/>
      <c r="AB18" s="647"/>
      <c r="AC18" s="647"/>
      <c r="AD18" s="647"/>
      <c r="AE18" s="647"/>
      <c r="AF18" s="647"/>
    </row>
    <row r="19" spans="1:43" x14ac:dyDescent="0.3">
      <c r="F19" s="17" t="s">
        <v>17</v>
      </c>
      <c r="G19" s="17" t="s">
        <v>18</v>
      </c>
      <c r="H19" s="17" t="s">
        <v>19</v>
      </c>
      <c r="K19" s="679"/>
      <c r="L19" s="683" t="s">
        <v>69</v>
      </c>
      <c r="M19" s="684" t="s">
        <v>17</v>
      </c>
      <c r="N19" s="684" t="s">
        <v>18</v>
      </c>
      <c r="O19" s="684" t="s">
        <v>19</v>
      </c>
      <c r="P19" s="679"/>
      <c r="Q19" s="679"/>
      <c r="R19" s="679"/>
      <c r="S19" s="679"/>
      <c r="T19" s="679"/>
      <c r="U19" s="647"/>
      <c r="V19" s="647"/>
      <c r="W19" s="647"/>
      <c r="X19" s="647"/>
      <c r="Y19" s="647"/>
      <c r="Z19" s="647"/>
      <c r="AA19" s="647"/>
      <c r="AB19" s="647"/>
      <c r="AC19" s="647"/>
      <c r="AD19" s="647"/>
      <c r="AE19" s="647"/>
      <c r="AF19" s="647"/>
    </row>
    <row r="20" spans="1:43" x14ac:dyDescent="0.3">
      <c r="B20" t="s">
        <v>68</v>
      </c>
      <c r="C20" t="s">
        <v>74</v>
      </c>
      <c r="D20" s="2" t="s">
        <v>557</v>
      </c>
      <c r="F20" s="50">
        <f>F9</f>
        <v>400000</v>
      </c>
      <c r="G20" s="50">
        <f>G9</f>
        <v>1400000</v>
      </c>
      <c r="H20" s="50">
        <f>H9</f>
        <v>1550000</v>
      </c>
      <c r="K20" s="679" t="s">
        <v>68</v>
      </c>
      <c r="L20" s="679" t="s">
        <v>70</v>
      </c>
      <c r="M20" s="685">
        <f>'Indv supp plan_7_8'!E31</f>
        <v>340000</v>
      </c>
      <c r="N20" s="682">
        <f>'Indv supp plan_7_8'!F31</f>
        <v>380000</v>
      </c>
      <c r="O20" s="682">
        <f>'Indv supp plan_7_8'!G31</f>
        <v>550000</v>
      </c>
      <c r="P20" s="679"/>
      <c r="Q20" s="679"/>
      <c r="R20" s="679"/>
      <c r="S20" s="679"/>
      <c r="T20" s="679"/>
      <c r="U20" s="647"/>
      <c r="V20" s="647"/>
      <c r="W20" s="647"/>
      <c r="X20" s="647"/>
      <c r="Y20" s="647"/>
      <c r="Z20" s="647"/>
      <c r="AA20" s="647"/>
      <c r="AB20" s="647"/>
      <c r="AC20" s="647"/>
      <c r="AD20" s="647"/>
      <c r="AE20" s="647"/>
      <c r="AF20" s="647"/>
    </row>
    <row r="21" spans="1:43" x14ac:dyDescent="0.3">
      <c r="B21" t="s">
        <v>67</v>
      </c>
      <c r="C21" t="s">
        <v>75</v>
      </c>
      <c r="D21" s="2" t="s">
        <v>557</v>
      </c>
      <c r="F21" s="50">
        <f>M6</f>
        <v>408000</v>
      </c>
      <c r="G21" s="50">
        <f>N6</f>
        <v>1450000</v>
      </c>
      <c r="H21" s="50">
        <f>O6</f>
        <v>1510000</v>
      </c>
      <c r="K21" s="679" t="s">
        <v>67</v>
      </c>
      <c r="L21" s="679" t="s">
        <v>71</v>
      </c>
      <c r="M21" s="682">
        <v>3290625</v>
      </c>
      <c r="N21" s="682">
        <v>3290625</v>
      </c>
      <c r="O21" s="682">
        <v>3290625</v>
      </c>
      <c r="P21" s="679"/>
      <c r="Q21" s="679"/>
      <c r="R21" s="679"/>
      <c r="S21" s="679"/>
      <c r="T21" s="679"/>
      <c r="U21" s="647"/>
      <c r="V21" s="647"/>
      <c r="W21" s="647"/>
      <c r="X21" s="647"/>
      <c r="Y21" s="647"/>
      <c r="Z21" s="647"/>
      <c r="AA21" s="647"/>
      <c r="AB21" s="647"/>
      <c r="AC21" s="647"/>
      <c r="AD21" s="647"/>
      <c r="AE21" s="647"/>
      <c r="AF21" s="647"/>
    </row>
    <row r="22" spans="1:43" ht="15" thickBot="1" x14ac:dyDescent="0.35">
      <c r="C22" s="25" t="s">
        <v>76</v>
      </c>
      <c r="D22" s="25"/>
      <c r="F22" s="51">
        <f>F20-F21</f>
        <v>-8000</v>
      </c>
      <c r="G22" s="51">
        <f t="shared" ref="G22:H22" si="2">G20-G21</f>
        <v>-50000</v>
      </c>
      <c r="H22" s="51">
        <f t="shared" si="2"/>
        <v>40000</v>
      </c>
      <c r="K22" s="679"/>
      <c r="L22" s="679" t="s">
        <v>72</v>
      </c>
      <c r="M22" s="682">
        <v>2895750</v>
      </c>
      <c r="N22" s="682">
        <v>2700750</v>
      </c>
      <c r="O22" s="682">
        <v>2700750</v>
      </c>
      <c r="P22" s="679"/>
      <c r="Q22" s="679"/>
      <c r="R22" s="679"/>
      <c r="S22" s="679"/>
      <c r="T22" s="679"/>
      <c r="U22" s="647"/>
      <c r="V22" s="647"/>
      <c r="W22" s="647"/>
      <c r="X22" s="647"/>
      <c r="Y22" s="647"/>
      <c r="Z22" s="647"/>
      <c r="AA22" s="647"/>
      <c r="AB22" s="647"/>
      <c r="AC22" s="647"/>
      <c r="AD22" s="647"/>
      <c r="AE22" s="647"/>
      <c r="AF22" s="647"/>
    </row>
    <row r="23" spans="1:43" ht="15.6" thickTop="1" thickBot="1" x14ac:dyDescent="0.35">
      <c r="F23" s="68">
        <f>F20-F22</f>
        <v>408000</v>
      </c>
      <c r="G23" s="68">
        <f t="shared" ref="G23:H23" si="3">G20-G22</f>
        <v>1450000</v>
      </c>
      <c r="H23" s="68">
        <f t="shared" si="3"/>
        <v>1510000</v>
      </c>
      <c r="K23" s="679"/>
      <c r="L23" s="686" t="s">
        <v>66</v>
      </c>
      <c r="M23" s="687">
        <f>SUM(M20:M22)</f>
        <v>6526375</v>
      </c>
      <c r="N23" s="687">
        <f t="shared" ref="N23" si="4">SUM(N20:N22)</f>
        <v>6371375</v>
      </c>
      <c r="O23" s="687">
        <f t="shared" ref="O23" si="5">SUM(O20:O22)</f>
        <v>6541375</v>
      </c>
      <c r="P23" s="679"/>
      <c r="Q23" s="679"/>
      <c r="R23" s="679"/>
      <c r="S23" s="679"/>
      <c r="T23" s="679"/>
      <c r="U23" s="647"/>
      <c r="V23" s="647"/>
      <c r="W23" s="647"/>
      <c r="X23" s="647"/>
      <c r="Y23" s="647"/>
      <c r="Z23" s="647"/>
      <c r="AA23" s="647"/>
      <c r="AB23" s="647"/>
      <c r="AC23" s="647"/>
      <c r="AD23" s="647"/>
      <c r="AE23" s="647"/>
      <c r="AF23" s="647"/>
    </row>
    <row r="24" spans="1:43" ht="15" thickTop="1" x14ac:dyDescent="0.3">
      <c r="A24" s="725"/>
      <c r="B24" s="706"/>
      <c r="C24" s="706"/>
      <c r="D24" s="706"/>
      <c r="E24" s="716"/>
      <c r="F24" s="716"/>
      <c r="G24" s="716"/>
      <c r="H24" s="708"/>
      <c r="K24" s="679"/>
      <c r="L24" s="679"/>
      <c r="M24" s="680"/>
      <c r="N24" s="680"/>
      <c r="O24" s="680"/>
      <c r="P24" s="679"/>
      <c r="Q24" s="679"/>
      <c r="R24" s="679"/>
      <c r="S24" s="679"/>
      <c r="T24" s="679"/>
      <c r="U24" s="647"/>
      <c r="V24" s="647"/>
      <c r="W24" s="647"/>
      <c r="X24" s="647"/>
      <c r="Y24" s="647"/>
      <c r="Z24" s="647"/>
      <c r="AA24" s="647"/>
      <c r="AB24" s="647"/>
      <c r="AC24" s="647"/>
      <c r="AD24" s="647"/>
      <c r="AE24" s="647"/>
      <c r="AF24" s="647"/>
    </row>
    <row r="25" spans="1:43" x14ac:dyDescent="0.3">
      <c r="A25" s="184"/>
      <c r="B25" s="717" t="s">
        <v>718</v>
      </c>
      <c r="C25" s="18"/>
      <c r="D25" s="18"/>
      <c r="E25" s="95"/>
      <c r="F25" s="95" t="s">
        <v>152</v>
      </c>
      <c r="G25" s="95" t="s">
        <v>154</v>
      </c>
      <c r="H25" s="700" t="s">
        <v>155</v>
      </c>
      <c r="K25" s="679"/>
      <c r="L25" s="679"/>
      <c r="M25" s="680"/>
      <c r="N25" s="680"/>
      <c r="O25" s="680"/>
      <c r="P25" s="679"/>
      <c r="Q25" s="679"/>
      <c r="R25" s="679"/>
      <c r="S25" s="679"/>
      <c r="T25" s="679"/>
      <c r="U25" s="647"/>
      <c r="V25" s="647"/>
      <c r="W25" s="647"/>
      <c r="X25" s="647"/>
      <c r="Y25" s="647"/>
      <c r="Z25" s="647"/>
      <c r="AA25" s="647"/>
      <c r="AB25" s="647"/>
      <c r="AC25" s="647"/>
      <c r="AD25" s="647"/>
      <c r="AE25" s="647"/>
      <c r="AF25" s="647"/>
    </row>
    <row r="26" spans="1:43" x14ac:dyDescent="0.3">
      <c r="A26" s="184"/>
      <c r="B26" s="18"/>
      <c r="C26" s="335" t="s">
        <v>69</v>
      </c>
      <c r="D26" s="335"/>
      <c r="E26" s="95"/>
      <c r="F26" s="713" t="s">
        <v>17</v>
      </c>
      <c r="G26" s="713" t="s">
        <v>18</v>
      </c>
      <c r="H26" s="726" t="s">
        <v>19</v>
      </c>
      <c r="K26" s="647"/>
      <c r="L26" s="647"/>
      <c r="M26" s="648"/>
      <c r="N26" s="648"/>
      <c r="O26" s="648"/>
      <c r="P26" s="647"/>
      <c r="Q26" s="647"/>
      <c r="R26" s="647"/>
      <c r="S26" s="647"/>
      <c r="T26" s="647"/>
      <c r="U26" s="647"/>
      <c r="V26" s="647"/>
      <c r="W26" s="647"/>
      <c r="X26" s="647"/>
      <c r="Y26" s="647"/>
      <c r="Z26" s="647"/>
      <c r="AA26" s="647"/>
      <c r="AB26" s="647"/>
      <c r="AC26" s="647"/>
      <c r="AD26" s="647"/>
      <c r="AE26" s="647"/>
      <c r="AF26" s="647"/>
    </row>
    <row r="27" spans="1:43" x14ac:dyDescent="0.3">
      <c r="A27" s="184"/>
      <c r="B27" s="18" t="s">
        <v>68</v>
      </c>
      <c r="C27" s="18" t="s">
        <v>70</v>
      </c>
      <c r="D27" s="719" t="s">
        <v>557</v>
      </c>
      <c r="E27" s="95"/>
      <c r="F27" s="727">
        <f>F6</f>
        <v>400000</v>
      </c>
      <c r="G27" s="728">
        <f>G6</f>
        <v>400000</v>
      </c>
      <c r="H27" s="729">
        <f>H6</f>
        <v>550000</v>
      </c>
      <c r="K27" s="647"/>
      <c r="L27" s="647"/>
      <c r="M27" s="648"/>
      <c r="N27" s="648"/>
      <c r="O27" s="648"/>
      <c r="P27" s="647"/>
      <c r="Q27" s="647"/>
      <c r="R27" s="647"/>
      <c r="S27" s="647"/>
      <c r="T27" s="647"/>
      <c r="U27" s="647"/>
      <c r="V27" s="647"/>
      <c r="W27" s="647"/>
      <c r="X27" s="647"/>
      <c r="Y27" s="647"/>
      <c r="Z27" s="647"/>
      <c r="AA27" s="647"/>
      <c r="AB27" s="647"/>
      <c r="AC27" s="647"/>
      <c r="AD27" s="647"/>
      <c r="AE27" s="647"/>
      <c r="AF27" s="647"/>
    </row>
    <row r="28" spans="1:43" x14ac:dyDescent="0.3">
      <c r="A28" s="184"/>
      <c r="B28" s="18" t="s">
        <v>67</v>
      </c>
      <c r="C28" s="18" t="s">
        <v>71</v>
      </c>
      <c r="D28" s="719" t="s">
        <v>557</v>
      </c>
      <c r="E28" s="95"/>
      <c r="F28" s="728">
        <f>E7</f>
        <v>0</v>
      </c>
      <c r="G28" s="728">
        <f>G7</f>
        <v>500000</v>
      </c>
      <c r="H28" s="729">
        <f>G7</f>
        <v>500000</v>
      </c>
      <c r="K28" s="647"/>
      <c r="L28" s="647"/>
      <c r="M28" s="648"/>
      <c r="N28" s="648"/>
      <c r="O28" s="648"/>
      <c r="P28" s="647"/>
      <c r="Q28" s="647"/>
      <c r="R28" s="647"/>
      <c r="S28" s="647"/>
      <c r="T28" s="647"/>
      <c r="U28" s="647"/>
      <c r="V28" s="647"/>
      <c r="W28" s="647"/>
      <c r="X28" s="647"/>
      <c r="Y28" s="647"/>
      <c r="Z28" s="647"/>
      <c r="AA28" s="647"/>
      <c r="AB28" s="647"/>
      <c r="AC28" s="647"/>
      <c r="AD28" s="647"/>
      <c r="AE28" s="647"/>
      <c r="AF28" s="647"/>
    </row>
    <row r="29" spans="1:43" x14ac:dyDescent="0.3">
      <c r="A29" s="184"/>
      <c r="B29" s="18"/>
      <c r="C29" s="18" t="s">
        <v>72</v>
      </c>
      <c r="D29" s="719" t="s">
        <v>557</v>
      </c>
      <c r="E29" s="95"/>
      <c r="F29" s="728">
        <f>E8</f>
        <v>0</v>
      </c>
      <c r="G29" s="728">
        <f>G8</f>
        <v>500000</v>
      </c>
      <c r="H29" s="729">
        <f>H8-H22</f>
        <v>460000</v>
      </c>
      <c r="I29" t="s">
        <v>704</v>
      </c>
      <c r="K29" s="647"/>
      <c r="L29" s="647"/>
      <c r="M29" s="648"/>
      <c r="N29" s="648"/>
      <c r="O29" s="648"/>
      <c r="P29" s="647"/>
      <c r="Q29" s="647"/>
      <c r="R29" s="647"/>
      <c r="S29" s="649"/>
      <c r="T29" s="647"/>
      <c r="U29" s="647"/>
      <c r="V29" s="647"/>
      <c r="W29" s="647"/>
      <c r="X29" s="647"/>
      <c r="Y29" s="647"/>
      <c r="Z29" s="647"/>
      <c r="AA29" s="647"/>
      <c r="AB29" s="647"/>
      <c r="AC29" s="647"/>
      <c r="AD29" s="647"/>
      <c r="AE29" s="647"/>
      <c r="AF29" s="647"/>
    </row>
    <row r="30" spans="1:43" ht="15" thickBot="1" x14ac:dyDescent="0.35">
      <c r="A30" s="184"/>
      <c r="B30" s="18"/>
      <c r="C30" s="25" t="s">
        <v>66</v>
      </c>
      <c r="D30" s="25"/>
      <c r="E30" s="95"/>
      <c r="F30" s="52">
        <f>SUM(F27:F29)</f>
        <v>400000</v>
      </c>
      <c r="G30" s="52">
        <f t="shared" ref="G30" si="6">SUM(G27:G29)</f>
        <v>1400000</v>
      </c>
      <c r="H30" s="730">
        <f t="shared" ref="H30" si="7">SUM(H27:H29)</f>
        <v>1510000</v>
      </c>
      <c r="K30" s="647"/>
      <c r="L30" s="647"/>
      <c r="M30" s="653"/>
      <c r="N30" s="653"/>
      <c r="O30" s="653"/>
      <c r="P30" s="647"/>
      <c r="Q30" s="647"/>
      <c r="R30" s="663"/>
      <c r="S30" s="649"/>
      <c r="T30" s="647"/>
      <c r="U30" s="647"/>
      <c r="V30" s="647"/>
      <c r="W30" s="647"/>
      <c r="X30" s="647"/>
      <c r="Y30" s="647"/>
      <c r="Z30" s="647"/>
      <c r="AA30" s="647"/>
      <c r="AB30" s="647"/>
      <c r="AC30" s="647"/>
      <c r="AD30" s="647"/>
      <c r="AE30" s="647"/>
      <c r="AF30" s="647"/>
    </row>
    <row r="31" spans="1:43" ht="15" thickTop="1" x14ac:dyDescent="0.3">
      <c r="A31" s="184"/>
      <c r="B31" s="18" t="s">
        <v>173</v>
      </c>
      <c r="C31" s="18"/>
      <c r="D31" s="18"/>
      <c r="E31" s="95"/>
      <c r="F31" s="95"/>
      <c r="G31" s="95"/>
      <c r="H31" s="185"/>
      <c r="K31" s="647"/>
      <c r="L31" s="647"/>
      <c r="M31" s="653"/>
      <c r="N31" s="653"/>
      <c r="O31" s="653"/>
      <c r="P31" s="647"/>
      <c r="Q31" s="647"/>
      <c r="R31" s="647"/>
      <c r="S31" s="649"/>
      <c r="T31" s="647"/>
      <c r="U31" s="647"/>
      <c r="V31" s="647"/>
      <c r="W31" s="647"/>
      <c r="X31" s="647"/>
      <c r="Y31" s="647"/>
      <c r="Z31" s="647"/>
      <c r="AA31" s="647"/>
      <c r="AB31" s="647"/>
      <c r="AC31" s="647"/>
      <c r="AD31" s="647"/>
      <c r="AE31" s="647"/>
      <c r="AF31" s="647"/>
    </row>
    <row r="32" spans="1:43" x14ac:dyDescent="0.3">
      <c r="A32" s="184"/>
      <c r="B32" s="18"/>
      <c r="C32" s="18"/>
      <c r="D32" s="18"/>
      <c r="E32" s="95"/>
      <c r="F32" s="95"/>
      <c r="G32" s="95"/>
      <c r="H32" s="185"/>
      <c r="K32" s="647"/>
      <c r="L32" s="647"/>
      <c r="M32" s="653"/>
      <c r="N32" s="653"/>
      <c r="O32" s="653"/>
      <c r="P32" s="647"/>
      <c r="Q32" s="647"/>
      <c r="R32" s="647"/>
      <c r="S32" s="649"/>
      <c r="T32" s="647"/>
      <c r="U32" s="647"/>
      <c r="V32" s="647"/>
      <c r="W32" s="647"/>
      <c r="X32" s="647"/>
      <c r="Y32" s="647"/>
      <c r="Z32" s="647"/>
      <c r="AA32" s="647"/>
      <c r="AB32" s="647"/>
      <c r="AC32" s="647"/>
      <c r="AD32" s="647"/>
      <c r="AE32" s="647"/>
      <c r="AF32" s="647"/>
    </row>
    <row r="33" spans="1:32" ht="15" thickBot="1" x14ac:dyDescent="0.35">
      <c r="A33" s="637"/>
      <c r="B33" s="630"/>
      <c r="C33" s="630"/>
      <c r="D33" s="630"/>
      <c r="E33" s="704"/>
      <c r="F33" s="704"/>
      <c r="G33" s="704"/>
      <c r="H33" s="631"/>
      <c r="K33" s="647"/>
      <c r="L33" s="647"/>
      <c r="M33" s="653"/>
      <c r="N33" s="653"/>
      <c r="O33" s="653"/>
      <c r="P33" s="647"/>
      <c r="Q33" s="647"/>
      <c r="R33" s="647"/>
      <c r="S33" s="649"/>
      <c r="T33" s="647"/>
      <c r="U33" s="647"/>
      <c r="V33" s="647"/>
      <c r="W33" s="647"/>
      <c r="X33" s="647"/>
      <c r="Y33" s="647"/>
      <c r="Z33" s="647"/>
      <c r="AA33" s="647"/>
      <c r="AB33" s="647"/>
      <c r="AC33" s="647"/>
      <c r="AD33" s="647"/>
      <c r="AE33" s="647"/>
      <c r="AF33" s="647"/>
    </row>
    <row r="34" spans="1:32" x14ac:dyDescent="0.3">
      <c r="F34" s="16" t="s">
        <v>98</v>
      </c>
      <c r="K34" s="647"/>
      <c r="L34" s="647"/>
      <c r="M34" s="653"/>
      <c r="N34" s="653"/>
      <c r="O34" s="653"/>
      <c r="P34" s="647"/>
      <c r="Q34" s="647"/>
      <c r="R34" s="647"/>
      <c r="S34" s="649"/>
      <c r="T34" s="647"/>
      <c r="U34" s="647"/>
      <c r="V34" s="647"/>
      <c r="W34" s="647"/>
      <c r="X34" s="647"/>
      <c r="Y34" s="647"/>
      <c r="Z34" s="647"/>
      <c r="AA34" s="647"/>
      <c r="AB34" s="647"/>
      <c r="AC34" s="647"/>
      <c r="AD34" s="647"/>
      <c r="AE34" s="647"/>
      <c r="AF34" s="647"/>
    </row>
    <row r="35" spans="1:32" ht="15" thickBot="1" x14ac:dyDescent="0.35">
      <c r="K35" s="647"/>
      <c r="L35" s="647"/>
      <c r="M35" s="653"/>
      <c r="N35" s="653"/>
      <c r="O35" s="653"/>
      <c r="P35" s="647"/>
      <c r="Q35" s="647"/>
      <c r="R35" s="647"/>
      <c r="S35" s="649"/>
      <c r="T35" s="647"/>
      <c r="U35" s="647"/>
      <c r="V35" s="647"/>
      <c r="W35" s="647"/>
      <c r="X35" s="647"/>
      <c r="Y35" s="647"/>
      <c r="Z35" s="647"/>
      <c r="AA35" s="647"/>
      <c r="AB35" s="647"/>
      <c r="AC35" s="647"/>
      <c r="AD35" s="647"/>
      <c r="AE35" s="647"/>
      <c r="AF35" s="647"/>
    </row>
    <row r="36" spans="1:32" x14ac:dyDescent="0.3">
      <c r="A36" s="725"/>
      <c r="B36" s="706"/>
      <c r="C36" s="706"/>
      <c r="D36" s="706"/>
      <c r="E36" s="716"/>
      <c r="F36" s="716"/>
      <c r="G36" s="716"/>
      <c r="H36" s="708"/>
      <c r="M36" s="50"/>
      <c r="N36" s="50"/>
      <c r="O36" s="50"/>
    </row>
    <row r="37" spans="1:32" x14ac:dyDescent="0.3">
      <c r="A37" s="184"/>
      <c r="B37" s="335" t="s">
        <v>719</v>
      </c>
      <c r="C37" s="18"/>
      <c r="D37" s="18"/>
      <c r="E37" s="95"/>
      <c r="F37" s="95" t="s">
        <v>152</v>
      </c>
      <c r="G37" s="95" t="s">
        <v>154</v>
      </c>
      <c r="H37" s="700" t="s">
        <v>155</v>
      </c>
      <c r="M37" s="50"/>
      <c r="N37" s="50"/>
      <c r="O37" s="50"/>
    </row>
    <row r="38" spans="1:32" x14ac:dyDescent="0.3">
      <c r="A38" s="184"/>
      <c r="B38" s="18"/>
      <c r="C38" s="335" t="s">
        <v>69</v>
      </c>
      <c r="D38" s="335"/>
      <c r="E38" s="95"/>
      <c r="F38" s="713" t="s">
        <v>17</v>
      </c>
      <c r="G38" s="713" t="s">
        <v>18</v>
      </c>
      <c r="H38" s="726" t="s">
        <v>19</v>
      </c>
      <c r="M38" s="50"/>
      <c r="N38" s="50"/>
      <c r="O38" s="50"/>
    </row>
    <row r="39" spans="1:32" x14ac:dyDescent="0.3">
      <c r="A39" s="184"/>
      <c r="B39" s="18"/>
      <c r="C39" s="18" t="s">
        <v>70</v>
      </c>
      <c r="D39" s="719" t="s">
        <v>557</v>
      </c>
      <c r="E39" s="95"/>
      <c r="F39" s="727">
        <f>'Indv supp plan_7_8'!E31</f>
        <v>340000</v>
      </c>
      <c r="G39" s="728">
        <f>'Indv supp plan_7_8'!F31</f>
        <v>380000</v>
      </c>
      <c r="H39" s="729">
        <f>'Indv supp plan_7_8'!G31</f>
        <v>550000</v>
      </c>
      <c r="M39" s="50"/>
      <c r="N39" s="50"/>
      <c r="O39" s="50"/>
    </row>
    <row r="40" spans="1:32" x14ac:dyDescent="0.3">
      <c r="A40" s="184"/>
      <c r="B40" s="18"/>
      <c r="C40" s="18" t="s">
        <v>71</v>
      </c>
      <c r="D40" s="719" t="s">
        <v>557</v>
      </c>
      <c r="E40" s="95"/>
      <c r="F40" s="728"/>
      <c r="G40" s="728">
        <f>G28</f>
        <v>500000</v>
      </c>
      <c r="H40" s="729">
        <f>H28</f>
        <v>500000</v>
      </c>
      <c r="M40" s="50"/>
      <c r="N40" s="50"/>
      <c r="O40" s="50"/>
    </row>
    <row r="41" spans="1:32" x14ac:dyDescent="0.3">
      <c r="A41" s="184"/>
      <c r="B41" s="18"/>
      <c r="C41" s="18" t="s">
        <v>72</v>
      </c>
      <c r="D41" s="719" t="s">
        <v>557</v>
      </c>
      <c r="E41" s="95"/>
      <c r="F41" s="728"/>
      <c r="G41" s="728">
        <f>G29</f>
        <v>500000</v>
      </c>
      <c r="H41" s="729">
        <f>H29</f>
        <v>460000</v>
      </c>
      <c r="M41" s="50"/>
      <c r="N41" s="50"/>
      <c r="O41" s="50"/>
    </row>
    <row r="42" spans="1:32" ht="15" thickBot="1" x14ac:dyDescent="0.35">
      <c r="A42" s="184"/>
      <c r="B42" s="18"/>
      <c r="C42" s="25" t="s">
        <v>66</v>
      </c>
      <c r="D42" s="25"/>
      <c r="E42" s="95"/>
      <c r="F42" s="52">
        <f>SUM(F39:F41)</f>
        <v>340000</v>
      </c>
      <c r="G42" s="52">
        <f t="shared" ref="G42:H42" si="8">SUM(G39:G41)</f>
        <v>1380000</v>
      </c>
      <c r="H42" s="730">
        <f t="shared" si="8"/>
        <v>1510000</v>
      </c>
    </row>
    <row r="43" spans="1:32" ht="15.6" thickTop="1" thickBot="1" x14ac:dyDescent="0.35">
      <c r="A43" s="637"/>
      <c r="B43" s="630"/>
      <c r="C43" s="630"/>
      <c r="D43" s="630"/>
      <c r="E43" s="704"/>
      <c r="F43" s="704"/>
      <c r="G43" s="704"/>
      <c r="H43" s="631"/>
      <c r="M43" s="68"/>
      <c r="N43" s="68"/>
      <c r="O43" s="68"/>
    </row>
    <row r="44" spans="1:32" x14ac:dyDescent="0.3">
      <c r="M44" s="68"/>
      <c r="N44" s="68"/>
      <c r="O44" s="68"/>
    </row>
  </sheetData>
  <mergeCells count="2">
    <mergeCell ref="X4:AI4"/>
    <mergeCell ref="X10:AI10"/>
  </mergeCells>
  <phoneticPr fontId="6" type="noConversion"/>
  <pageMargins left="0.7" right="0.7" top="0.75" bottom="0.75" header="0.3" footer="0.3"/>
  <ignoredErrors>
    <ignoredError sqref="G28:G29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24A5-DDB6-4560-A08C-7752DE610D12}">
  <sheetPr>
    <tabColor theme="5" tint="0.39997558519241921"/>
  </sheetPr>
  <dimension ref="A1:AM209"/>
  <sheetViews>
    <sheetView topLeftCell="A13" zoomScaleNormal="100" workbookViewId="0">
      <selection activeCell="A59" sqref="A59:XFD208"/>
    </sheetView>
  </sheetViews>
  <sheetFormatPr defaultRowHeight="14.4" x14ac:dyDescent="0.3"/>
  <cols>
    <col min="1" max="1" width="18.6640625" customWidth="1"/>
    <col min="2" max="2" width="15.44140625" bestFit="1" customWidth="1"/>
    <col min="3" max="3" width="9.6640625" customWidth="1"/>
    <col min="4" max="4" width="23" bestFit="1" customWidth="1"/>
    <col min="5" max="7" width="13.88671875" bestFit="1" customWidth="1"/>
    <col min="10" max="10" width="24.77734375" hidden="1" customWidth="1"/>
    <col min="11" max="11" width="14.33203125" hidden="1" customWidth="1"/>
    <col min="12" max="12" width="22.44140625" hidden="1" customWidth="1"/>
    <col min="13" max="15" width="13.21875" hidden="1" customWidth="1"/>
    <col min="16" max="16" width="0" hidden="1" customWidth="1"/>
    <col min="17" max="17" width="22" hidden="1" customWidth="1"/>
    <col min="18" max="18" width="19.33203125" hidden="1" customWidth="1"/>
    <col min="19" max="19" width="17.33203125" hidden="1" customWidth="1"/>
    <col min="20" max="22" width="13.21875" hidden="1" customWidth="1"/>
    <col min="23" max="23" width="20" hidden="1" customWidth="1"/>
    <col min="24" max="24" width="0" hidden="1" customWidth="1"/>
    <col min="25" max="25" width="16.5546875" hidden="1" customWidth="1"/>
    <col min="26" max="26" width="12.77734375" hidden="1" customWidth="1"/>
    <col min="27" max="27" width="15.21875" hidden="1" customWidth="1"/>
    <col min="28" max="28" width="17.6640625" hidden="1" customWidth="1"/>
    <col min="29" max="29" width="15.88671875" hidden="1" customWidth="1"/>
    <col min="30" max="30" width="11.6640625" hidden="1" customWidth="1"/>
    <col min="31" max="31" width="10.77734375" hidden="1" customWidth="1"/>
    <col min="32" max="32" width="10.33203125" hidden="1" customWidth="1"/>
    <col min="33" max="33" width="11.33203125" hidden="1" customWidth="1"/>
    <col min="34" max="34" width="10.44140625" hidden="1" customWidth="1"/>
    <col min="35" max="36" width="0" hidden="1" customWidth="1"/>
    <col min="37" max="38" width="10.21875" hidden="1" customWidth="1"/>
    <col min="39" max="39" width="10.33203125" hidden="1" customWidth="1"/>
  </cols>
  <sheetData>
    <row r="1" spans="1:38" s="66" customFormat="1" ht="24" thickBot="1" x14ac:dyDescent="0.5">
      <c r="A1" s="65" t="s">
        <v>70</v>
      </c>
      <c r="J1" s="65" t="s">
        <v>71</v>
      </c>
      <c r="K1" s="436" t="s">
        <v>599</v>
      </c>
      <c r="Q1" s="65" t="s">
        <v>72</v>
      </c>
      <c r="R1" s="436" t="s">
        <v>599</v>
      </c>
      <c r="Y1" s="893" t="s">
        <v>179</v>
      </c>
      <c r="Z1" s="893"/>
    </row>
    <row r="2" spans="1:38" s="6" customFormat="1" ht="28.8" x14ac:dyDescent="0.3">
      <c r="A2" s="692"/>
      <c r="B2" s="693"/>
      <c r="C2" s="693"/>
      <c r="D2" s="693"/>
      <c r="E2" s="693"/>
      <c r="F2" s="693"/>
      <c r="G2" s="693"/>
      <c r="H2" s="693"/>
      <c r="I2" s="694"/>
      <c r="J2" s="33"/>
      <c r="Q2" s="33"/>
      <c r="Y2" s="48" t="s">
        <v>156</v>
      </c>
      <c r="Z2" s="48" t="s">
        <v>144</v>
      </c>
      <c r="AA2" s="49" t="s">
        <v>180</v>
      </c>
      <c r="AB2" s="48" t="s">
        <v>147</v>
      </c>
      <c r="AC2" s="48" t="s">
        <v>148</v>
      </c>
    </row>
    <row r="3" spans="1:38" x14ac:dyDescent="0.3">
      <c r="A3" s="695" t="s">
        <v>77</v>
      </c>
      <c r="B3" s="696"/>
      <c r="C3" s="696"/>
      <c r="D3" s="696"/>
      <c r="E3" s="696"/>
      <c r="F3" s="696"/>
      <c r="G3" s="696"/>
      <c r="H3" s="696"/>
      <c r="I3" s="697"/>
      <c r="J3" s="41" t="s">
        <v>77</v>
      </c>
      <c r="K3" s="33"/>
      <c r="L3" s="33"/>
      <c r="M3" s="33"/>
      <c r="N3" s="33"/>
      <c r="O3" s="33"/>
      <c r="P3" s="33"/>
      <c r="Q3" s="41" t="s">
        <v>241</v>
      </c>
      <c r="R3" s="6"/>
      <c r="S3" s="6"/>
      <c r="T3" s="6"/>
      <c r="U3" s="6"/>
      <c r="V3" s="6"/>
      <c r="Y3" s="1" t="s">
        <v>86</v>
      </c>
      <c r="Z3" s="1" t="s">
        <v>72</v>
      </c>
      <c r="AA3" s="1" t="s">
        <v>146</v>
      </c>
      <c r="AB3" s="84">
        <v>2280000</v>
      </c>
      <c r="AC3" s="1" t="s">
        <v>181</v>
      </c>
    </row>
    <row r="4" spans="1:38" x14ac:dyDescent="0.3">
      <c r="A4" s="184"/>
      <c r="B4" s="335" t="s">
        <v>68</v>
      </c>
      <c r="C4" s="335"/>
      <c r="D4" s="335" t="s">
        <v>22</v>
      </c>
      <c r="E4" s="698" t="s">
        <v>17</v>
      </c>
      <c r="F4" s="698" t="s">
        <v>18</v>
      </c>
      <c r="G4" s="698" t="s">
        <v>19</v>
      </c>
      <c r="H4" s="335"/>
      <c r="I4" s="699"/>
      <c r="K4" s="20" t="s">
        <v>68</v>
      </c>
      <c r="L4" s="20" t="s">
        <v>22</v>
      </c>
      <c r="M4" s="5" t="s">
        <v>17</v>
      </c>
      <c r="N4" s="5" t="s">
        <v>18</v>
      </c>
      <c r="O4" s="5" t="s">
        <v>19</v>
      </c>
      <c r="Q4" s="6"/>
      <c r="R4" s="45" t="s">
        <v>68</v>
      </c>
      <c r="S4" s="45" t="s">
        <v>22</v>
      </c>
      <c r="T4" s="46" t="s">
        <v>17</v>
      </c>
      <c r="U4" s="46" t="s">
        <v>18</v>
      </c>
      <c r="V4" s="46" t="s">
        <v>19</v>
      </c>
    </row>
    <row r="5" spans="1:38" ht="28.8" x14ac:dyDescent="0.3">
      <c r="A5" s="184"/>
      <c r="B5" s="18" t="s">
        <v>124</v>
      </c>
      <c r="C5" s="18"/>
      <c r="D5" s="18" t="s">
        <v>4</v>
      </c>
      <c r="E5" s="76">
        <f>'MOH_Sourcing plan_1_4_9a'!F27</f>
        <v>400000</v>
      </c>
      <c r="F5" s="76">
        <f>'MOH_Sourcing plan_1_4_9a'!G27</f>
        <v>400000</v>
      </c>
      <c r="G5" s="76">
        <f>'MOH_Sourcing plan_1_4_9a'!H27</f>
        <v>550000</v>
      </c>
      <c r="H5" s="95"/>
      <c r="I5" s="700"/>
      <c r="K5" t="s">
        <v>124</v>
      </c>
      <c r="L5" t="s">
        <v>4</v>
      </c>
      <c r="M5" s="50">
        <f>'MOH_Sourcing plan_1_4_9a'!F28</f>
        <v>0</v>
      </c>
      <c r="N5" s="50">
        <f>'MOH_Sourcing plan_1_4_9a'!G28</f>
        <v>500000</v>
      </c>
      <c r="O5" s="50">
        <f>'MOH_Sourcing plan_1_4_9a'!H28</f>
        <v>500000</v>
      </c>
      <c r="Q5" s="6"/>
      <c r="R5" s="6" t="s">
        <v>78</v>
      </c>
      <c r="S5" s="6" t="s">
        <v>4</v>
      </c>
      <c r="T5" s="79">
        <f>'MOH_Sourcing plan_1_4_9a'!F29</f>
        <v>0</v>
      </c>
      <c r="U5" s="79">
        <f>'MOH_Sourcing plan_1_4_9a'!G29</f>
        <v>500000</v>
      </c>
      <c r="V5" s="79">
        <f>'MOH_Sourcing plan_1_4_9a'!H29</f>
        <v>460000</v>
      </c>
      <c r="W5" s="37" t="s">
        <v>157</v>
      </c>
      <c r="Y5" s="892" t="s">
        <v>151</v>
      </c>
      <c r="Z5" s="892"/>
      <c r="AA5" s="892"/>
      <c r="AB5" s="892"/>
      <c r="AC5" s="892"/>
      <c r="AD5" s="892"/>
      <c r="AE5" s="892"/>
      <c r="AF5" s="892"/>
      <c r="AG5" s="892"/>
      <c r="AH5" s="892"/>
      <c r="AI5" s="892"/>
      <c r="AJ5" s="892"/>
      <c r="AK5" s="49" t="s">
        <v>159</v>
      </c>
      <c r="AL5" s="49" t="s">
        <v>160</v>
      </c>
    </row>
    <row r="6" spans="1:38" x14ac:dyDescent="0.3">
      <c r="A6" s="184"/>
      <c r="B6" s="18"/>
      <c r="C6" s="18"/>
      <c r="D6" s="18" t="s">
        <v>5</v>
      </c>
      <c r="E6" s="99"/>
      <c r="F6" s="99"/>
      <c r="G6" s="99">
        <v>450000</v>
      </c>
      <c r="H6" s="95"/>
      <c r="I6" s="700"/>
      <c r="L6" t="s">
        <v>31</v>
      </c>
      <c r="M6" s="50">
        <v>75000</v>
      </c>
      <c r="N6" s="50">
        <v>70000</v>
      </c>
      <c r="O6" s="50">
        <v>72000</v>
      </c>
      <c r="Q6" s="6"/>
      <c r="R6" s="6"/>
      <c r="S6" s="6" t="s">
        <v>101</v>
      </c>
      <c r="T6" s="80">
        <v>405000</v>
      </c>
      <c r="U6" s="80">
        <v>323000</v>
      </c>
      <c r="V6" s="80">
        <v>321000</v>
      </c>
      <c r="Y6" s="16" t="s">
        <v>23</v>
      </c>
      <c r="Z6" s="16" t="s">
        <v>24</v>
      </c>
      <c r="AA6" s="16" t="s">
        <v>25</v>
      </c>
      <c r="AB6" s="16" t="s">
        <v>152</v>
      </c>
      <c r="AC6" s="16" t="s">
        <v>154</v>
      </c>
      <c r="AD6" s="16" t="s">
        <v>155</v>
      </c>
      <c r="AE6" s="16" t="s">
        <v>161</v>
      </c>
      <c r="AF6" s="16" t="s">
        <v>162</v>
      </c>
      <c r="AG6" s="16" t="s">
        <v>163</v>
      </c>
      <c r="AH6" s="16" t="s">
        <v>164</v>
      </c>
      <c r="AI6" s="16" t="s">
        <v>165</v>
      </c>
      <c r="AJ6" s="16" t="s">
        <v>166</v>
      </c>
      <c r="AK6" s="16"/>
      <c r="AL6" s="16"/>
    </row>
    <row r="7" spans="1:38" ht="43.2" customHeight="1" x14ac:dyDescent="0.3">
      <c r="A7" s="184"/>
      <c r="B7" s="18"/>
      <c r="C7" s="18"/>
      <c r="D7" s="18" t="s">
        <v>86</v>
      </c>
      <c r="E7" s="99">
        <v>1500000</v>
      </c>
      <c r="F7" s="99">
        <f>E7</f>
        <v>1500000</v>
      </c>
      <c r="G7" s="99">
        <f>F7*1.2</f>
        <v>1800000</v>
      </c>
      <c r="H7" s="8"/>
      <c r="I7" s="701"/>
      <c r="L7" t="s">
        <v>6</v>
      </c>
      <c r="M7" s="50">
        <v>188000</v>
      </c>
      <c r="N7" s="50">
        <v>170000</v>
      </c>
      <c r="O7" s="50">
        <v>170000</v>
      </c>
      <c r="Q7" s="6"/>
      <c r="R7" s="6"/>
      <c r="S7" s="6" t="s">
        <v>86</v>
      </c>
      <c r="T7" s="80">
        <v>190000</v>
      </c>
      <c r="U7" s="80">
        <v>190000</v>
      </c>
      <c r="V7" s="80">
        <v>190000</v>
      </c>
      <c r="W7" s="37" t="s">
        <v>157</v>
      </c>
      <c r="Y7" s="50">
        <v>188000</v>
      </c>
      <c r="Z7" s="50">
        <v>190000</v>
      </c>
      <c r="AA7" s="50">
        <v>195000</v>
      </c>
      <c r="AB7" s="50">
        <v>190000</v>
      </c>
      <c r="AC7" s="16"/>
      <c r="AD7" s="16"/>
      <c r="AE7" s="16"/>
      <c r="AF7" s="16"/>
      <c r="AG7" s="16"/>
      <c r="AH7" s="16"/>
      <c r="AI7" s="16"/>
      <c r="AJ7" s="16"/>
      <c r="AK7" s="50">
        <f>SUM(Y7:AJ7)</f>
        <v>763000</v>
      </c>
      <c r="AL7" s="44">
        <f>AB3</f>
        <v>2280000</v>
      </c>
    </row>
    <row r="8" spans="1:38" x14ac:dyDescent="0.3">
      <c r="A8" s="184"/>
      <c r="B8" s="18"/>
      <c r="C8" s="18"/>
      <c r="D8" s="18" t="s">
        <v>87</v>
      </c>
      <c r="E8" s="99">
        <v>1000000</v>
      </c>
      <c r="F8" s="99">
        <f>E8</f>
        <v>1000000</v>
      </c>
      <c r="G8" s="99">
        <f t="shared" ref="G8" si="0">F8*1.2</f>
        <v>1200000</v>
      </c>
      <c r="H8" s="8"/>
      <c r="I8" s="701"/>
      <c r="L8" t="s">
        <v>32</v>
      </c>
      <c r="M8" s="50">
        <v>105000</v>
      </c>
      <c r="N8" s="50">
        <v>100000</v>
      </c>
      <c r="O8" s="50">
        <v>110000</v>
      </c>
      <c r="Q8" s="6"/>
      <c r="R8" s="6"/>
      <c r="S8" s="6" t="s">
        <v>178</v>
      </c>
      <c r="T8" s="80">
        <v>400000</v>
      </c>
      <c r="U8" s="80">
        <v>420000</v>
      </c>
      <c r="V8" s="80">
        <v>400000</v>
      </c>
    </row>
    <row r="9" spans="1:38" x14ac:dyDescent="0.3">
      <c r="A9" s="184"/>
      <c r="B9" s="18"/>
      <c r="C9" s="18"/>
      <c r="D9" s="18" t="s">
        <v>88</v>
      </c>
      <c r="E9" s="99">
        <f>E7</f>
        <v>1500000</v>
      </c>
      <c r="F9" s="99">
        <f>F7</f>
        <v>1500000</v>
      </c>
      <c r="G9" s="99">
        <v>2000000</v>
      </c>
      <c r="H9" s="8"/>
      <c r="I9" s="701"/>
      <c r="L9" t="s">
        <v>30</v>
      </c>
      <c r="M9" s="50">
        <v>47000</v>
      </c>
      <c r="N9" s="50">
        <v>50000</v>
      </c>
      <c r="O9" s="50">
        <v>50000</v>
      </c>
      <c r="Q9" s="6"/>
      <c r="R9" s="6"/>
      <c r="S9" s="6" t="s">
        <v>100</v>
      </c>
      <c r="T9" s="80">
        <v>247000</v>
      </c>
      <c r="U9" s="80">
        <v>230000</v>
      </c>
      <c r="V9" s="80">
        <v>240000</v>
      </c>
    </row>
    <row r="10" spans="1:38" x14ac:dyDescent="0.3">
      <c r="A10" s="184" t="s">
        <v>139</v>
      </c>
      <c r="B10" s="18"/>
      <c r="C10" s="18"/>
      <c r="D10" s="18" t="s">
        <v>72</v>
      </c>
      <c r="E10" s="99">
        <v>2600000</v>
      </c>
      <c r="F10" s="99">
        <f>E10</f>
        <v>2600000</v>
      </c>
      <c r="G10" s="99">
        <v>4000000</v>
      </c>
      <c r="H10" s="8"/>
      <c r="I10" s="701"/>
      <c r="L10" t="s">
        <v>72</v>
      </c>
      <c r="M10" s="53">
        <v>2000000</v>
      </c>
      <c r="N10" s="53">
        <v>2000000</v>
      </c>
      <c r="O10" s="53">
        <v>2000000</v>
      </c>
      <c r="Q10" s="6"/>
      <c r="R10" s="6"/>
      <c r="S10" s="6" t="s">
        <v>99</v>
      </c>
      <c r="T10" s="80">
        <v>85000</v>
      </c>
      <c r="U10" s="80">
        <v>80000</v>
      </c>
      <c r="V10" s="80">
        <v>88000</v>
      </c>
    </row>
    <row r="11" spans="1:38" ht="15" thickBot="1" x14ac:dyDescent="0.35">
      <c r="A11" s="184"/>
      <c r="B11" s="18"/>
      <c r="C11" s="18"/>
      <c r="D11" s="25" t="s">
        <v>66</v>
      </c>
      <c r="E11" s="55">
        <f>SUM(E5:E10)</f>
        <v>7000000</v>
      </c>
      <c r="F11" s="55">
        <f t="shared" ref="F11:G11" si="1">SUM(F5:F10)</f>
        <v>7000000</v>
      </c>
      <c r="G11" s="55">
        <f t="shared" si="1"/>
        <v>10000000</v>
      </c>
      <c r="H11" s="702"/>
      <c r="I11" s="703"/>
      <c r="L11" s="25" t="s">
        <v>66</v>
      </c>
      <c r="M11" s="75">
        <f>SUM(M5:M10)</f>
        <v>2415000</v>
      </c>
      <c r="N11" s="75">
        <f t="shared" ref="N11:O11" si="2">SUM(N5:N10)</f>
        <v>2890000</v>
      </c>
      <c r="O11" s="75">
        <f t="shared" si="2"/>
        <v>2902000</v>
      </c>
      <c r="Q11" s="6"/>
      <c r="R11" s="6"/>
      <c r="S11" s="47" t="s">
        <v>66</v>
      </c>
      <c r="T11" s="81">
        <f>SUM(T5:T10)</f>
        <v>1327000</v>
      </c>
      <c r="U11" s="81">
        <f>SUM(U5:U10)</f>
        <v>1743000</v>
      </c>
      <c r="V11" s="81">
        <f>SUM(V5:V10)</f>
        <v>1699000</v>
      </c>
    </row>
    <row r="12" spans="1:38" ht="18.600000000000001" thickTop="1" x14ac:dyDescent="0.35">
      <c r="A12" s="184"/>
      <c r="B12" s="18"/>
      <c r="C12" s="18"/>
      <c r="D12" s="894" t="s">
        <v>153</v>
      </c>
      <c r="E12" s="894"/>
      <c r="F12" s="894"/>
      <c r="G12" s="894"/>
      <c r="H12" s="18"/>
      <c r="I12" s="185"/>
      <c r="T12" s="14"/>
      <c r="Y12" s="893" t="s">
        <v>187</v>
      </c>
      <c r="Z12" s="893"/>
    </row>
    <row r="13" spans="1:38" ht="15" thickBot="1" x14ac:dyDescent="0.35">
      <c r="A13" s="637"/>
      <c r="B13" s="630"/>
      <c r="C13" s="630"/>
      <c r="D13" s="630"/>
      <c r="E13" s="704"/>
      <c r="F13" s="704"/>
      <c r="G13" s="704"/>
      <c r="H13" s="630"/>
      <c r="I13" s="631"/>
      <c r="L13" s="18"/>
      <c r="M13" s="430"/>
      <c r="N13" s="430"/>
      <c r="O13" s="430"/>
      <c r="S13" s="18"/>
      <c r="T13" s="430"/>
      <c r="U13" s="430"/>
      <c r="V13" s="430"/>
    </row>
    <row r="14" spans="1:38" ht="43.2" x14ac:dyDescent="0.3">
      <c r="A14" s="64" t="s">
        <v>80</v>
      </c>
      <c r="E14" s="16"/>
      <c r="F14" s="16"/>
      <c r="G14" s="16"/>
      <c r="J14" s="41" t="s">
        <v>80</v>
      </c>
      <c r="M14" s="16"/>
      <c r="N14" s="16"/>
      <c r="O14" s="16"/>
      <c r="Q14" s="122" t="s">
        <v>217</v>
      </c>
      <c r="T14" s="82"/>
      <c r="AC14" s="20" t="s">
        <v>17</v>
      </c>
      <c r="AE14" s="20" t="s">
        <v>18</v>
      </c>
      <c r="AF14" s="20" t="s">
        <v>19</v>
      </c>
      <c r="AG14" s="20" t="s">
        <v>18</v>
      </c>
      <c r="AH14" s="20" t="s">
        <v>19</v>
      </c>
    </row>
    <row r="15" spans="1:38" x14ac:dyDescent="0.3">
      <c r="A15" s="26" t="s">
        <v>325</v>
      </c>
      <c r="E15" s="16"/>
      <c r="F15" s="16"/>
      <c r="G15" s="16"/>
      <c r="J15" s="26"/>
      <c r="M15" s="16"/>
      <c r="N15" s="16"/>
      <c r="O15" s="16"/>
      <c r="S15" s="45" t="s">
        <v>22</v>
      </c>
      <c r="T15" s="46" t="s">
        <v>17</v>
      </c>
      <c r="U15" s="46" t="s">
        <v>18</v>
      </c>
      <c r="V15" s="46" t="s">
        <v>19</v>
      </c>
      <c r="W15" s="46"/>
      <c r="Y15" s="20" t="s">
        <v>22</v>
      </c>
      <c r="Z15" s="20" t="s">
        <v>17</v>
      </c>
      <c r="AA15" s="20" t="s">
        <v>18</v>
      </c>
      <c r="AB15" s="20" t="s">
        <v>19</v>
      </c>
      <c r="AC15" s="128">
        <v>161000</v>
      </c>
      <c r="AE15" s="119">
        <v>80000</v>
      </c>
      <c r="AF15" s="119">
        <v>81000</v>
      </c>
    </row>
    <row r="16" spans="1:38" ht="28.8" x14ac:dyDescent="0.3">
      <c r="A16" s="39" t="s">
        <v>93</v>
      </c>
      <c r="B16" s="50">
        <v>100000</v>
      </c>
      <c r="C16" s="68"/>
      <c r="E16" s="16"/>
      <c r="F16" s="16"/>
      <c r="G16" s="50"/>
      <c r="J16" s="36" t="s">
        <v>93</v>
      </c>
      <c r="K16" s="53">
        <v>15000</v>
      </c>
      <c r="M16" s="16"/>
      <c r="N16" s="16"/>
      <c r="O16" s="16"/>
      <c r="S16" s="6" t="s">
        <v>4</v>
      </c>
      <c r="T16" s="79" t="e">
        <f>MROUND(#REF!*$T5/$T$11,1000)</f>
        <v>#REF!</v>
      </c>
      <c r="U16" s="79" t="e">
        <f>MROUND(#REF!*$U5/$U$11,1000)</f>
        <v>#REF!</v>
      </c>
      <c r="V16" s="79" t="e">
        <f>MROUND(#REF!*$V5/$V$11,1000)</f>
        <v>#REF!</v>
      </c>
      <c r="W16" s="43"/>
      <c r="Y16" s="20" t="s">
        <v>4</v>
      </c>
      <c r="Z16" s="119">
        <v>76000</v>
      </c>
      <c r="AA16">
        <v>88000</v>
      </c>
      <c r="AB16">
        <v>88000</v>
      </c>
      <c r="AC16" s="119">
        <f>MROUND(Z16/$Z$22*$AC$15,1000)</f>
        <v>12000</v>
      </c>
      <c r="AD16" s="119">
        <f>Z16+AC16</f>
        <v>88000</v>
      </c>
      <c r="AE16" s="119">
        <f>MROUND(AA16/$AA$22*$AE$15,1000)</f>
        <v>6000</v>
      </c>
      <c r="AF16" s="119">
        <f>MROUND(AB16/$AB$22*$AF$15,1000)</f>
        <v>6000</v>
      </c>
      <c r="AG16" s="145">
        <f>AA16-AE16</f>
        <v>82000</v>
      </c>
      <c r="AH16" s="145">
        <f>AB16-AF16</f>
        <v>82000</v>
      </c>
    </row>
    <row r="17" spans="1:34" x14ac:dyDescent="0.3">
      <c r="A17" s="39"/>
      <c r="B17" s="50"/>
      <c r="C17" s="16"/>
      <c r="E17" s="16"/>
      <c r="F17" s="16"/>
      <c r="G17" s="50"/>
      <c r="J17" s="39" t="s">
        <v>97</v>
      </c>
      <c r="K17" s="50" t="e">
        <f>#REF!+#REF!</f>
        <v>#REF!</v>
      </c>
      <c r="M17" s="16"/>
      <c r="N17" s="16"/>
      <c r="O17" s="16"/>
      <c r="S17" s="6" t="s">
        <v>101</v>
      </c>
      <c r="T17" s="79" t="e">
        <f>MROUND(#REF!*$T6/$T$11,1000)</f>
        <v>#REF!</v>
      </c>
      <c r="U17" s="79" t="e">
        <f>MROUND(#REF!*$U6/$U$11,1000)</f>
        <v>#REF!</v>
      </c>
      <c r="V17" s="79" t="e">
        <f>MROUND(#REF!*$V6/$V$11,1000)</f>
        <v>#REF!</v>
      </c>
      <c r="W17" s="43"/>
      <c r="Y17" s="20" t="s">
        <v>101</v>
      </c>
      <c r="Z17" s="119">
        <v>343000</v>
      </c>
      <c r="AA17">
        <v>315000</v>
      </c>
      <c r="AB17">
        <v>314000</v>
      </c>
      <c r="AC17" s="119">
        <f t="shared" ref="AC17:AC21" si="3">MROUND(Z17/$Z$22*$AC$15,1000)</f>
        <v>53000</v>
      </c>
      <c r="AD17" s="119">
        <f t="shared" ref="AD17:AD21" si="4">Z17+AC17</f>
        <v>396000</v>
      </c>
      <c r="AE17" s="119">
        <f t="shared" ref="AE17:AE21" si="5">MROUND(AA17/$AA$22*$AE$15,1000)</f>
        <v>23000</v>
      </c>
      <c r="AF17" s="119">
        <v>24000</v>
      </c>
      <c r="AG17" s="145">
        <f t="shared" ref="AG17:AG21" si="6">AA17-AE17</f>
        <v>292000</v>
      </c>
      <c r="AH17" s="145">
        <f t="shared" ref="AH17:AH21" si="7">AB17-AF17</f>
        <v>290000</v>
      </c>
    </row>
    <row r="18" spans="1:34" x14ac:dyDescent="0.3">
      <c r="E18" s="17" t="s">
        <v>17</v>
      </c>
      <c r="F18" s="17" t="s">
        <v>18</v>
      </c>
      <c r="G18" s="17" t="s">
        <v>19</v>
      </c>
      <c r="M18" s="17" t="s">
        <v>17</v>
      </c>
      <c r="N18" s="17" t="s">
        <v>18</v>
      </c>
      <c r="O18" s="17" t="s">
        <v>19</v>
      </c>
      <c r="S18" s="6" t="s">
        <v>86</v>
      </c>
      <c r="T18" s="79" t="e">
        <f>MROUND(#REF!*$T7/$T$11,1000)</f>
        <v>#REF!</v>
      </c>
      <c r="U18" s="79" t="e">
        <f>MROUND(#REF!*$U7/$U$11,1000)</f>
        <v>#REF!</v>
      </c>
      <c r="V18" s="79" t="e">
        <f>MROUND(#REF!*$V7/$V$11,1000)</f>
        <v>#REF!</v>
      </c>
      <c r="W18" s="43"/>
      <c r="Y18" s="20" t="s">
        <v>86</v>
      </c>
      <c r="Z18" s="119"/>
      <c r="AC18" s="119">
        <f t="shared" si="3"/>
        <v>0</v>
      </c>
      <c r="AD18" s="119">
        <f t="shared" si="4"/>
        <v>0</v>
      </c>
      <c r="AE18" s="119">
        <f t="shared" si="5"/>
        <v>0</v>
      </c>
      <c r="AF18" s="119">
        <f t="shared" ref="AF18:AF21" si="8">MROUND(AB18/$AB$22*$AF$15,1000)</f>
        <v>0</v>
      </c>
      <c r="AG18" s="145">
        <f t="shared" si="6"/>
        <v>0</v>
      </c>
      <c r="AH18" s="145">
        <f t="shared" si="7"/>
        <v>0</v>
      </c>
    </row>
    <row r="19" spans="1:34" x14ac:dyDescent="0.3">
      <c r="B19" t="s">
        <v>68</v>
      </c>
      <c r="D19" t="s">
        <v>96</v>
      </c>
      <c r="E19" s="50">
        <v>6500000</v>
      </c>
      <c r="F19" s="59">
        <f>E19</f>
        <v>6500000</v>
      </c>
      <c r="G19" s="59">
        <v>10000000</v>
      </c>
      <c r="H19" s="38"/>
      <c r="I19" s="50"/>
      <c r="K19" t="s">
        <v>68</v>
      </c>
      <c r="L19" t="s">
        <v>96</v>
      </c>
      <c r="M19" s="50" t="e">
        <f>#REF!</f>
        <v>#REF!</v>
      </c>
      <c r="N19" s="59" t="e">
        <f>IF(N20-N24&lt;=$K$17,N20-N24, $K$17)</f>
        <v>#REF!</v>
      </c>
      <c r="O19" s="59" t="e">
        <f>IF(O20-O24&lt;=$K$17,O20-O24, $K$17)</f>
        <v>#REF!</v>
      </c>
      <c r="S19" s="6" t="s">
        <v>178</v>
      </c>
      <c r="T19" s="79" t="e">
        <f>MROUND(#REF!*$T8/$T$11,1000)</f>
        <v>#REF!</v>
      </c>
      <c r="U19" s="79" t="e">
        <f>MROUND(#REF!*$U8/$U$11,1000)</f>
        <v>#REF!</v>
      </c>
      <c r="V19" s="79" t="e">
        <f>MROUND(#REF!*$V8/$V$11,1000)</f>
        <v>#REF!</v>
      </c>
      <c r="W19" s="43"/>
      <c r="Y19" s="20" t="s">
        <v>178</v>
      </c>
      <c r="Z19" s="119">
        <v>339000</v>
      </c>
      <c r="AA19">
        <v>410000</v>
      </c>
      <c r="AB19">
        <v>391000</v>
      </c>
      <c r="AC19" s="119">
        <f t="shared" si="3"/>
        <v>53000</v>
      </c>
      <c r="AD19" s="119">
        <f t="shared" si="4"/>
        <v>392000</v>
      </c>
      <c r="AE19" s="119">
        <f t="shared" si="5"/>
        <v>29000</v>
      </c>
      <c r="AF19" s="119">
        <f t="shared" si="8"/>
        <v>28000</v>
      </c>
      <c r="AG19" s="145">
        <f t="shared" si="6"/>
        <v>381000</v>
      </c>
      <c r="AH19" s="145">
        <f t="shared" si="7"/>
        <v>363000</v>
      </c>
    </row>
    <row r="20" spans="1:34" x14ac:dyDescent="0.3">
      <c r="B20" t="s">
        <v>124</v>
      </c>
      <c r="D20" t="s">
        <v>75</v>
      </c>
      <c r="E20" s="50">
        <f>E11</f>
        <v>7000000</v>
      </c>
      <c r="F20" s="50">
        <f>F11</f>
        <v>7000000</v>
      </c>
      <c r="G20" s="50">
        <f>G11</f>
        <v>10000000</v>
      </c>
      <c r="I20" s="50"/>
      <c r="K20" t="s">
        <v>78</v>
      </c>
      <c r="L20" t="s">
        <v>75</v>
      </c>
      <c r="M20" s="50">
        <f>M11</f>
        <v>2415000</v>
      </c>
      <c r="N20" s="50">
        <f>N11</f>
        <v>2890000</v>
      </c>
      <c r="O20" s="50">
        <f>O11</f>
        <v>2902000</v>
      </c>
      <c r="S20" s="6" t="s">
        <v>100</v>
      </c>
      <c r="T20" s="79" t="e">
        <f>MROUND(#REF!*$T9/$T$11,1000)</f>
        <v>#REF!</v>
      </c>
      <c r="U20" s="79" t="e">
        <f>MROUND(#REF!*$U9/$U$11,1000)</f>
        <v>#REF!</v>
      </c>
      <c r="V20" s="79" t="e">
        <f>MROUND(#REF!*$V9/$V$11,1000)</f>
        <v>#REF!</v>
      </c>
      <c r="W20" s="43"/>
      <c r="Y20" s="20" t="s">
        <v>100</v>
      </c>
      <c r="Z20" s="119">
        <v>209000</v>
      </c>
      <c r="AA20">
        <v>224000</v>
      </c>
      <c r="AB20">
        <v>235000</v>
      </c>
      <c r="AC20" s="119">
        <f t="shared" si="3"/>
        <v>32000</v>
      </c>
      <c r="AD20" s="119">
        <f t="shared" si="4"/>
        <v>241000</v>
      </c>
      <c r="AE20" s="119">
        <f t="shared" si="5"/>
        <v>16000</v>
      </c>
      <c r="AF20" s="119">
        <f t="shared" si="8"/>
        <v>17000</v>
      </c>
      <c r="AG20" s="145">
        <f t="shared" si="6"/>
        <v>208000</v>
      </c>
      <c r="AH20" s="145">
        <f t="shared" si="7"/>
        <v>218000</v>
      </c>
    </row>
    <row r="21" spans="1:34" x14ac:dyDescent="0.3">
      <c r="D21" t="s">
        <v>89</v>
      </c>
      <c r="E21" s="50">
        <f>E19+B16</f>
        <v>6600000</v>
      </c>
      <c r="F21" s="645">
        <f>F19+E23</f>
        <v>6550000</v>
      </c>
      <c r="G21" s="645">
        <f>G19+F23</f>
        <v>10050000</v>
      </c>
      <c r="I21" s="50"/>
      <c r="L21" t="s">
        <v>89</v>
      </c>
      <c r="M21" s="50" t="e">
        <f>M19+K16</f>
        <v>#REF!</v>
      </c>
      <c r="N21" s="50" t="e">
        <f>N19+M22</f>
        <v>#REF!</v>
      </c>
      <c r="O21" s="50" t="e">
        <f>O19+N22</f>
        <v>#REF!</v>
      </c>
      <c r="S21" s="6" t="s">
        <v>99</v>
      </c>
      <c r="T21" s="79" t="e">
        <f>MROUND(#REF!*$T10/$T$11,1000)</f>
        <v>#REF!</v>
      </c>
      <c r="U21" s="79" t="e">
        <f>MROUND(#REF!*$U10/$U$11,1000)</f>
        <v>#REF!</v>
      </c>
      <c r="V21" s="79" t="e">
        <f>MROUND(#REF!*$V10/$V$11,1000)</f>
        <v>#REF!</v>
      </c>
      <c r="W21" s="43"/>
      <c r="Y21" s="20" t="s">
        <v>99</v>
      </c>
      <c r="Z21" s="119">
        <v>72000</v>
      </c>
      <c r="AA21">
        <v>78000</v>
      </c>
      <c r="AB21">
        <v>86000</v>
      </c>
      <c r="AC21" s="119">
        <f t="shared" si="3"/>
        <v>11000</v>
      </c>
      <c r="AD21" s="119">
        <f t="shared" si="4"/>
        <v>83000</v>
      </c>
      <c r="AE21" s="119">
        <f t="shared" si="5"/>
        <v>6000</v>
      </c>
      <c r="AF21" s="119">
        <f t="shared" si="8"/>
        <v>6000</v>
      </c>
      <c r="AG21" s="145">
        <f t="shared" si="6"/>
        <v>72000</v>
      </c>
      <c r="AH21" s="145">
        <f t="shared" si="7"/>
        <v>80000</v>
      </c>
    </row>
    <row r="22" spans="1:34" ht="15" thickBot="1" x14ac:dyDescent="0.35">
      <c r="D22" t="s">
        <v>94</v>
      </c>
      <c r="E22" s="50">
        <f>E25-E20+E23</f>
        <v>-400000</v>
      </c>
      <c r="F22" s="50">
        <f>F25-F20+F23</f>
        <v>-450000</v>
      </c>
      <c r="G22" s="50">
        <f>G21-G20</f>
        <v>50000</v>
      </c>
      <c r="I22" s="50"/>
      <c r="L22" t="s">
        <v>94</v>
      </c>
      <c r="M22" s="50" t="e">
        <f>M21-M20</f>
        <v>#REF!</v>
      </c>
      <c r="N22" s="50" t="e">
        <f>N21-N20</f>
        <v>#REF!</v>
      </c>
      <c r="O22" s="50" t="e">
        <f>O21-O20</f>
        <v>#REF!</v>
      </c>
      <c r="S22" s="47" t="s">
        <v>66</v>
      </c>
      <c r="T22" s="81" t="e">
        <f>SUM(T16:T21)</f>
        <v>#REF!</v>
      </c>
      <c r="U22" s="81" t="e">
        <f>SUM(U16:U21)</f>
        <v>#REF!</v>
      </c>
      <c r="V22" s="81" t="e">
        <f>SUM(V16:V21)</f>
        <v>#REF!</v>
      </c>
      <c r="W22" s="43"/>
      <c r="X22" s="127"/>
      <c r="Y22" s="127" t="s">
        <v>66</v>
      </c>
      <c r="Z22" s="81">
        <f t="shared" ref="Z22:AH22" si="9">SUM(Z16:Z21)</f>
        <v>1039000</v>
      </c>
      <c r="AA22" s="81">
        <f t="shared" si="9"/>
        <v>1115000</v>
      </c>
      <c r="AB22" s="81">
        <f t="shared" si="9"/>
        <v>1114000</v>
      </c>
      <c r="AC22" s="81">
        <f t="shared" si="9"/>
        <v>161000</v>
      </c>
      <c r="AD22" s="81">
        <f t="shared" si="9"/>
        <v>1200000</v>
      </c>
      <c r="AE22" s="81">
        <f t="shared" si="9"/>
        <v>80000</v>
      </c>
      <c r="AF22" s="81">
        <f t="shared" si="9"/>
        <v>81000</v>
      </c>
      <c r="AG22" s="81">
        <f t="shared" si="9"/>
        <v>1035000</v>
      </c>
      <c r="AH22" s="81">
        <f t="shared" si="9"/>
        <v>1033000</v>
      </c>
    </row>
    <row r="23" spans="1:34" ht="15" thickTop="1" x14ac:dyDescent="0.3">
      <c r="D23" t="s">
        <v>90</v>
      </c>
      <c r="E23" s="60">
        <v>50000</v>
      </c>
      <c r="F23" s="60">
        <v>50000</v>
      </c>
      <c r="G23" s="60">
        <v>50000</v>
      </c>
      <c r="I23" s="60"/>
      <c r="L23" t="s">
        <v>90</v>
      </c>
      <c r="M23" s="50">
        <v>8000</v>
      </c>
      <c r="N23" s="50">
        <v>10000</v>
      </c>
      <c r="O23" s="50">
        <v>8000</v>
      </c>
      <c r="S23" s="15"/>
      <c r="T23" s="83"/>
      <c r="U23" s="83"/>
      <c r="V23" s="83"/>
      <c r="W23" s="43"/>
      <c r="AE23" s="15">
        <v>185000</v>
      </c>
      <c r="AF23">
        <v>186000</v>
      </c>
      <c r="AG23" s="119">
        <f>AG22+AE15</f>
        <v>1115000</v>
      </c>
      <c r="AH23" s="119">
        <f>AH22+AF15</f>
        <v>1114000</v>
      </c>
    </row>
    <row r="24" spans="1:34" x14ac:dyDescent="0.3">
      <c r="D24" t="s">
        <v>91</v>
      </c>
      <c r="E24" s="50">
        <f>B16-E23</f>
        <v>50000</v>
      </c>
      <c r="F24" s="50">
        <f>E23-F23</f>
        <v>0</v>
      </c>
      <c r="G24" s="50">
        <f>F23-G23</f>
        <v>0</v>
      </c>
      <c r="I24" s="50"/>
      <c r="L24" t="s">
        <v>91</v>
      </c>
      <c r="M24" s="50">
        <f>K16-M23</f>
        <v>7000</v>
      </c>
      <c r="N24" s="50" t="e">
        <f>M22-N23</f>
        <v>#REF!</v>
      </c>
      <c r="O24" s="50" t="e">
        <f>N22-O23</f>
        <v>#REF!</v>
      </c>
      <c r="S24" s="15"/>
      <c r="T24" s="83"/>
      <c r="U24" s="83"/>
      <c r="V24" s="83"/>
      <c r="W24" s="43"/>
      <c r="AE24" s="119">
        <f>AE22+AE23</f>
        <v>265000</v>
      </c>
      <c r="AF24" s="119">
        <f>AF22+AF23</f>
        <v>267000</v>
      </c>
      <c r="AG24" s="119">
        <f>AG22+AE24</f>
        <v>1300000</v>
      </c>
      <c r="AH24" s="119">
        <f>AH22+AF24</f>
        <v>1300000</v>
      </c>
    </row>
    <row r="25" spans="1:34" x14ac:dyDescent="0.3">
      <c r="D25" t="s">
        <v>92</v>
      </c>
      <c r="E25" s="50">
        <f>E19+E24</f>
        <v>6550000</v>
      </c>
      <c r="F25" s="50">
        <f t="shared" ref="F25:G25" si="10">F19+F24</f>
        <v>6500000</v>
      </c>
      <c r="G25" s="50">
        <f t="shared" si="10"/>
        <v>10000000</v>
      </c>
      <c r="I25" s="50"/>
      <c r="L25" t="s">
        <v>92</v>
      </c>
      <c r="M25" s="50" t="e">
        <f>M19+M24</f>
        <v>#REF!</v>
      </c>
      <c r="N25" s="50" t="e">
        <f t="shared" ref="N25" si="11">N19+N24</f>
        <v>#REF!</v>
      </c>
      <c r="O25" s="50" t="e">
        <f t="shared" ref="O25" si="12">O19+O24</f>
        <v>#REF!</v>
      </c>
      <c r="AB25" t="s">
        <v>213</v>
      </c>
    </row>
    <row r="26" spans="1:34" ht="15" thickBot="1" x14ac:dyDescent="0.35">
      <c r="D26" s="25" t="s">
        <v>76</v>
      </c>
      <c r="E26" s="52">
        <f>E25-E20</f>
        <v>-450000</v>
      </c>
      <c r="F26" s="120">
        <f>F25-F20</f>
        <v>-500000</v>
      </c>
      <c r="G26" s="52">
        <f t="shared" ref="G26" si="13">G25-G20</f>
        <v>0</v>
      </c>
      <c r="I26" s="430"/>
      <c r="L26" s="25" t="s">
        <v>76</v>
      </c>
      <c r="M26" s="52" t="e">
        <f>M25-M20</f>
        <v>#REF!</v>
      </c>
      <c r="N26" s="52" t="e">
        <f t="shared" ref="N26" si="14">N25-N20</f>
        <v>#REF!</v>
      </c>
      <c r="O26" s="52" t="e">
        <f t="shared" ref="O26" si="15">O25-O20</f>
        <v>#REF!</v>
      </c>
      <c r="Q26" s="41" t="s">
        <v>240</v>
      </c>
      <c r="R26" t="s">
        <v>158</v>
      </c>
      <c r="Y26" s="41" t="s">
        <v>214</v>
      </c>
      <c r="AF26" s="41" t="s">
        <v>215</v>
      </c>
    </row>
    <row r="27" spans="1:34" ht="15.6" thickTop="1" thickBot="1" x14ac:dyDescent="0.35">
      <c r="D27" s="15" t="s">
        <v>95</v>
      </c>
      <c r="E27" s="61">
        <f>IF(E26 &lt;= 0, E20+E26, E20)</f>
        <v>6550000</v>
      </c>
      <c r="F27" s="61">
        <f t="shared" ref="F27:G27" si="16">IF(F26 &lt;= 0, F20+F26, F20)</f>
        <v>6500000</v>
      </c>
      <c r="G27" s="61">
        <f t="shared" si="16"/>
        <v>10000000</v>
      </c>
      <c r="L27" s="15" t="s">
        <v>95</v>
      </c>
      <c r="M27" s="76" t="e">
        <f>IF(M26 &lt;= 0, M20+M26, M20)</f>
        <v>#REF!</v>
      </c>
      <c r="N27" s="76" t="e">
        <f t="shared" ref="N27:O27" si="17">IF(N26 &lt;= 0, N20+N26, N20)</f>
        <v>#REF!</v>
      </c>
      <c r="O27" s="76" t="e">
        <f t="shared" si="17"/>
        <v>#REF!</v>
      </c>
      <c r="R27" s="20" t="s">
        <v>68</v>
      </c>
      <c r="S27" s="89" t="s">
        <v>141</v>
      </c>
      <c r="T27" s="91" t="s">
        <v>22</v>
      </c>
      <c r="U27" s="90" t="s">
        <v>17</v>
      </c>
      <c r="V27" s="90" t="s">
        <v>18</v>
      </c>
      <c r="W27" s="90" t="s">
        <v>19</v>
      </c>
      <c r="Y27" s="15"/>
      <c r="Z27" s="89" t="s">
        <v>141</v>
      </c>
      <c r="AA27" s="91" t="s">
        <v>22</v>
      </c>
      <c r="AB27" s="90" t="s">
        <v>17</v>
      </c>
      <c r="AC27" s="90" t="s">
        <v>18</v>
      </c>
      <c r="AD27" s="90" t="s">
        <v>19</v>
      </c>
      <c r="AF27" s="123"/>
      <c r="AG27" s="126" t="s">
        <v>216</v>
      </c>
    </row>
    <row r="28" spans="1:34" ht="14.4" customHeight="1" x14ac:dyDescent="0.3">
      <c r="A28" s="705"/>
      <c r="B28" s="706"/>
      <c r="C28" s="706"/>
      <c r="D28" s="706"/>
      <c r="E28" s="707"/>
      <c r="F28" s="706"/>
      <c r="G28" s="706"/>
      <c r="H28" s="706"/>
      <c r="I28" s="708"/>
      <c r="R28" t="s">
        <v>78</v>
      </c>
      <c r="S28" s="895" t="s">
        <v>142</v>
      </c>
      <c r="T28" s="92" t="s">
        <v>4</v>
      </c>
      <c r="U28" s="104"/>
      <c r="V28" s="104"/>
      <c r="W28" s="105"/>
      <c r="Y28" s="15"/>
      <c r="Z28" s="895" t="s">
        <v>142</v>
      </c>
      <c r="AA28" s="92" t="s">
        <v>4</v>
      </c>
      <c r="AB28" s="161">
        <v>12000</v>
      </c>
      <c r="AC28" s="146"/>
      <c r="AD28" s="147"/>
      <c r="AF28" s="32"/>
      <c r="AG28" s="15"/>
    </row>
    <row r="29" spans="1:34" ht="14.4" customHeight="1" x14ac:dyDescent="0.3">
      <c r="A29" s="695" t="s">
        <v>105</v>
      </c>
      <c r="B29" s="18"/>
      <c r="C29" s="18"/>
      <c r="D29" s="18"/>
      <c r="E29" s="18"/>
      <c r="F29" s="18"/>
      <c r="G29" s="18"/>
      <c r="H29" s="18"/>
      <c r="I29" s="185"/>
      <c r="J29" s="41" t="s">
        <v>105</v>
      </c>
      <c r="S29" s="895"/>
      <c r="T29" s="93" t="s">
        <v>101</v>
      </c>
      <c r="U29" s="130">
        <v>58000</v>
      </c>
      <c r="V29" s="131">
        <v>15000</v>
      </c>
      <c r="W29" s="132">
        <v>14000</v>
      </c>
      <c r="Y29" s="15"/>
      <c r="Z29" s="895"/>
      <c r="AA29" s="93" t="s">
        <v>101</v>
      </c>
      <c r="AB29" s="130">
        <v>111000</v>
      </c>
      <c r="AC29" s="131">
        <v>200000</v>
      </c>
      <c r="AD29" s="132">
        <v>200000</v>
      </c>
      <c r="AF29" s="32">
        <f>188+15</f>
        <v>203</v>
      </c>
      <c r="AG29" s="15"/>
    </row>
    <row r="30" spans="1:34" ht="14.4" customHeight="1" x14ac:dyDescent="0.3">
      <c r="A30" s="184"/>
      <c r="B30" s="335" t="s">
        <v>68</v>
      </c>
      <c r="C30" s="335" t="s">
        <v>125</v>
      </c>
      <c r="D30" s="335" t="s">
        <v>526</v>
      </c>
      <c r="E30" s="698" t="s">
        <v>17</v>
      </c>
      <c r="F30" s="698" t="s">
        <v>18</v>
      </c>
      <c r="G30" s="698" t="s">
        <v>19</v>
      </c>
      <c r="H30" s="18"/>
      <c r="I30" s="185"/>
      <c r="K30" s="20" t="s">
        <v>68</v>
      </c>
      <c r="L30" s="20" t="s">
        <v>22</v>
      </c>
      <c r="M30" s="5" t="s">
        <v>17</v>
      </c>
      <c r="N30" s="5" t="s">
        <v>18</v>
      </c>
      <c r="O30" s="5" t="s">
        <v>19</v>
      </c>
      <c r="S30" s="895"/>
      <c r="T30" s="93" t="s">
        <v>86</v>
      </c>
      <c r="U30" s="148" t="e">
        <f>T18</f>
        <v>#REF!</v>
      </c>
      <c r="V30" s="148" t="e">
        <f t="shared" ref="V30:W30" si="18">U18</f>
        <v>#REF!</v>
      </c>
      <c r="W30" s="149" t="e">
        <f t="shared" si="18"/>
        <v>#REF!</v>
      </c>
      <c r="Y30" s="15"/>
      <c r="Z30" s="895"/>
      <c r="AA30" s="93" t="s">
        <v>86</v>
      </c>
      <c r="AB30" s="134"/>
      <c r="AC30" s="134"/>
      <c r="AD30" s="133"/>
      <c r="AF30" s="32">
        <v>3</v>
      </c>
      <c r="AG30" s="15"/>
    </row>
    <row r="31" spans="1:34" ht="14.4" customHeight="1" x14ac:dyDescent="0.3">
      <c r="A31" s="184"/>
      <c r="B31" s="18" t="s">
        <v>78</v>
      </c>
      <c r="C31" s="18" t="s">
        <v>11</v>
      </c>
      <c r="D31" s="709" t="s">
        <v>525</v>
      </c>
      <c r="E31" s="710">
        <f>400000*(100-E52)/100</f>
        <v>340000</v>
      </c>
      <c r="F31" s="711">
        <f>400000*(100-F52)/100</f>
        <v>380000</v>
      </c>
      <c r="G31" s="76">
        <v>550000</v>
      </c>
      <c r="H31" s="18"/>
      <c r="I31" s="185"/>
      <c r="J31" s="128">
        <f>502000/E31</f>
        <v>1.4764705882352942</v>
      </c>
      <c r="K31" t="s">
        <v>78</v>
      </c>
      <c r="L31" t="s">
        <v>4</v>
      </c>
      <c r="M31" s="77">
        <f t="shared" ref="M31:O36" si="19">M5</f>
        <v>0</v>
      </c>
      <c r="N31" s="77">
        <f t="shared" si="19"/>
        <v>500000</v>
      </c>
      <c r="O31" s="77">
        <f t="shared" si="19"/>
        <v>500000</v>
      </c>
      <c r="S31" s="895"/>
      <c r="T31" s="93" t="s">
        <v>178</v>
      </c>
      <c r="U31" s="134"/>
      <c r="V31" s="134"/>
      <c r="W31" s="133"/>
      <c r="Y31" s="15"/>
      <c r="Z31" s="895"/>
      <c r="AA31" s="93" t="s">
        <v>178</v>
      </c>
      <c r="AB31" s="131">
        <v>53000</v>
      </c>
      <c r="AC31" s="134"/>
      <c r="AD31" s="133"/>
      <c r="AF31" s="32"/>
      <c r="AG31" s="15"/>
    </row>
    <row r="32" spans="1:34" ht="14.4" customHeight="1" x14ac:dyDescent="0.3">
      <c r="A32" s="184"/>
      <c r="B32" s="18"/>
      <c r="C32" s="18" t="s">
        <v>12</v>
      </c>
      <c r="D32" s="56" t="s">
        <v>5</v>
      </c>
      <c r="E32" s="99"/>
      <c r="F32" s="99"/>
      <c r="G32" s="99">
        <v>450000</v>
      </c>
      <c r="H32" s="18"/>
      <c r="I32" s="185"/>
      <c r="L32" t="s">
        <v>31</v>
      </c>
      <c r="M32" s="77">
        <f t="shared" si="19"/>
        <v>75000</v>
      </c>
      <c r="N32" s="77">
        <f t="shared" si="19"/>
        <v>70000</v>
      </c>
      <c r="O32" s="77">
        <f t="shared" si="19"/>
        <v>72000</v>
      </c>
      <c r="S32" s="895"/>
      <c r="T32" s="93" t="s">
        <v>100</v>
      </c>
      <c r="U32" s="130" t="e">
        <f>T20</f>
        <v>#REF!</v>
      </c>
      <c r="V32" s="130">
        <v>200000</v>
      </c>
      <c r="W32" s="133">
        <v>200000</v>
      </c>
      <c r="Y32" s="15"/>
      <c r="Z32" s="895"/>
      <c r="AA32" s="93" t="s">
        <v>100</v>
      </c>
      <c r="AB32" s="130">
        <v>241000</v>
      </c>
      <c r="AC32" s="130">
        <v>200000</v>
      </c>
      <c r="AD32" s="133">
        <v>200000</v>
      </c>
      <c r="AF32" s="32"/>
      <c r="AG32" s="15"/>
    </row>
    <row r="33" spans="1:35" ht="14.4" customHeight="1" x14ac:dyDescent="0.3">
      <c r="A33" s="184"/>
      <c r="B33" s="18"/>
      <c r="C33" s="18" t="s">
        <v>10</v>
      </c>
      <c r="D33" s="56" t="s">
        <v>86</v>
      </c>
      <c r="E33" s="99">
        <f>1500000*(100-E51)/100</f>
        <v>1435714.2</v>
      </c>
      <c r="F33" s="99">
        <f>1500000*(100-F51)/100</f>
        <v>1384821.45</v>
      </c>
      <c r="G33" s="99">
        <v>1800000</v>
      </c>
      <c r="H33" s="18"/>
      <c r="I33" s="185"/>
      <c r="L33" t="s">
        <v>6</v>
      </c>
      <c r="M33" s="77">
        <f t="shared" si="19"/>
        <v>188000</v>
      </c>
      <c r="N33" s="77">
        <f t="shared" si="19"/>
        <v>170000</v>
      </c>
      <c r="O33" s="77">
        <f t="shared" si="19"/>
        <v>170000</v>
      </c>
      <c r="S33" s="895"/>
      <c r="T33" s="112" t="s">
        <v>99</v>
      </c>
      <c r="U33" s="135" t="e">
        <f>T21</f>
        <v>#REF!</v>
      </c>
      <c r="V33" s="135"/>
      <c r="W33" s="136"/>
      <c r="Z33" s="895"/>
      <c r="AA33" s="112" t="s">
        <v>99</v>
      </c>
      <c r="AB33" s="135">
        <v>83000</v>
      </c>
      <c r="AC33" s="135"/>
      <c r="AD33" s="136"/>
      <c r="AF33" s="15"/>
    </row>
    <row r="34" spans="1:35" ht="14.4" customHeight="1" x14ac:dyDescent="0.3">
      <c r="A34" s="184"/>
      <c r="B34" s="18"/>
      <c r="C34" s="18" t="s">
        <v>11</v>
      </c>
      <c r="D34" s="56" t="s">
        <v>87</v>
      </c>
      <c r="E34" s="99">
        <f>1000000*(100-E52)/100</f>
        <v>850000</v>
      </c>
      <c r="F34" s="99">
        <f>1000000*(100-F52)/100</f>
        <v>950000</v>
      </c>
      <c r="G34" s="99">
        <v>1200000</v>
      </c>
      <c r="H34" s="18"/>
      <c r="I34" s="185"/>
      <c r="L34" t="s">
        <v>32</v>
      </c>
      <c r="M34" s="77">
        <f t="shared" si="19"/>
        <v>105000</v>
      </c>
      <c r="N34" s="77">
        <f t="shared" si="19"/>
        <v>100000</v>
      </c>
      <c r="O34" s="77">
        <f t="shared" si="19"/>
        <v>110000</v>
      </c>
      <c r="S34" s="895"/>
      <c r="T34" s="87" t="s">
        <v>66</v>
      </c>
      <c r="U34" s="102" t="e">
        <f>SUM(U28:U33)</f>
        <v>#REF!</v>
      </c>
      <c r="V34" s="102" t="e">
        <f>SUM(V28:V33)</f>
        <v>#REF!</v>
      </c>
      <c r="W34" s="103" t="e">
        <f>SUM(W28:W33)</f>
        <v>#REF!</v>
      </c>
      <c r="Z34" s="895"/>
      <c r="AA34" s="87" t="s">
        <v>66</v>
      </c>
      <c r="AB34" s="102">
        <f>SUM(AB28:AB33)</f>
        <v>500000</v>
      </c>
      <c r="AC34" s="102">
        <f>SUM(AC28:AC33)</f>
        <v>400000</v>
      </c>
      <c r="AD34" s="103">
        <f>SUM(AD28:AD33)</f>
        <v>400000</v>
      </c>
      <c r="AF34" s="20" t="s">
        <v>69</v>
      </c>
      <c r="AG34" s="17" t="s">
        <v>17</v>
      </c>
      <c r="AH34" s="17" t="s">
        <v>18</v>
      </c>
      <c r="AI34" s="17" t="s">
        <v>19</v>
      </c>
    </row>
    <row r="35" spans="1:35" ht="14.4" customHeight="1" x14ac:dyDescent="0.3">
      <c r="A35" s="184"/>
      <c r="B35" s="18"/>
      <c r="C35" s="18" t="s">
        <v>10</v>
      </c>
      <c r="D35" s="56" t="s">
        <v>88</v>
      </c>
      <c r="E35" s="99">
        <f>1500000*(100-E51)/100</f>
        <v>1435714.2</v>
      </c>
      <c r="F35" s="99">
        <f>1500000*(100-F51)/100</f>
        <v>1384821.45</v>
      </c>
      <c r="G35" s="99">
        <v>2000000</v>
      </c>
      <c r="H35" s="18"/>
      <c r="I35" s="185"/>
      <c r="L35" t="s">
        <v>30</v>
      </c>
      <c r="M35" s="77">
        <f t="shared" si="19"/>
        <v>47000</v>
      </c>
      <c r="N35" s="77">
        <f t="shared" si="19"/>
        <v>50000</v>
      </c>
      <c r="O35" s="77">
        <f t="shared" si="19"/>
        <v>50000</v>
      </c>
      <c r="S35" s="895" t="s">
        <v>71</v>
      </c>
      <c r="T35" s="129" t="s">
        <v>22</v>
      </c>
      <c r="U35" s="97" t="s">
        <v>17</v>
      </c>
      <c r="V35" s="97" t="s">
        <v>18</v>
      </c>
      <c r="W35" s="98" t="s">
        <v>19</v>
      </c>
      <c r="Z35" s="895" t="s">
        <v>71</v>
      </c>
      <c r="AA35" s="129" t="s">
        <v>22</v>
      </c>
      <c r="AB35" s="97" t="s">
        <v>17</v>
      </c>
      <c r="AC35" s="97" t="s">
        <v>18</v>
      </c>
      <c r="AD35" s="98" t="s">
        <v>19</v>
      </c>
      <c r="AF35" t="s">
        <v>70</v>
      </c>
      <c r="AG35" s="72">
        <v>500000</v>
      </c>
      <c r="AH35" s="72">
        <v>400000</v>
      </c>
      <c r="AI35" s="50">
        <v>400000</v>
      </c>
    </row>
    <row r="36" spans="1:35" ht="14.4" customHeight="1" x14ac:dyDescent="0.3">
      <c r="A36" s="184" t="s">
        <v>140</v>
      </c>
      <c r="B36" s="18"/>
      <c r="C36" s="18" t="s">
        <v>10</v>
      </c>
      <c r="D36" s="56" t="s">
        <v>72</v>
      </c>
      <c r="E36" s="99">
        <f>2600000*(100-E51)/100</f>
        <v>2488571.2799999998</v>
      </c>
      <c r="F36" s="99">
        <f>2600000*(100-F51)/100</f>
        <v>2400357.1800000002</v>
      </c>
      <c r="G36" s="99">
        <v>4000000</v>
      </c>
      <c r="H36" s="18"/>
      <c r="I36" s="185"/>
      <c r="L36" t="s">
        <v>72</v>
      </c>
      <c r="M36" s="77">
        <f t="shared" si="19"/>
        <v>2000000</v>
      </c>
      <c r="N36" s="77">
        <f t="shared" si="19"/>
        <v>2000000</v>
      </c>
      <c r="O36" s="77">
        <f t="shared" si="19"/>
        <v>2000000</v>
      </c>
      <c r="S36" s="895"/>
      <c r="T36" s="92" t="s">
        <v>4</v>
      </c>
      <c r="U36" s="104"/>
      <c r="V36" s="104"/>
      <c r="W36" s="105"/>
      <c r="Z36" s="895"/>
      <c r="AA36" s="92" t="s">
        <v>4</v>
      </c>
      <c r="AB36" s="104"/>
      <c r="AC36" s="104"/>
      <c r="AD36" s="105"/>
      <c r="AF36" t="s">
        <v>71</v>
      </c>
      <c r="AG36" s="72">
        <v>400000</v>
      </c>
      <c r="AH36" s="72">
        <v>300000</v>
      </c>
      <c r="AI36" s="50">
        <v>300000</v>
      </c>
    </row>
    <row r="37" spans="1:35" ht="15" customHeight="1" thickBot="1" x14ac:dyDescent="0.35">
      <c r="A37" s="184"/>
      <c r="B37" s="18"/>
      <c r="C37" s="18"/>
      <c r="D37" s="63" t="s">
        <v>66</v>
      </c>
      <c r="E37" s="55">
        <f>SUM(E31:E36)</f>
        <v>6549999.6799999997</v>
      </c>
      <c r="F37" s="55">
        <f t="shared" ref="F37:G37" si="20">SUM(F31:F36)</f>
        <v>6500000.0800000001</v>
      </c>
      <c r="G37" s="55">
        <f t="shared" si="20"/>
        <v>10000000</v>
      </c>
      <c r="H37" s="18"/>
      <c r="I37" s="185"/>
      <c r="L37" s="25" t="s">
        <v>66</v>
      </c>
      <c r="M37" s="78">
        <f>SUM(M31:M36)</f>
        <v>2415000</v>
      </c>
      <c r="N37" s="78">
        <f t="shared" ref="N37:O37" si="21">SUM(N31:N36)</f>
        <v>2890000</v>
      </c>
      <c r="O37" s="78">
        <f t="shared" si="21"/>
        <v>2902000</v>
      </c>
      <c r="S37" s="895"/>
      <c r="T37" s="93" t="s">
        <v>101</v>
      </c>
      <c r="U37" s="58">
        <v>61000</v>
      </c>
      <c r="V37" s="15"/>
      <c r="W37" s="137"/>
      <c r="Z37" s="895"/>
      <c r="AA37" s="93" t="s">
        <v>101</v>
      </c>
      <c r="AB37" s="58">
        <v>61000</v>
      </c>
      <c r="AC37" s="15"/>
      <c r="AD37" s="137"/>
      <c r="AF37" t="s">
        <v>103</v>
      </c>
      <c r="AG37" s="72">
        <v>300000</v>
      </c>
      <c r="AH37" s="72">
        <v>200000</v>
      </c>
      <c r="AI37" s="50">
        <v>200000</v>
      </c>
    </row>
    <row r="38" spans="1:35" ht="15" customHeight="1" thickTop="1" x14ac:dyDescent="0.3">
      <c r="A38" s="184"/>
      <c r="B38" s="18"/>
      <c r="C38" s="18"/>
      <c r="D38" s="58" t="s">
        <v>172</v>
      </c>
      <c r="E38" s="18"/>
      <c r="F38" s="18"/>
      <c r="G38" s="18"/>
      <c r="H38" s="18"/>
      <c r="I38" s="185"/>
      <c r="S38" s="895"/>
      <c r="T38" s="93" t="s">
        <v>86</v>
      </c>
      <c r="U38" s="130"/>
      <c r="V38" s="130"/>
      <c r="W38" s="133"/>
      <c r="Z38" s="895"/>
      <c r="AA38" s="93" t="s">
        <v>86</v>
      </c>
      <c r="AB38" s="130"/>
      <c r="AC38" s="130"/>
      <c r="AD38" s="133"/>
      <c r="AF38" t="s">
        <v>104</v>
      </c>
      <c r="AG38" s="50">
        <v>0</v>
      </c>
      <c r="AH38" s="72">
        <v>200000</v>
      </c>
      <c r="AI38" s="50">
        <v>200000</v>
      </c>
    </row>
    <row r="39" spans="1:35" ht="14.4" customHeight="1" x14ac:dyDescent="0.3">
      <c r="A39" s="184"/>
      <c r="B39" s="18"/>
      <c r="C39" s="18"/>
      <c r="D39" s="18"/>
      <c r="E39" s="18"/>
      <c r="F39" s="18"/>
      <c r="G39" s="18"/>
      <c r="H39" s="18"/>
      <c r="I39" s="185"/>
      <c r="S39" s="895"/>
      <c r="T39" s="93" t="s">
        <v>178</v>
      </c>
      <c r="U39" s="131" t="e">
        <f>T19</f>
        <v>#REF!</v>
      </c>
      <c r="V39" s="131">
        <v>300000</v>
      </c>
      <c r="W39" s="133">
        <v>300000</v>
      </c>
      <c r="Z39" s="895"/>
      <c r="AA39" s="93" t="s">
        <v>178</v>
      </c>
      <c r="AB39" s="131">
        <v>339000</v>
      </c>
      <c r="AC39" s="131">
        <v>300000</v>
      </c>
      <c r="AD39" s="133">
        <v>300000</v>
      </c>
      <c r="AF39" t="s">
        <v>102</v>
      </c>
      <c r="AG39" s="50">
        <v>0</v>
      </c>
      <c r="AH39" s="72">
        <v>200000</v>
      </c>
      <c r="AI39" s="50">
        <v>200000</v>
      </c>
    </row>
    <row r="40" spans="1:35" ht="14.4" customHeight="1" thickBot="1" x14ac:dyDescent="0.35">
      <c r="A40" s="184"/>
      <c r="B40" s="18"/>
      <c r="C40" s="18"/>
      <c r="D40" s="18"/>
      <c r="E40" s="18"/>
      <c r="F40" s="18"/>
      <c r="G40" s="18"/>
      <c r="H40" s="18"/>
      <c r="I40" s="185"/>
      <c r="S40" s="895"/>
      <c r="T40" s="93" t="s">
        <v>100</v>
      </c>
      <c r="U40" s="130"/>
      <c r="V40" s="15"/>
      <c r="W40" s="137"/>
      <c r="Z40" s="895"/>
      <c r="AA40" s="93" t="s">
        <v>100</v>
      </c>
      <c r="AB40" s="130"/>
      <c r="AC40" s="15"/>
      <c r="AD40" s="137"/>
      <c r="AF40" s="25" t="s">
        <v>66</v>
      </c>
      <c r="AG40" s="52">
        <f>SUM(AG35:AG39)</f>
        <v>1200000</v>
      </c>
      <c r="AH40" s="52">
        <f>SUM(AH35:AH39)</f>
        <v>1300000</v>
      </c>
      <c r="AI40" s="52">
        <f>SUM(AI35:AI39)</f>
        <v>1300000</v>
      </c>
    </row>
    <row r="41" spans="1:35" ht="14.4" hidden="1" customHeight="1" thickTop="1" x14ac:dyDescent="0.3">
      <c r="A41" s="695" t="s">
        <v>106</v>
      </c>
      <c r="B41" s="18"/>
      <c r="C41" s="18"/>
      <c r="D41" s="18"/>
      <c r="E41" s="18"/>
      <c r="F41" s="18"/>
      <c r="G41" s="18"/>
      <c r="H41" s="18"/>
      <c r="I41" s="185"/>
      <c r="J41" s="41" t="s">
        <v>106</v>
      </c>
      <c r="S41" s="895"/>
      <c r="T41" s="112" t="s">
        <v>99</v>
      </c>
      <c r="U41" s="113"/>
      <c r="V41" s="113"/>
      <c r="W41" s="114"/>
      <c r="Z41" s="895"/>
      <c r="AA41" s="112" t="s">
        <v>99</v>
      </c>
      <c r="AB41" s="113"/>
      <c r="AC41" s="113"/>
      <c r="AD41" s="114"/>
      <c r="AF41" s="15"/>
    </row>
    <row r="42" spans="1:35" ht="15" hidden="1" customHeight="1" thickBot="1" x14ac:dyDescent="0.35">
      <c r="A42" s="184"/>
      <c r="B42" s="18" t="s">
        <v>68</v>
      </c>
      <c r="C42" s="18"/>
      <c r="D42" s="712" t="s">
        <v>79</v>
      </c>
      <c r="E42" s="713" t="s">
        <v>17</v>
      </c>
      <c r="F42" s="713" t="s">
        <v>18</v>
      </c>
      <c r="G42" s="713" t="s">
        <v>19</v>
      </c>
      <c r="H42" s="18"/>
      <c r="I42" s="185"/>
      <c r="K42" t="s">
        <v>68</v>
      </c>
      <c r="L42" s="5" t="s">
        <v>79</v>
      </c>
      <c r="M42" s="17" t="s">
        <v>17</v>
      </c>
      <c r="N42" s="17" t="s">
        <v>18</v>
      </c>
      <c r="O42" s="17" t="s">
        <v>19</v>
      </c>
      <c r="S42" s="895"/>
      <c r="T42" s="96" t="s">
        <v>66</v>
      </c>
      <c r="U42" s="55" t="e">
        <f>SUM(U36:U41)</f>
        <v>#REF!</v>
      </c>
      <c r="V42" s="55">
        <f>SUM(V36:V41)</f>
        <v>300000</v>
      </c>
      <c r="W42" s="106">
        <f>SUM(W36:W41)</f>
        <v>300000</v>
      </c>
      <c r="Z42" s="895"/>
      <c r="AA42" s="96" t="s">
        <v>66</v>
      </c>
      <c r="AB42" s="55">
        <f>SUM(AB36:AB41)</f>
        <v>400000</v>
      </c>
      <c r="AC42" s="55">
        <f>SUM(AC36:AC41)</f>
        <v>300000</v>
      </c>
      <c r="AD42" s="106">
        <f>SUM(AD36:AD41)</f>
        <v>300000</v>
      </c>
      <c r="AF42" s="17" t="s">
        <v>18</v>
      </c>
      <c r="AG42" s="15"/>
    </row>
    <row r="43" spans="1:35" ht="15" hidden="1" customHeight="1" thickTop="1" x14ac:dyDescent="0.3">
      <c r="A43" s="184"/>
      <c r="B43" s="18" t="s">
        <v>78</v>
      </c>
      <c r="C43" s="18"/>
      <c r="D43" s="18" t="s">
        <v>325</v>
      </c>
      <c r="E43" s="76" t="e">
        <f>#REF!</f>
        <v>#REF!</v>
      </c>
      <c r="F43" s="76" t="e">
        <f>#REF!</f>
        <v>#REF!</v>
      </c>
      <c r="G43" s="76" t="e">
        <f>#REF!</f>
        <v>#REF!</v>
      </c>
      <c r="H43" s="18"/>
      <c r="I43" s="185"/>
      <c r="K43" t="s">
        <v>78</v>
      </c>
      <c r="L43" t="s">
        <v>122</v>
      </c>
      <c r="M43" s="50">
        <v>1280000</v>
      </c>
      <c r="N43" s="50">
        <v>1280000</v>
      </c>
      <c r="O43" s="50">
        <v>1280000</v>
      </c>
      <c r="S43" s="895" t="s">
        <v>103</v>
      </c>
      <c r="T43" s="108" t="s">
        <v>22</v>
      </c>
      <c r="U43" s="109" t="s">
        <v>17</v>
      </c>
      <c r="V43" s="109" t="s">
        <v>18</v>
      </c>
      <c r="W43" s="110" t="s">
        <v>19</v>
      </c>
      <c r="Z43" s="895" t="s">
        <v>103</v>
      </c>
      <c r="AA43" s="108" t="s">
        <v>22</v>
      </c>
      <c r="AB43" s="109" t="s">
        <v>17</v>
      </c>
      <c r="AC43" s="109" t="s">
        <v>18</v>
      </c>
      <c r="AD43" s="110" t="s">
        <v>19</v>
      </c>
      <c r="AF43" s="20" t="s">
        <v>4</v>
      </c>
      <c r="AG43" s="150">
        <v>6000</v>
      </c>
      <c r="AH43">
        <v>0</v>
      </c>
    </row>
    <row r="44" spans="1:35" ht="14.4" hidden="1" customHeight="1" thickBot="1" x14ac:dyDescent="0.35">
      <c r="A44" s="184"/>
      <c r="B44" s="18"/>
      <c r="C44" s="18"/>
      <c r="D44" s="25" t="s">
        <v>96</v>
      </c>
      <c r="E44" s="52" t="e">
        <f>SUM(E43:E43)</f>
        <v>#REF!</v>
      </c>
      <c r="F44" s="52" t="e">
        <f>SUM(F43:F43)</f>
        <v>#REF!</v>
      </c>
      <c r="G44" s="52" t="e">
        <f>SUM(G43:G43)</f>
        <v>#REF!</v>
      </c>
      <c r="H44" s="18"/>
      <c r="I44" s="185"/>
      <c r="L44" t="s">
        <v>123</v>
      </c>
      <c r="M44" s="50">
        <v>1220000</v>
      </c>
      <c r="N44" s="50">
        <v>1220000</v>
      </c>
      <c r="O44" s="50">
        <v>1220000</v>
      </c>
      <c r="S44" s="895"/>
      <c r="T44" s="93" t="s">
        <v>4</v>
      </c>
      <c r="U44" s="124" t="e">
        <f>T16</f>
        <v>#REF!</v>
      </c>
      <c r="V44" s="124" t="e">
        <f t="shared" ref="V44:W44" si="22">U16</f>
        <v>#REF!</v>
      </c>
      <c r="W44" s="138" t="e">
        <f t="shared" si="22"/>
        <v>#REF!</v>
      </c>
      <c r="Z44" s="895"/>
      <c r="AA44" s="93" t="s">
        <v>4</v>
      </c>
      <c r="AB44" s="159">
        <v>76000</v>
      </c>
      <c r="AC44" s="159">
        <v>82000</v>
      </c>
      <c r="AD44" s="160">
        <v>82000</v>
      </c>
      <c r="AF44" s="20" t="s">
        <v>101</v>
      </c>
      <c r="AG44" s="150">
        <v>23000</v>
      </c>
      <c r="AH44">
        <v>0</v>
      </c>
    </row>
    <row r="45" spans="1:35" ht="15" hidden="1" customHeight="1" thickTop="1" thickBot="1" x14ac:dyDescent="0.35">
      <c r="A45" s="184"/>
      <c r="B45" s="18"/>
      <c r="C45" s="18"/>
      <c r="D45" s="18"/>
      <c r="E45" s="95"/>
      <c r="F45" s="95"/>
      <c r="G45" s="95"/>
      <c r="H45" s="18"/>
      <c r="I45" s="185"/>
      <c r="L45" s="25" t="s">
        <v>96</v>
      </c>
      <c r="M45" s="52">
        <f>SUM(M43:M44)</f>
        <v>2500000</v>
      </c>
      <c r="N45" s="52">
        <f t="shared" ref="N45:O45" si="23">SUM(N43:N44)</f>
        <v>2500000</v>
      </c>
      <c r="O45" s="52">
        <f t="shared" si="23"/>
        <v>2500000</v>
      </c>
      <c r="S45" s="895"/>
      <c r="T45" s="93" t="s">
        <v>101</v>
      </c>
      <c r="U45" s="130">
        <v>224000</v>
      </c>
      <c r="V45" s="130">
        <v>112000</v>
      </c>
      <c r="W45" s="133">
        <v>112000</v>
      </c>
      <c r="Z45" s="895"/>
      <c r="AA45" s="93" t="s">
        <v>101</v>
      </c>
      <c r="AB45" s="130">
        <v>224000</v>
      </c>
      <c r="AC45" s="130">
        <v>92000</v>
      </c>
      <c r="AD45" s="133">
        <v>90000</v>
      </c>
      <c r="AF45" s="20" t="s">
        <v>86</v>
      </c>
      <c r="AG45" s="15">
        <v>0</v>
      </c>
      <c r="AH45">
        <v>26</v>
      </c>
      <c r="AI45">
        <v>39</v>
      </c>
    </row>
    <row r="46" spans="1:35" ht="15" hidden="1" customHeight="1" thickTop="1" x14ac:dyDescent="0.3">
      <c r="A46" s="184"/>
      <c r="B46" s="18"/>
      <c r="C46" s="18"/>
      <c r="D46" s="18"/>
      <c r="E46" s="18"/>
      <c r="F46" s="18"/>
      <c r="G46" s="18"/>
      <c r="H46" s="18"/>
      <c r="I46" s="185"/>
      <c r="S46" s="895"/>
      <c r="T46" s="93" t="s">
        <v>86</v>
      </c>
      <c r="U46" s="130"/>
      <c r="V46" s="130"/>
      <c r="W46" s="133"/>
      <c r="Z46" s="895"/>
      <c r="AA46" s="93" t="s">
        <v>86</v>
      </c>
      <c r="AB46" s="130"/>
      <c r="AC46" s="130">
        <v>26000</v>
      </c>
      <c r="AD46" s="133">
        <v>28000</v>
      </c>
      <c r="AF46" s="20" t="s">
        <v>178</v>
      </c>
      <c r="AG46" s="150">
        <v>29000</v>
      </c>
      <c r="AH46">
        <v>0</v>
      </c>
    </row>
    <row r="47" spans="1:35" ht="14.4" customHeight="1" thickTop="1" thickBot="1" x14ac:dyDescent="0.35">
      <c r="A47" s="714"/>
      <c r="B47" s="630"/>
      <c r="C47" s="630"/>
      <c r="D47" s="630"/>
      <c r="E47" s="630"/>
      <c r="F47" s="630"/>
      <c r="G47" s="630"/>
      <c r="H47" s="630"/>
      <c r="I47" s="631"/>
      <c r="S47" s="895"/>
      <c r="T47" s="93" t="s">
        <v>178</v>
      </c>
      <c r="U47" s="107"/>
      <c r="V47" s="107"/>
      <c r="W47" s="111"/>
      <c r="Z47" s="895"/>
      <c r="AA47" s="93" t="s">
        <v>178</v>
      </c>
      <c r="AB47" s="107"/>
      <c r="AC47" s="107"/>
      <c r="AD47" s="111"/>
      <c r="AF47" s="20" t="s">
        <v>100</v>
      </c>
      <c r="AG47" s="150">
        <v>16000</v>
      </c>
      <c r="AH47">
        <v>0</v>
      </c>
    </row>
    <row r="48" spans="1:35" ht="14.4" customHeight="1" x14ac:dyDescent="0.3">
      <c r="D48" s="26" t="s">
        <v>171</v>
      </c>
      <c r="E48" s="42" t="s">
        <v>175</v>
      </c>
      <c r="L48" s="26" t="s">
        <v>171</v>
      </c>
      <c r="M48" s="42" t="s">
        <v>175</v>
      </c>
      <c r="S48" s="895"/>
      <c r="T48" s="93" t="s">
        <v>100</v>
      </c>
      <c r="U48" s="99"/>
      <c r="V48" s="101"/>
      <c r="W48" s="100"/>
      <c r="Z48" s="895"/>
      <c r="AA48" s="93" t="s">
        <v>100</v>
      </c>
      <c r="AB48" s="99"/>
      <c r="AC48" s="101"/>
      <c r="AD48" s="100"/>
      <c r="AF48" s="20" t="s">
        <v>99</v>
      </c>
      <c r="AG48" s="150">
        <v>6000</v>
      </c>
      <c r="AH48">
        <v>0</v>
      </c>
    </row>
    <row r="49" spans="4:35" ht="14.4" customHeight="1" x14ac:dyDescent="0.3">
      <c r="D49" t="s">
        <v>170</v>
      </c>
      <c r="L49" t="s">
        <v>170</v>
      </c>
      <c r="S49" s="895"/>
      <c r="T49" s="112" t="s">
        <v>99</v>
      </c>
      <c r="U49" s="113"/>
      <c r="V49" s="113"/>
      <c r="W49" s="114"/>
      <c r="Z49" s="895"/>
      <c r="AA49" s="112" t="s">
        <v>99</v>
      </c>
      <c r="AB49" s="113"/>
      <c r="AC49" s="113"/>
      <c r="AD49" s="114"/>
      <c r="AF49" s="15"/>
      <c r="AG49" s="15"/>
    </row>
    <row r="50" spans="4:35" ht="15" customHeight="1" thickBot="1" x14ac:dyDescent="0.35">
      <c r="D50" s="69" t="s">
        <v>125</v>
      </c>
      <c r="E50" s="69" t="s">
        <v>17</v>
      </c>
      <c r="F50" s="69" t="s">
        <v>18</v>
      </c>
      <c r="G50" s="69" t="s">
        <v>19</v>
      </c>
      <c r="L50" s="69" t="s">
        <v>125</v>
      </c>
      <c r="M50" s="69" t="s">
        <v>17</v>
      </c>
      <c r="N50" s="69" t="s">
        <v>18</v>
      </c>
      <c r="O50" s="69" t="s">
        <v>19</v>
      </c>
      <c r="S50" s="895"/>
      <c r="T50" s="96" t="s">
        <v>66</v>
      </c>
      <c r="U50" s="55" t="e">
        <f>SUM(U44:U49)</f>
        <v>#REF!</v>
      </c>
      <c r="V50" s="55" t="e">
        <f>SUM(V44:V49)</f>
        <v>#REF!</v>
      </c>
      <c r="W50" s="106" t="e">
        <f>SUM(W44:W49)</f>
        <v>#REF!</v>
      </c>
      <c r="Z50" s="895"/>
      <c r="AA50" s="96" t="s">
        <v>66</v>
      </c>
      <c r="AB50" s="55">
        <f>SUM(AB44:AB49)</f>
        <v>300000</v>
      </c>
      <c r="AC50" s="55">
        <f>SUM(AC44:AC49)</f>
        <v>200000</v>
      </c>
      <c r="AD50" s="106">
        <f>SUM(AD44:AD49)</f>
        <v>200000</v>
      </c>
      <c r="AF50" s="15"/>
      <c r="AG50" s="15"/>
    </row>
    <row r="51" spans="4:35" ht="15" customHeight="1" thickTop="1" x14ac:dyDescent="0.3">
      <c r="D51" s="70" t="s">
        <v>10</v>
      </c>
      <c r="E51" s="70">
        <v>4.2857200000000004</v>
      </c>
      <c r="F51" s="70">
        <v>7.6785699999999997</v>
      </c>
      <c r="G51" s="70"/>
      <c r="L51" s="70" t="s">
        <v>10</v>
      </c>
      <c r="M51" s="70">
        <v>5</v>
      </c>
      <c r="N51" s="70">
        <v>5</v>
      </c>
      <c r="O51" s="70">
        <v>7.5</v>
      </c>
      <c r="S51" s="895" t="s">
        <v>104</v>
      </c>
      <c r="T51" s="94" t="s">
        <v>22</v>
      </c>
      <c r="U51" s="97" t="s">
        <v>17</v>
      </c>
      <c r="V51" s="97" t="s">
        <v>18</v>
      </c>
      <c r="W51" s="98" t="s">
        <v>19</v>
      </c>
      <c r="Z51" s="895" t="s">
        <v>104</v>
      </c>
      <c r="AA51" s="94" t="s">
        <v>22</v>
      </c>
      <c r="AB51" s="97" t="s">
        <v>17</v>
      </c>
      <c r="AC51" s="97" t="s">
        <v>18</v>
      </c>
      <c r="AD51" s="98" t="s">
        <v>19</v>
      </c>
      <c r="AF51" s="17" t="s">
        <v>19</v>
      </c>
      <c r="AG51" s="15"/>
    </row>
    <row r="52" spans="4:35" ht="14.4" customHeight="1" x14ac:dyDescent="0.3">
      <c r="D52" s="70" t="s">
        <v>11</v>
      </c>
      <c r="E52" s="71">
        <v>15</v>
      </c>
      <c r="F52" s="71">
        <v>5</v>
      </c>
      <c r="G52" s="71">
        <v>5</v>
      </c>
      <c r="L52" s="70" t="s">
        <v>11</v>
      </c>
      <c r="M52" s="71">
        <v>7.5</v>
      </c>
      <c r="N52" s="71">
        <v>5</v>
      </c>
      <c r="O52" s="71">
        <v>2.5</v>
      </c>
      <c r="S52" s="895"/>
      <c r="T52" s="93" t="s">
        <v>4</v>
      </c>
      <c r="U52" s="95"/>
      <c r="V52" s="115"/>
      <c r="W52" s="116"/>
      <c r="Z52" s="895"/>
      <c r="AA52" s="93" t="s">
        <v>4</v>
      </c>
      <c r="AB52" s="95"/>
      <c r="AC52" s="115"/>
      <c r="AD52" s="116"/>
      <c r="AF52" s="20" t="s">
        <v>4</v>
      </c>
      <c r="AG52" s="150">
        <v>6000</v>
      </c>
      <c r="AH52">
        <v>0</v>
      </c>
    </row>
    <row r="53" spans="4:35" ht="14.4" customHeight="1" x14ac:dyDescent="0.3">
      <c r="D53" s="70" t="s">
        <v>12</v>
      </c>
      <c r="E53" s="71">
        <v>20</v>
      </c>
      <c r="F53" s="71">
        <v>15</v>
      </c>
      <c r="G53" s="71">
        <v>10</v>
      </c>
      <c r="L53" s="70" t="s">
        <v>12</v>
      </c>
      <c r="M53" s="71">
        <v>10</v>
      </c>
      <c r="N53" s="71">
        <v>7.5</v>
      </c>
      <c r="O53" s="71">
        <v>5</v>
      </c>
      <c r="S53" s="895"/>
      <c r="T53" s="93" t="s">
        <v>101</v>
      </c>
      <c r="U53" s="8"/>
      <c r="V53" s="117"/>
      <c r="W53" s="118"/>
      <c r="Z53" s="895"/>
      <c r="AA53" s="93" t="s">
        <v>101</v>
      </c>
      <c r="AB53" s="8"/>
      <c r="AC53" s="139"/>
      <c r="AD53" s="140"/>
      <c r="AF53" s="20" t="s">
        <v>101</v>
      </c>
      <c r="AG53" s="15">
        <v>24000</v>
      </c>
    </row>
    <row r="54" spans="4:35" ht="14.4" customHeight="1" x14ac:dyDescent="0.3">
      <c r="S54" s="895"/>
      <c r="T54" s="93" t="s">
        <v>86</v>
      </c>
      <c r="U54" s="85"/>
      <c r="V54" s="139"/>
      <c r="W54" s="140"/>
      <c r="Z54" s="895"/>
      <c r="AA54" s="93" t="s">
        <v>86</v>
      </c>
      <c r="AB54" s="85"/>
      <c r="AC54" s="139">
        <v>39000</v>
      </c>
      <c r="AD54" s="140">
        <v>39000</v>
      </c>
      <c r="AF54" s="20" t="s">
        <v>86</v>
      </c>
      <c r="AG54" s="15">
        <v>0</v>
      </c>
      <c r="AH54">
        <v>28</v>
      </c>
      <c r="AI54">
        <v>39</v>
      </c>
    </row>
    <row r="55" spans="4:35" ht="14.4" customHeight="1" x14ac:dyDescent="0.3">
      <c r="S55" s="895"/>
      <c r="T55" s="93" t="s">
        <v>178</v>
      </c>
      <c r="U55" s="86"/>
      <c r="V55" s="139">
        <v>110000</v>
      </c>
      <c r="W55" s="140">
        <v>91000</v>
      </c>
      <c r="Z55" s="895"/>
      <c r="AA55" s="93" t="s">
        <v>178</v>
      </c>
      <c r="AB55" s="86"/>
      <c r="AC55" s="139">
        <v>81000</v>
      </c>
      <c r="AD55" s="140">
        <v>63000</v>
      </c>
      <c r="AF55" s="20" t="s">
        <v>178</v>
      </c>
      <c r="AG55" s="150">
        <v>28000</v>
      </c>
      <c r="AH55">
        <v>0</v>
      </c>
    </row>
    <row r="56" spans="4:35" ht="14.4" customHeight="1" x14ac:dyDescent="0.3">
      <c r="S56" s="895"/>
      <c r="T56" s="93" t="s">
        <v>100</v>
      </c>
      <c r="U56" s="85"/>
      <c r="V56" s="131">
        <v>12000</v>
      </c>
      <c r="W56" s="133">
        <v>23000</v>
      </c>
      <c r="Z56" s="895"/>
      <c r="AA56" s="93" t="s">
        <v>100</v>
      </c>
      <c r="AB56" s="85"/>
      <c r="AC56" s="131">
        <v>8000</v>
      </c>
      <c r="AD56" s="133">
        <v>18000</v>
      </c>
      <c r="AF56" s="20" t="s">
        <v>100</v>
      </c>
      <c r="AG56" s="150">
        <v>17000</v>
      </c>
      <c r="AH56">
        <v>0</v>
      </c>
    </row>
    <row r="57" spans="4:35" ht="14.4" customHeight="1" x14ac:dyDescent="0.3">
      <c r="K57" t="s">
        <v>182</v>
      </c>
      <c r="S57" s="895"/>
      <c r="T57" s="112" t="s">
        <v>99</v>
      </c>
      <c r="U57" s="10"/>
      <c r="V57" s="141">
        <v>78000</v>
      </c>
      <c r="W57" s="142">
        <v>86000</v>
      </c>
      <c r="Z57" s="895"/>
      <c r="AA57" s="112" t="s">
        <v>99</v>
      </c>
      <c r="AB57" s="10"/>
      <c r="AC57" s="141">
        <v>72000</v>
      </c>
      <c r="AD57" s="142">
        <v>80000</v>
      </c>
      <c r="AF57" s="20" t="s">
        <v>99</v>
      </c>
      <c r="AG57" s="150">
        <v>6000</v>
      </c>
      <c r="AH57">
        <v>0</v>
      </c>
    </row>
    <row r="58" spans="4:35" ht="15" customHeight="1" thickBot="1" x14ac:dyDescent="0.35">
      <c r="K58" t="s">
        <v>189</v>
      </c>
      <c r="L58" t="s">
        <v>190</v>
      </c>
      <c r="S58" s="895"/>
      <c r="T58" s="96" t="s">
        <v>66</v>
      </c>
      <c r="U58" s="34">
        <f>SUM(U52:U57)</f>
        <v>0</v>
      </c>
      <c r="V58" s="55">
        <f>SUM(V52:V57)</f>
        <v>200000</v>
      </c>
      <c r="W58" s="106">
        <f>SUM(W52:W57)</f>
        <v>200000</v>
      </c>
      <c r="Z58" s="895"/>
      <c r="AA58" s="96" t="s">
        <v>66</v>
      </c>
      <c r="AB58" s="34">
        <f>SUM(AB52:AB57)</f>
        <v>0</v>
      </c>
      <c r="AC58" s="55">
        <f>SUM(AC52:AC57)</f>
        <v>200000</v>
      </c>
      <c r="AD58" s="106">
        <f>SUM(AD52:AD57)</f>
        <v>200000</v>
      </c>
      <c r="AF58" s="15"/>
      <c r="AG58" s="15"/>
    </row>
    <row r="59" spans="4:35" ht="15" hidden="1" customHeight="1" thickTop="1" x14ac:dyDescent="0.3">
      <c r="L59" t="s">
        <v>191</v>
      </c>
      <c r="S59" s="895" t="s">
        <v>143</v>
      </c>
      <c r="T59" s="94" t="s">
        <v>22</v>
      </c>
      <c r="U59" s="97" t="s">
        <v>17</v>
      </c>
      <c r="V59" s="97" t="s">
        <v>18</v>
      </c>
      <c r="W59" s="98" t="s">
        <v>19</v>
      </c>
      <c r="Z59" s="895" t="s">
        <v>143</v>
      </c>
      <c r="AA59" s="94" t="s">
        <v>22</v>
      </c>
      <c r="AB59" s="97" t="s">
        <v>17</v>
      </c>
      <c r="AC59" s="97" t="s">
        <v>18</v>
      </c>
      <c r="AD59" s="98" t="s">
        <v>19</v>
      </c>
      <c r="AF59" s="15"/>
      <c r="AG59" s="15"/>
    </row>
    <row r="60" spans="4:35" ht="14.4" hidden="1" customHeight="1" x14ac:dyDescent="0.3">
      <c r="M60" s="14" t="s">
        <v>192</v>
      </c>
      <c r="S60" s="895"/>
      <c r="T60" s="93" t="s">
        <v>4</v>
      </c>
      <c r="U60" s="95"/>
      <c r="V60" s="95"/>
      <c r="W60" s="88"/>
      <c r="Z60" s="895"/>
      <c r="AA60" s="93" t="s">
        <v>4</v>
      </c>
      <c r="AB60" s="95"/>
      <c r="AC60" s="95"/>
      <c r="AD60" s="88"/>
      <c r="AF60" s="15"/>
      <c r="AG60" s="15">
        <f>91-28</f>
        <v>63</v>
      </c>
    </row>
    <row r="61" spans="4:35" ht="14.4" hidden="1" customHeight="1" x14ac:dyDescent="0.3">
      <c r="E61" t="s">
        <v>126</v>
      </c>
      <c r="F61" t="s">
        <v>127</v>
      </c>
      <c r="L61" t="s">
        <v>194</v>
      </c>
      <c r="S61" s="895"/>
      <c r="T61" s="93" t="s">
        <v>101</v>
      </c>
      <c r="U61" s="8"/>
      <c r="V61" s="130">
        <v>188000</v>
      </c>
      <c r="W61" s="133">
        <v>188000</v>
      </c>
      <c r="Z61" s="895"/>
      <c r="AA61" s="93" t="s">
        <v>101</v>
      </c>
      <c r="AB61" s="8"/>
      <c r="AC61" s="130"/>
      <c r="AD61" s="133"/>
    </row>
    <row r="62" spans="4:35" ht="14.4" hidden="1" customHeight="1" x14ac:dyDescent="0.3">
      <c r="E62" t="s">
        <v>71</v>
      </c>
      <c r="F62" t="s">
        <v>128</v>
      </c>
      <c r="L62" t="s">
        <v>195</v>
      </c>
      <c r="M62" s="14" t="s">
        <v>193</v>
      </c>
      <c r="S62" s="895"/>
      <c r="T62" s="93" t="s">
        <v>86</v>
      </c>
      <c r="U62" s="85"/>
      <c r="V62" s="11"/>
      <c r="W62" s="143"/>
      <c r="Z62" s="895"/>
      <c r="AA62" s="93" t="s">
        <v>86</v>
      </c>
      <c r="AB62" s="85"/>
      <c r="AC62" s="130">
        <v>200000</v>
      </c>
      <c r="AD62" s="133">
        <v>200000</v>
      </c>
    </row>
    <row r="63" spans="4:35" ht="14.4" hidden="1" customHeight="1" x14ac:dyDescent="0.3">
      <c r="E63" t="s">
        <v>129</v>
      </c>
      <c r="S63" s="895"/>
      <c r="T63" s="93" t="s">
        <v>178</v>
      </c>
      <c r="U63" s="86"/>
      <c r="V63" s="144"/>
      <c r="W63" s="143"/>
      <c r="Z63" s="895"/>
      <c r="AA63" s="93" t="s">
        <v>178</v>
      </c>
      <c r="AB63" s="86"/>
      <c r="AC63" s="144"/>
      <c r="AD63" s="143"/>
    </row>
    <row r="64" spans="4:35" ht="14.4" hidden="1" customHeight="1" x14ac:dyDescent="0.3">
      <c r="S64" s="895"/>
      <c r="T64" s="93" t="s">
        <v>100</v>
      </c>
      <c r="U64" s="85"/>
      <c r="V64" s="130">
        <v>12000</v>
      </c>
      <c r="W64" s="133">
        <v>12000</v>
      </c>
      <c r="Z64" s="895"/>
      <c r="AA64" s="93" t="s">
        <v>100</v>
      </c>
      <c r="AB64" s="85"/>
      <c r="AC64" s="130"/>
      <c r="AD64" s="133"/>
    </row>
    <row r="65" spans="2:30" ht="14.4" hidden="1" customHeight="1" x14ac:dyDescent="0.3">
      <c r="D65" s="20" t="s">
        <v>526</v>
      </c>
      <c r="E65" s="20" t="s">
        <v>17</v>
      </c>
      <c r="F65" s="20" t="s">
        <v>18</v>
      </c>
      <c r="G65" s="20" t="s">
        <v>19</v>
      </c>
      <c r="L65" t="s">
        <v>196</v>
      </c>
      <c r="S65" s="895"/>
      <c r="T65" s="93" t="s">
        <v>99</v>
      </c>
      <c r="U65" s="8"/>
      <c r="V65" s="99"/>
      <c r="W65" s="100"/>
      <c r="Z65" s="895"/>
      <c r="AA65" s="93" t="s">
        <v>99</v>
      </c>
      <c r="AB65" s="8"/>
      <c r="AC65" s="99"/>
      <c r="AD65" s="100"/>
    </row>
    <row r="66" spans="2:30" ht="15" hidden="1" customHeight="1" thickBot="1" x14ac:dyDescent="0.35">
      <c r="C66" s="337" t="s">
        <v>542</v>
      </c>
      <c r="D66" t="s">
        <v>525</v>
      </c>
      <c r="E66">
        <v>77000</v>
      </c>
      <c r="F66">
        <v>84000</v>
      </c>
      <c r="G66">
        <v>84000</v>
      </c>
      <c r="L66" t="s">
        <v>197</v>
      </c>
      <c r="S66" s="895"/>
      <c r="T66" s="96" t="s">
        <v>66</v>
      </c>
      <c r="U66" s="34">
        <f>SUM(U60:U65)</f>
        <v>0</v>
      </c>
      <c r="V66" s="55">
        <f>SUM(V60:V65)</f>
        <v>200000</v>
      </c>
      <c r="W66" s="106">
        <f>SUM(W60:W65)</f>
        <v>200000</v>
      </c>
      <c r="Z66" s="895"/>
      <c r="AA66" s="96" t="s">
        <v>66</v>
      </c>
      <c r="AB66" s="34">
        <f>SUM(AB60:AB65)</f>
        <v>0</v>
      </c>
      <c r="AC66" s="55">
        <f>SUM(AC60:AC65)</f>
        <v>200000</v>
      </c>
      <c r="AD66" s="106">
        <f>SUM(AD60:AD65)</f>
        <v>200000</v>
      </c>
    </row>
    <row r="67" spans="2:30" ht="15" hidden="1" thickTop="1" x14ac:dyDescent="0.3">
      <c r="D67" t="s">
        <v>5</v>
      </c>
      <c r="E67">
        <v>85000</v>
      </c>
      <c r="F67">
        <v>70000</v>
      </c>
      <c r="G67">
        <v>89000</v>
      </c>
      <c r="M67" s="14" t="s">
        <v>198</v>
      </c>
    </row>
    <row r="68" spans="2:30" hidden="1" x14ac:dyDescent="0.3">
      <c r="B68">
        <v>507000</v>
      </c>
      <c r="D68" t="s">
        <v>86</v>
      </c>
      <c r="E68">
        <v>190000</v>
      </c>
      <c r="F68">
        <v>180000</v>
      </c>
      <c r="G68">
        <v>160000</v>
      </c>
      <c r="L68" t="s">
        <v>199</v>
      </c>
    </row>
    <row r="69" spans="2:30" hidden="1" x14ac:dyDescent="0.3">
      <c r="B69">
        <f>B68/E66</f>
        <v>6.5844155844155843</v>
      </c>
      <c r="D69" t="s">
        <v>87</v>
      </c>
      <c r="E69">
        <v>160000</v>
      </c>
      <c r="F69">
        <v>191000</v>
      </c>
      <c r="G69">
        <v>170000</v>
      </c>
    </row>
    <row r="70" spans="2:30" hidden="1" x14ac:dyDescent="0.3">
      <c r="D70" t="s">
        <v>88</v>
      </c>
      <c r="E70">
        <v>150000</v>
      </c>
      <c r="F70">
        <v>150000</v>
      </c>
      <c r="G70">
        <v>180000</v>
      </c>
      <c r="K70" t="s">
        <v>200</v>
      </c>
    </row>
    <row r="71" spans="2:30" hidden="1" x14ac:dyDescent="0.3">
      <c r="D71" t="s">
        <v>72</v>
      </c>
      <c r="E71">
        <v>2000000</v>
      </c>
      <c r="F71">
        <v>2000000</v>
      </c>
      <c r="G71">
        <v>2000000</v>
      </c>
      <c r="L71" t="s">
        <v>201</v>
      </c>
    </row>
    <row r="72" spans="2:30" ht="15" hidden="1" thickBot="1" x14ac:dyDescent="0.35">
      <c r="D72" s="25" t="s">
        <v>66</v>
      </c>
      <c r="E72" s="238">
        <v>2662000</v>
      </c>
      <c r="F72" s="238">
        <v>2675000</v>
      </c>
      <c r="G72" s="238">
        <v>2683000</v>
      </c>
      <c r="L72" t="s">
        <v>246</v>
      </c>
    </row>
    <row r="73" spans="2:30" ht="15" hidden="1" thickTop="1" x14ac:dyDescent="0.3">
      <c r="D73" s="20" t="s">
        <v>526</v>
      </c>
      <c r="E73" s="20" t="s">
        <v>17</v>
      </c>
      <c r="F73" s="20" t="s">
        <v>18</v>
      </c>
      <c r="G73" s="20" t="s">
        <v>19</v>
      </c>
      <c r="L73" t="s">
        <v>202</v>
      </c>
    </row>
    <row r="74" spans="2:30" hidden="1" x14ac:dyDescent="0.3">
      <c r="D74" t="s">
        <v>525</v>
      </c>
      <c r="E74">
        <f>E66*$B$69</f>
        <v>507000</v>
      </c>
      <c r="F74">
        <f t="shared" ref="F74:G74" si="24">F66*$B$69</f>
        <v>553090.90909090906</v>
      </c>
      <c r="G74">
        <f t="shared" si="24"/>
        <v>553090.90909090906</v>
      </c>
      <c r="S74" s="37"/>
      <c r="U74" s="37"/>
    </row>
    <row r="75" spans="2:30" hidden="1" x14ac:dyDescent="0.3">
      <c r="D75" t="s">
        <v>5</v>
      </c>
      <c r="E75">
        <f t="shared" ref="E75:G75" si="25">E67*$B$69</f>
        <v>559675.32467532461</v>
      </c>
      <c r="F75">
        <f t="shared" si="25"/>
        <v>460909.09090909088</v>
      </c>
      <c r="G75">
        <f t="shared" si="25"/>
        <v>586012.98701298703</v>
      </c>
      <c r="K75" t="s">
        <v>203</v>
      </c>
    </row>
    <row r="76" spans="2:30" hidden="1" x14ac:dyDescent="0.3">
      <c r="D76" t="s">
        <v>86</v>
      </c>
      <c r="E76">
        <f t="shared" ref="E76:G76" si="26">E68*$B$69</f>
        <v>1251038.9610389611</v>
      </c>
      <c r="F76">
        <f t="shared" si="26"/>
        <v>1185194.8051948051</v>
      </c>
      <c r="G76">
        <f t="shared" si="26"/>
        <v>1053506.4935064935</v>
      </c>
      <c r="L76" t="s">
        <v>204</v>
      </c>
    </row>
    <row r="77" spans="2:30" hidden="1" x14ac:dyDescent="0.3">
      <c r="D77" t="s">
        <v>87</v>
      </c>
      <c r="E77">
        <f t="shared" ref="E77:G77" si="27">E69*$B$69</f>
        <v>1053506.4935064935</v>
      </c>
      <c r="F77">
        <f t="shared" si="27"/>
        <v>1257623.3766233765</v>
      </c>
      <c r="G77">
        <f t="shared" si="27"/>
        <v>1119350.6493506492</v>
      </c>
      <c r="L77" t="s">
        <v>205</v>
      </c>
    </row>
    <row r="78" spans="2:30" hidden="1" x14ac:dyDescent="0.3">
      <c r="D78" t="s">
        <v>88</v>
      </c>
      <c r="E78">
        <f t="shared" ref="E78:G78" si="28">E70*$B$69</f>
        <v>987662.3376623377</v>
      </c>
      <c r="F78">
        <f t="shared" si="28"/>
        <v>987662.3376623377</v>
      </c>
      <c r="G78">
        <f t="shared" si="28"/>
        <v>1185194.8051948051</v>
      </c>
      <c r="L78" t="s">
        <v>206</v>
      </c>
    </row>
    <row r="79" spans="2:30" hidden="1" x14ac:dyDescent="0.3">
      <c r="D79" t="s">
        <v>72</v>
      </c>
      <c r="E79">
        <f t="shared" ref="E79:G79" si="29">E71*$B$69</f>
        <v>13168831.168831168</v>
      </c>
      <c r="F79">
        <f t="shared" si="29"/>
        <v>13168831.168831168</v>
      </c>
      <c r="G79">
        <f t="shared" si="29"/>
        <v>13168831.168831168</v>
      </c>
      <c r="M79" s="14" t="s">
        <v>247</v>
      </c>
    </row>
    <row r="80" spans="2:30" ht="15" hidden="1" thickBot="1" x14ac:dyDescent="0.35">
      <c r="D80" s="25" t="s">
        <v>66</v>
      </c>
    </row>
    <row r="81" spans="3:21" ht="15" hidden="1" thickTop="1" x14ac:dyDescent="0.3">
      <c r="K81" t="s">
        <v>207</v>
      </c>
    </row>
    <row r="82" spans="3:21" hidden="1" x14ac:dyDescent="0.3">
      <c r="D82" s="20" t="s">
        <v>526</v>
      </c>
      <c r="E82" s="20" t="s">
        <v>17</v>
      </c>
      <c r="F82" s="20" t="s">
        <v>18</v>
      </c>
      <c r="G82" s="20" t="s">
        <v>19</v>
      </c>
      <c r="L82" t="s">
        <v>211</v>
      </c>
    </row>
    <row r="83" spans="3:21" hidden="1" x14ac:dyDescent="0.3">
      <c r="C83" s="337" t="s">
        <v>341</v>
      </c>
      <c r="D83" t="s">
        <v>525</v>
      </c>
      <c r="E83" s="62">
        <f>MROUND(E74,975)</f>
        <v>507000</v>
      </c>
      <c r="F83" s="62">
        <f t="shared" ref="F83:G83" si="30">MROUND(F74,975)</f>
        <v>552825</v>
      </c>
      <c r="G83" s="62">
        <f t="shared" si="30"/>
        <v>552825</v>
      </c>
      <c r="L83" t="s">
        <v>208</v>
      </c>
    </row>
    <row r="84" spans="3:21" hidden="1" x14ac:dyDescent="0.3">
      <c r="D84" t="s">
        <v>533</v>
      </c>
      <c r="E84" s="62">
        <f t="shared" ref="E84:G84" si="31">MROUND(E75,975)</f>
        <v>559650</v>
      </c>
      <c r="F84" s="62">
        <f t="shared" si="31"/>
        <v>461175</v>
      </c>
      <c r="G84" s="62">
        <f t="shared" si="31"/>
        <v>585975</v>
      </c>
      <c r="L84" t="s">
        <v>209</v>
      </c>
    </row>
    <row r="85" spans="3:21" hidden="1" x14ac:dyDescent="0.3">
      <c r="D85" t="s">
        <v>534</v>
      </c>
      <c r="E85" s="62">
        <f t="shared" ref="E85:G85" si="32">MROUND(E76,975)</f>
        <v>1250925</v>
      </c>
      <c r="F85" s="62">
        <f t="shared" si="32"/>
        <v>1185600</v>
      </c>
      <c r="G85" s="62">
        <f t="shared" si="32"/>
        <v>1053975</v>
      </c>
    </row>
    <row r="86" spans="3:21" hidden="1" x14ac:dyDescent="0.3">
      <c r="D86" t="s">
        <v>535</v>
      </c>
      <c r="E86" s="62">
        <f t="shared" ref="E86:G86" si="33">MROUND(E77,975)</f>
        <v>1053975</v>
      </c>
      <c r="F86" s="62">
        <f t="shared" si="33"/>
        <v>1257750</v>
      </c>
      <c r="G86" s="62">
        <f t="shared" si="33"/>
        <v>1119300</v>
      </c>
      <c r="L86" t="s">
        <v>212</v>
      </c>
    </row>
    <row r="87" spans="3:21" hidden="1" x14ac:dyDescent="0.3">
      <c r="D87" t="s">
        <v>536</v>
      </c>
      <c r="E87" s="62">
        <f t="shared" ref="E87:G87" si="34">MROUND(E78,975)</f>
        <v>987675</v>
      </c>
      <c r="F87" s="62">
        <f t="shared" si="34"/>
        <v>987675</v>
      </c>
      <c r="G87" s="62">
        <f t="shared" si="34"/>
        <v>1185600</v>
      </c>
      <c r="L87" t="s">
        <v>210</v>
      </c>
    </row>
    <row r="88" spans="3:21" hidden="1" x14ac:dyDescent="0.3">
      <c r="D88" t="s">
        <v>72</v>
      </c>
      <c r="E88" s="62">
        <f t="shared" ref="E88:G88" si="35">MROUND(E79,975)</f>
        <v>13168350</v>
      </c>
      <c r="F88" s="62">
        <f t="shared" si="35"/>
        <v>13168350</v>
      </c>
      <c r="G88" s="62">
        <f t="shared" si="35"/>
        <v>13168350</v>
      </c>
    </row>
    <row r="89" spans="3:21" ht="43.8" hidden="1" thickBot="1" x14ac:dyDescent="0.35">
      <c r="D89" s="238" t="s">
        <v>66</v>
      </c>
      <c r="E89" s="239">
        <f>SUM(E83:E88)</f>
        <v>17527575</v>
      </c>
      <c r="F89" s="239">
        <f t="shared" ref="F89:G89" si="36">SUM(F83:F88)</f>
        <v>17613375</v>
      </c>
      <c r="G89" s="239">
        <f t="shared" si="36"/>
        <v>17666025</v>
      </c>
      <c r="S89" s="37" t="s">
        <v>130</v>
      </c>
      <c r="T89" s="37" t="s">
        <v>131</v>
      </c>
      <c r="U89" s="37" t="s">
        <v>133</v>
      </c>
    </row>
    <row r="90" spans="3:21" ht="29.4" hidden="1" thickTop="1" x14ac:dyDescent="0.3">
      <c r="S90" s="37" t="s">
        <v>137</v>
      </c>
      <c r="T90" s="37" t="s">
        <v>132</v>
      </c>
      <c r="U90" s="37" t="s">
        <v>134</v>
      </c>
    </row>
    <row r="91" spans="3:21" ht="28.8" hidden="1" x14ac:dyDescent="0.3">
      <c r="E91" t="s">
        <v>25</v>
      </c>
      <c r="F91" t="s">
        <v>152</v>
      </c>
      <c r="G91" t="s">
        <v>154</v>
      </c>
      <c r="S91" s="125" t="s">
        <v>136</v>
      </c>
      <c r="U91" t="s">
        <v>135</v>
      </c>
    </row>
    <row r="92" spans="3:21" hidden="1" x14ac:dyDescent="0.3">
      <c r="C92" s="337" t="s">
        <v>435</v>
      </c>
      <c r="D92" s="20" t="s">
        <v>526</v>
      </c>
      <c r="E92" s="20" t="s">
        <v>17</v>
      </c>
      <c r="F92" s="20" t="s">
        <v>18</v>
      </c>
      <c r="G92" s="20" t="s">
        <v>19</v>
      </c>
      <c r="S92" s="121" t="s">
        <v>138</v>
      </c>
      <c r="T92" s="37"/>
      <c r="U92" s="37"/>
    </row>
    <row r="93" spans="3:21" hidden="1" x14ac:dyDescent="0.3">
      <c r="D93" t="s">
        <v>525</v>
      </c>
      <c r="E93" s="119">
        <f>E83/975</f>
        <v>520</v>
      </c>
      <c r="F93" s="119">
        <f t="shared" ref="F93:G93" si="37">F83/975</f>
        <v>567</v>
      </c>
      <c r="G93" s="119">
        <f t="shared" si="37"/>
        <v>567</v>
      </c>
      <c r="S93" s="121" t="s">
        <v>188</v>
      </c>
      <c r="T93" s="37"/>
      <c r="U93" s="37"/>
    </row>
    <row r="94" spans="3:21" hidden="1" x14ac:dyDescent="0.3">
      <c r="D94" t="s">
        <v>533</v>
      </c>
      <c r="E94" s="119">
        <f t="shared" ref="E94:G94" si="38">E84/975</f>
        <v>574</v>
      </c>
      <c r="F94" s="119">
        <f t="shared" si="38"/>
        <v>473</v>
      </c>
      <c r="G94" s="119">
        <f t="shared" si="38"/>
        <v>601</v>
      </c>
    </row>
    <row r="95" spans="3:21" hidden="1" x14ac:dyDescent="0.3">
      <c r="D95" t="s">
        <v>534</v>
      </c>
      <c r="E95" s="119">
        <f t="shared" ref="E95:G95" si="39">E85/975</f>
        <v>1283</v>
      </c>
      <c r="F95" s="119">
        <f t="shared" si="39"/>
        <v>1216</v>
      </c>
      <c r="G95" s="119">
        <f t="shared" si="39"/>
        <v>1081</v>
      </c>
    </row>
    <row r="96" spans="3:21" hidden="1" x14ac:dyDescent="0.3">
      <c r="D96" t="s">
        <v>535</v>
      </c>
      <c r="E96" s="119">
        <f t="shared" ref="E96:G96" si="40">E86/975</f>
        <v>1081</v>
      </c>
      <c r="F96" s="119">
        <f t="shared" si="40"/>
        <v>1290</v>
      </c>
      <c r="G96" s="119">
        <f t="shared" si="40"/>
        <v>1148</v>
      </c>
    </row>
    <row r="97" spans="2:7" hidden="1" x14ac:dyDescent="0.3">
      <c r="D97" t="s">
        <v>536</v>
      </c>
      <c r="E97" s="119">
        <f t="shared" ref="E97:G97" si="41">E87/975</f>
        <v>1013</v>
      </c>
      <c r="F97" s="119">
        <f t="shared" si="41"/>
        <v>1013</v>
      </c>
      <c r="G97" s="119">
        <f t="shared" si="41"/>
        <v>1216</v>
      </c>
    </row>
    <row r="98" spans="2:7" hidden="1" x14ac:dyDescent="0.3">
      <c r="D98" t="s">
        <v>72</v>
      </c>
      <c r="E98" s="119">
        <f t="shared" ref="E98:G98" si="42">E88/975</f>
        <v>13506</v>
      </c>
      <c r="F98" s="119">
        <f t="shared" si="42"/>
        <v>13506</v>
      </c>
      <c r="G98" s="119">
        <f t="shared" si="42"/>
        <v>13506</v>
      </c>
    </row>
    <row r="99" spans="2:7" ht="15" hidden="1" thickBot="1" x14ac:dyDescent="0.35">
      <c r="D99" s="238" t="s">
        <v>66</v>
      </c>
      <c r="E99" s="239">
        <f>SUM(E93:E98)</f>
        <v>17977</v>
      </c>
      <c r="F99" s="239">
        <f t="shared" ref="F99:G99" si="43">SUM(F93:F98)</f>
        <v>18065</v>
      </c>
      <c r="G99" s="239">
        <f t="shared" si="43"/>
        <v>18119</v>
      </c>
    </row>
    <row r="100" spans="2:7" ht="15" hidden="1" thickTop="1" x14ac:dyDescent="0.3"/>
    <row r="101" spans="2:7" hidden="1" x14ac:dyDescent="0.3"/>
    <row r="102" spans="2:7" hidden="1" x14ac:dyDescent="0.3">
      <c r="E102" t="s">
        <v>25</v>
      </c>
      <c r="F102" t="s">
        <v>152</v>
      </c>
      <c r="G102" t="s">
        <v>154</v>
      </c>
    </row>
    <row r="103" spans="2:7" hidden="1" x14ac:dyDescent="0.3">
      <c r="C103" s="337" t="s">
        <v>565</v>
      </c>
      <c r="D103" s="20" t="s">
        <v>526</v>
      </c>
      <c r="E103" s="20" t="s">
        <v>17</v>
      </c>
      <c r="F103" s="20" t="s">
        <v>18</v>
      </c>
      <c r="G103" s="20" t="s">
        <v>19</v>
      </c>
    </row>
    <row r="104" spans="2:7" hidden="1" x14ac:dyDescent="0.3">
      <c r="B104">
        <v>4875</v>
      </c>
      <c r="D104" t="s">
        <v>525</v>
      </c>
      <c r="E104" s="119">
        <f>E93*$B$104</f>
        <v>2535000</v>
      </c>
      <c r="F104" s="119">
        <f t="shared" ref="F104:G104" si="44">F93*$B$104</f>
        <v>2764125</v>
      </c>
      <c r="G104" s="119">
        <f t="shared" si="44"/>
        <v>2764125</v>
      </c>
    </row>
    <row r="105" spans="2:7" hidden="1" x14ac:dyDescent="0.3">
      <c r="D105" t="s">
        <v>533</v>
      </c>
      <c r="E105" s="119">
        <f t="shared" ref="E105:F105" si="45">E94*$B$104</f>
        <v>2798250</v>
      </c>
      <c r="F105" s="119">
        <f t="shared" si="45"/>
        <v>2305875</v>
      </c>
      <c r="G105" s="119">
        <f t="shared" ref="G105" si="46">G94*$B$104</f>
        <v>2929875</v>
      </c>
    </row>
    <row r="106" spans="2:7" hidden="1" x14ac:dyDescent="0.3">
      <c r="D106" t="s">
        <v>534</v>
      </c>
      <c r="E106" s="119">
        <f t="shared" ref="E106:F106" si="47">E95*$B$104</f>
        <v>6254625</v>
      </c>
      <c r="F106" s="119">
        <f t="shared" si="47"/>
        <v>5928000</v>
      </c>
      <c r="G106" s="119">
        <f t="shared" ref="G106" si="48">G95*$B$104</f>
        <v>5269875</v>
      </c>
    </row>
    <row r="107" spans="2:7" hidden="1" x14ac:dyDescent="0.3">
      <c r="D107" t="s">
        <v>535</v>
      </c>
      <c r="E107" s="119">
        <f t="shared" ref="E107:F107" si="49">E96*$B$104</f>
        <v>5269875</v>
      </c>
      <c r="F107" s="119">
        <f t="shared" si="49"/>
        <v>6288750</v>
      </c>
      <c r="G107" s="119">
        <f t="shared" ref="G107" si="50">G96*$B$104</f>
        <v>5596500</v>
      </c>
    </row>
    <row r="108" spans="2:7" hidden="1" x14ac:dyDescent="0.3">
      <c r="D108" t="s">
        <v>536</v>
      </c>
      <c r="E108" s="119">
        <f t="shared" ref="E108:F108" si="51">E97*$B$104</f>
        <v>4938375</v>
      </c>
      <c r="F108" s="119">
        <f t="shared" si="51"/>
        <v>4938375</v>
      </c>
      <c r="G108" s="119">
        <f t="shared" ref="G108" si="52">G97*$B$104</f>
        <v>5928000</v>
      </c>
    </row>
    <row r="109" spans="2:7" hidden="1" x14ac:dyDescent="0.3">
      <c r="D109" t="s">
        <v>72</v>
      </c>
      <c r="E109" s="119">
        <f t="shared" ref="E109:F109" si="53">E98*$B$104</f>
        <v>65841750</v>
      </c>
      <c r="F109" s="119">
        <f t="shared" si="53"/>
        <v>65841750</v>
      </c>
      <c r="G109" s="119">
        <f t="shared" ref="G109" si="54">G98*$B$104</f>
        <v>65841750</v>
      </c>
    </row>
    <row r="110" spans="2:7" ht="15" hidden="1" thickBot="1" x14ac:dyDescent="0.35">
      <c r="D110" s="238" t="s">
        <v>66</v>
      </c>
      <c r="E110" s="239">
        <f>SUM(E104:E109)</f>
        <v>87637875</v>
      </c>
      <c r="F110" s="239">
        <f t="shared" ref="F110:G110" si="55">SUM(F104:F109)</f>
        <v>88066875</v>
      </c>
      <c r="G110" s="239">
        <f t="shared" si="55"/>
        <v>88330125</v>
      </c>
    </row>
    <row r="111" spans="2:7" ht="15" hidden="1" thickTop="1" x14ac:dyDescent="0.3"/>
    <row r="112" spans="2:7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t="15" thickTop="1" x14ac:dyDescent="0.3"/>
  </sheetData>
  <mergeCells count="14">
    <mergeCell ref="Z35:Z42"/>
    <mergeCell ref="Z43:Z50"/>
    <mergeCell ref="Z51:Z58"/>
    <mergeCell ref="Z59:Z66"/>
    <mergeCell ref="S35:S42"/>
    <mergeCell ref="S43:S50"/>
    <mergeCell ref="S51:S58"/>
    <mergeCell ref="S59:S66"/>
    <mergeCell ref="Y1:Z1"/>
    <mergeCell ref="D12:G12"/>
    <mergeCell ref="Y5:AJ5"/>
    <mergeCell ref="S28:S34"/>
    <mergeCell ref="Z28:Z34"/>
    <mergeCell ref="Y12:Z12"/>
  </mergeCells>
  <phoneticPr fontId="6" type="noConversion"/>
  <pageMargins left="0.7" right="0.7" top="0.75" bottom="0.75" header="0.3" footer="0.3"/>
  <pageSetup orientation="portrait" r:id="rId1"/>
  <ignoredErrors>
    <ignoredError sqref="F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8F7B-77DC-46BF-B9A7-DCC88E7FA001}">
  <sheetPr>
    <tabColor theme="5" tint="0.39997558519241921"/>
  </sheetPr>
  <dimension ref="A1:N24"/>
  <sheetViews>
    <sheetView workbookViewId="0">
      <selection activeCell="J36" sqref="J36"/>
    </sheetView>
  </sheetViews>
  <sheetFormatPr defaultRowHeight="14.4" x14ac:dyDescent="0.3"/>
  <cols>
    <col min="2" max="2" width="20.21875" customWidth="1"/>
    <col min="3" max="3" width="15.21875" bestFit="1" customWidth="1"/>
    <col min="4" max="4" width="12.44140625" customWidth="1"/>
    <col min="5" max="11" width="11.44140625" bestFit="1" customWidth="1"/>
    <col min="12" max="12" width="11.44140625" customWidth="1"/>
    <col min="13" max="15" width="12.21875" bestFit="1" customWidth="1"/>
    <col min="17" max="21" width="11.21875" bestFit="1" customWidth="1"/>
  </cols>
  <sheetData>
    <row r="1" spans="1:14" ht="18" x14ac:dyDescent="0.35">
      <c r="A1" s="186" t="s">
        <v>541</v>
      </c>
    </row>
    <row r="2" spans="1:14" x14ac:dyDescent="0.3">
      <c r="E2" s="897" t="s">
        <v>594</v>
      </c>
      <c r="F2" s="897"/>
    </row>
    <row r="3" spans="1:14" ht="15" thickBot="1" x14ac:dyDescent="0.35">
      <c r="E3" s="330" t="s">
        <v>25</v>
      </c>
      <c r="F3" s="415" t="s">
        <v>152</v>
      </c>
      <c r="G3" s="417" t="s">
        <v>25</v>
      </c>
      <c r="H3" s="896" t="s">
        <v>152</v>
      </c>
      <c r="I3" s="896"/>
      <c r="J3" s="896"/>
      <c r="K3" s="896"/>
    </row>
    <row r="4" spans="1:14" ht="28.8" x14ac:dyDescent="0.3">
      <c r="B4" s="334" t="s">
        <v>545</v>
      </c>
      <c r="C4" s="323" t="s">
        <v>331</v>
      </c>
      <c r="D4" s="323" t="s">
        <v>332</v>
      </c>
      <c r="E4" s="414" t="s">
        <v>17</v>
      </c>
      <c r="F4" s="416" t="s">
        <v>18</v>
      </c>
      <c r="G4" s="418" t="s">
        <v>324</v>
      </c>
      <c r="H4" s="419" t="s">
        <v>321</v>
      </c>
      <c r="I4" s="419" t="s">
        <v>322</v>
      </c>
      <c r="J4" s="419" t="s">
        <v>323</v>
      </c>
      <c r="K4" s="420" t="s">
        <v>324</v>
      </c>
      <c r="L4" s="335"/>
      <c r="M4" s="431" t="s">
        <v>568</v>
      </c>
    </row>
    <row r="5" spans="1:14" x14ac:dyDescent="0.3">
      <c r="C5" s="233" t="s">
        <v>88</v>
      </c>
      <c r="D5" t="s">
        <v>4</v>
      </c>
      <c r="E5" s="62">
        <v>520</v>
      </c>
      <c r="F5" s="62">
        <v>567</v>
      </c>
      <c r="G5" s="421">
        <v>0</v>
      </c>
      <c r="H5" s="243">
        <v>270</v>
      </c>
      <c r="I5" s="243">
        <v>0</v>
      </c>
      <c r="J5" s="242">
        <v>297</v>
      </c>
      <c r="K5" s="253">
        <f>F5-H5-I5-J5</f>
        <v>0</v>
      </c>
      <c r="L5" s="56"/>
      <c r="M5" s="119">
        <f>E5*4875</f>
        <v>2535000</v>
      </c>
      <c r="N5" s="119">
        <f>F5*4875</f>
        <v>2764125</v>
      </c>
    </row>
    <row r="6" spans="1:14" x14ac:dyDescent="0.3">
      <c r="C6" s="233" t="s">
        <v>88</v>
      </c>
      <c r="D6" t="s">
        <v>5</v>
      </c>
      <c r="E6" s="62">
        <v>574</v>
      </c>
      <c r="F6" s="62">
        <v>473</v>
      </c>
      <c r="G6" s="251">
        <v>150</v>
      </c>
      <c r="H6" s="242"/>
      <c r="I6" s="242">
        <v>285</v>
      </c>
      <c r="J6" s="242">
        <v>0</v>
      </c>
      <c r="K6" s="253">
        <f t="shared" ref="K6:K10" si="0">F6-H6-I6-J6</f>
        <v>188</v>
      </c>
    </row>
    <row r="7" spans="1:14" x14ac:dyDescent="0.3">
      <c r="C7" s="233" t="s">
        <v>88</v>
      </c>
      <c r="D7" s="6" t="s">
        <v>86</v>
      </c>
      <c r="E7" s="227">
        <v>1283</v>
      </c>
      <c r="F7" s="227">
        <v>1216</v>
      </c>
      <c r="G7" s="422">
        <v>350</v>
      </c>
      <c r="H7" s="354">
        <v>600</v>
      </c>
      <c r="I7" s="354">
        <v>0</v>
      </c>
      <c r="J7" s="354">
        <v>616</v>
      </c>
      <c r="K7" s="253">
        <f t="shared" si="0"/>
        <v>0</v>
      </c>
      <c r="L7" s="335"/>
    </row>
    <row r="8" spans="1:14" x14ac:dyDescent="0.3">
      <c r="C8" s="233" t="s">
        <v>88</v>
      </c>
      <c r="D8" s="6" t="s">
        <v>87</v>
      </c>
      <c r="E8" s="227">
        <v>1081</v>
      </c>
      <c r="F8" s="227">
        <v>1290</v>
      </c>
      <c r="G8" s="422">
        <v>270</v>
      </c>
      <c r="H8" s="354">
        <v>0</v>
      </c>
      <c r="I8" s="354">
        <v>510</v>
      </c>
      <c r="J8" s="354">
        <v>0</v>
      </c>
      <c r="K8" s="253">
        <f t="shared" si="0"/>
        <v>780</v>
      </c>
      <c r="L8" s="335"/>
    </row>
    <row r="9" spans="1:14" x14ac:dyDescent="0.3">
      <c r="C9" s="233" t="s">
        <v>88</v>
      </c>
      <c r="D9" s="6" t="s">
        <v>88</v>
      </c>
      <c r="E9" s="227">
        <v>1013</v>
      </c>
      <c r="F9" s="227">
        <v>1013</v>
      </c>
      <c r="G9" s="422">
        <v>260</v>
      </c>
      <c r="H9" s="354">
        <v>510</v>
      </c>
      <c r="I9" s="354">
        <v>0</v>
      </c>
      <c r="J9" s="354">
        <v>503</v>
      </c>
      <c r="K9" s="253">
        <f t="shared" si="0"/>
        <v>0</v>
      </c>
      <c r="L9" s="56"/>
    </row>
    <row r="10" spans="1:14" x14ac:dyDescent="0.3">
      <c r="C10" s="234" t="s">
        <v>326</v>
      </c>
      <c r="D10" s="6" t="s">
        <v>72</v>
      </c>
      <c r="E10" s="227">
        <v>13506</v>
      </c>
      <c r="F10" s="227">
        <v>13506</v>
      </c>
      <c r="G10" s="422">
        <v>3500</v>
      </c>
      <c r="H10" s="354">
        <v>3500</v>
      </c>
      <c r="I10" s="354">
        <v>3300</v>
      </c>
      <c r="J10" s="354">
        <v>3300</v>
      </c>
      <c r="K10" s="253">
        <f t="shared" si="0"/>
        <v>3406</v>
      </c>
      <c r="L10" s="56"/>
    </row>
    <row r="11" spans="1:14" ht="15" thickBot="1" x14ac:dyDescent="0.35">
      <c r="D11" s="238" t="s">
        <v>66</v>
      </c>
      <c r="E11" s="239">
        <f>SUM(E5:E10)</f>
        <v>17977</v>
      </c>
      <c r="F11" s="239">
        <f>SUM(F5:F10)</f>
        <v>18065</v>
      </c>
      <c r="G11" s="423">
        <f t="shared" ref="G11" si="1">SUM(G5:G10)</f>
        <v>4530</v>
      </c>
      <c r="H11" s="424">
        <f t="shared" ref="H11:K11" si="2">SUM(H5:H10)</f>
        <v>4880</v>
      </c>
      <c r="I11" s="424">
        <f t="shared" si="2"/>
        <v>4095</v>
      </c>
      <c r="J11" s="424">
        <f t="shared" si="2"/>
        <v>4716</v>
      </c>
      <c r="K11" s="425">
        <f t="shared" si="2"/>
        <v>4374</v>
      </c>
      <c r="L11" s="336"/>
    </row>
    <row r="12" spans="1:14" ht="15" thickTop="1" x14ac:dyDescent="0.3"/>
    <row r="15" spans="1:14" ht="15" thickBot="1" x14ac:dyDescent="0.35">
      <c r="B15" s="232" t="s">
        <v>564</v>
      </c>
      <c r="E15" s="330" t="s">
        <v>25</v>
      </c>
      <c r="F15" s="415" t="s">
        <v>152</v>
      </c>
      <c r="G15" s="417" t="s">
        <v>25</v>
      </c>
      <c r="H15" s="896" t="s">
        <v>152</v>
      </c>
      <c r="I15" s="896"/>
      <c r="J15" s="896"/>
      <c r="K15" s="896"/>
      <c r="L15" s="335"/>
    </row>
    <row r="16" spans="1:14" ht="28.8" x14ac:dyDescent="0.3">
      <c r="B16" s="334" t="s">
        <v>551</v>
      </c>
      <c r="C16" s="323" t="s">
        <v>331</v>
      </c>
      <c r="D16" s="323" t="s">
        <v>332</v>
      </c>
      <c r="E16" s="414" t="s">
        <v>17</v>
      </c>
      <c r="F16" s="416" t="s">
        <v>18</v>
      </c>
      <c r="G16" s="418" t="s">
        <v>324</v>
      </c>
      <c r="H16" s="419" t="s">
        <v>321</v>
      </c>
      <c r="I16" s="419" t="s">
        <v>322</v>
      </c>
      <c r="J16" s="419" t="s">
        <v>323</v>
      </c>
      <c r="K16" s="420" t="s">
        <v>324</v>
      </c>
      <c r="L16" s="335"/>
    </row>
    <row r="17" spans="3:12" x14ac:dyDescent="0.3">
      <c r="C17" t="s">
        <v>7</v>
      </c>
      <c r="D17" t="s">
        <v>4</v>
      </c>
      <c r="E17" s="62">
        <v>600</v>
      </c>
      <c r="F17" s="62">
        <v>600</v>
      </c>
      <c r="G17" s="426">
        <v>30000</v>
      </c>
      <c r="H17" s="242">
        <v>30000</v>
      </c>
      <c r="I17" s="242">
        <v>30000</v>
      </c>
      <c r="J17" s="242">
        <v>20000</v>
      </c>
      <c r="K17" s="253">
        <f>F17-H17-I17-J17</f>
        <v>-79400</v>
      </c>
      <c r="L17" s="56"/>
    </row>
    <row r="18" spans="3:12" x14ac:dyDescent="0.3">
      <c r="C18" t="s">
        <v>7</v>
      </c>
      <c r="D18" t="s">
        <v>31</v>
      </c>
      <c r="E18" s="62">
        <v>700</v>
      </c>
      <c r="F18" s="62">
        <v>700</v>
      </c>
      <c r="G18" s="251">
        <v>20000</v>
      </c>
      <c r="H18" s="242">
        <v>20000</v>
      </c>
      <c r="I18" s="242">
        <v>15000</v>
      </c>
      <c r="J18" s="242">
        <v>20000</v>
      </c>
      <c r="K18" s="253">
        <f t="shared" ref="K18:K22" si="3">F18-H18-I18-J18</f>
        <v>-54300</v>
      </c>
      <c r="L18" s="56"/>
    </row>
    <row r="19" spans="3:12" x14ac:dyDescent="0.3">
      <c r="C19" t="s">
        <v>7</v>
      </c>
      <c r="D19" t="s">
        <v>6</v>
      </c>
      <c r="E19" s="62">
        <v>188000</v>
      </c>
      <c r="F19" s="62">
        <v>188000</v>
      </c>
      <c r="G19" s="251">
        <v>44000</v>
      </c>
      <c r="H19" s="242">
        <v>44000</v>
      </c>
      <c r="I19" s="242">
        <v>50000</v>
      </c>
      <c r="J19" s="242">
        <v>44000</v>
      </c>
      <c r="K19" s="253">
        <f t="shared" si="3"/>
        <v>50000</v>
      </c>
      <c r="L19" s="56"/>
    </row>
    <row r="20" spans="3:12" x14ac:dyDescent="0.3">
      <c r="C20" t="s">
        <v>7</v>
      </c>
      <c r="D20" t="s">
        <v>32</v>
      </c>
      <c r="E20" s="62">
        <v>105000</v>
      </c>
      <c r="F20" s="62">
        <v>105000</v>
      </c>
      <c r="G20" s="251">
        <v>30000</v>
      </c>
      <c r="H20" s="242">
        <v>30000</v>
      </c>
      <c r="I20" s="242">
        <v>25000</v>
      </c>
      <c r="J20" s="242">
        <v>25000</v>
      </c>
      <c r="K20" s="253">
        <f t="shared" si="3"/>
        <v>25000</v>
      </c>
      <c r="L20" s="56"/>
    </row>
    <row r="21" spans="3:12" x14ac:dyDescent="0.3">
      <c r="C21" t="s">
        <v>7</v>
      </c>
      <c r="D21" t="s">
        <v>30</v>
      </c>
      <c r="E21" s="62">
        <v>47000</v>
      </c>
      <c r="F21" s="62">
        <v>47000</v>
      </c>
      <c r="G21" s="251">
        <v>10000</v>
      </c>
      <c r="H21" s="242">
        <v>10000</v>
      </c>
      <c r="I21" s="242">
        <v>15000</v>
      </c>
      <c r="J21" s="242">
        <v>10000</v>
      </c>
      <c r="K21" s="253">
        <f t="shared" si="3"/>
        <v>12000</v>
      </c>
      <c r="L21" s="56"/>
    </row>
    <row r="22" spans="3:12" x14ac:dyDescent="0.3">
      <c r="C22" t="s">
        <v>7</v>
      </c>
      <c r="D22" t="s">
        <v>72</v>
      </c>
      <c r="E22" s="62">
        <v>2000000</v>
      </c>
      <c r="F22" s="62">
        <v>2000000</v>
      </c>
      <c r="G22" s="251">
        <v>500000</v>
      </c>
      <c r="H22" s="242">
        <v>500000</v>
      </c>
      <c r="I22" s="242">
        <v>500000</v>
      </c>
      <c r="J22" s="242">
        <v>500000</v>
      </c>
      <c r="K22" s="253">
        <f t="shared" si="3"/>
        <v>500000</v>
      </c>
      <c r="L22" s="56"/>
    </row>
    <row r="23" spans="3:12" ht="15" thickBot="1" x14ac:dyDescent="0.35">
      <c r="D23" s="240" t="s">
        <v>66</v>
      </c>
      <c r="E23" s="239">
        <v>2515000</v>
      </c>
      <c r="F23" s="239">
        <v>2515000</v>
      </c>
      <c r="G23" s="427">
        <f>SUM(G17:G22)</f>
        <v>634000</v>
      </c>
      <c r="H23" s="428">
        <f>SUM(H17:H22)</f>
        <v>634000</v>
      </c>
      <c r="I23" s="428">
        <f t="shared" ref="I23:K23" si="4">SUM(I17:I22)</f>
        <v>635000</v>
      </c>
      <c r="J23" s="428">
        <f t="shared" si="4"/>
        <v>619000</v>
      </c>
      <c r="K23" s="429">
        <f t="shared" si="4"/>
        <v>453300</v>
      </c>
      <c r="L23" s="336"/>
    </row>
    <row r="24" spans="3:12" ht="15" thickTop="1" x14ac:dyDescent="0.3"/>
  </sheetData>
  <mergeCells count="3">
    <mergeCell ref="H3:K3"/>
    <mergeCell ref="H15:K15"/>
    <mergeCell ref="E2:F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3E53-9BED-4FD3-938D-E3A8DE5983D5}">
  <sheetPr>
    <tabColor theme="5" tint="0.39997558519241921"/>
  </sheetPr>
  <dimension ref="A1:AA131"/>
  <sheetViews>
    <sheetView topLeftCell="A24" zoomScaleNormal="100" workbookViewId="0">
      <selection activeCell="C32" sqref="C32"/>
    </sheetView>
  </sheetViews>
  <sheetFormatPr defaultRowHeight="14.4" x14ac:dyDescent="0.3"/>
  <cols>
    <col min="4" max="4" width="11.21875" customWidth="1"/>
    <col min="5" max="5" width="12.44140625" customWidth="1"/>
    <col min="6" max="6" width="14" customWidth="1"/>
    <col min="7" max="7" width="15.5546875" customWidth="1"/>
    <col min="8" max="8" width="15.5546875" bestFit="1" customWidth="1"/>
    <col min="9" max="9" width="10.88671875" bestFit="1" customWidth="1"/>
    <col min="10" max="10" width="7.33203125" bestFit="1" customWidth="1"/>
    <col min="11" max="11" width="6.77734375" bestFit="1" customWidth="1"/>
    <col min="12" max="13" width="7.77734375" bestFit="1" customWidth="1"/>
    <col min="14" max="14" width="8.77734375" bestFit="1" customWidth="1"/>
    <col min="15" max="15" width="8.6640625" customWidth="1"/>
    <col min="16" max="22" width="8.77734375" bestFit="1" customWidth="1"/>
    <col min="23" max="23" width="10.6640625" customWidth="1"/>
    <col min="24" max="24" width="10.88671875" customWidth="1"/>
    <col min="25" max="25" width="10.21875" bestFit="1" customWidth="1"/>
    <col min="26" max="26" width="11.109375" customWidth="1"/>
    <col min="27" max="27" width="9.44140625" customWidth="1"/>
  </cols>
  <sheetData>
    <row r="1" spans="1:27" ht="21" x14ac:dyDescent="0.4">
      <c r="A1" s="152" t="s">
        <v>329</v>
      </c>
      <c r="B1" s="152"/>
      <c r="C1" s="152"/>
      <c r="D1" s="152"/>
      <c r="E1" s="152"/>
    </row>
    <row r="2" spans="1:27" x14ac:dyDescent="0.3">
      <c r="F2" s="26"/>
    </row>
    <row r="3" spans="1:27" x14ac:dyDescent="0.3">
      <c r="F3" s="26"/>
    </row>
    <row r="4" spans="1:27" ht="14.4" customHeight="1" x14ac:dyDescent="0.3">
      <c r="B4" s="913" t="s">
        <v>142</v>
      </c>
      <c r="C4" s="913"/>
      <c r="F4" s="26"/>
    </row>
    <row r="5" spans="1:27" ht="14.4" customHeight="1" x14ac:dyDescent="0.3">
      <c r="B5" s="913"/>
      <c r="C5" s="913"/>
      <c r="F5" s="26"/>
    </row>
    <row r="6" spans="1:27" ht="14.4" customHeight="1" x14ac:dyDescent="0.3">
      <c r="F6" s="26"/>
    </row>
    <row r="7" spans="1:27" ht="15.6" x14ac:dyDescent="0.3">
      <c r="B7" s="351" t="s">
        <v>546</v>
      </c>
      <c r="F7" s="26"/>
      <c r="G7" s="16"/>
    </row>
    <row r="8" spans="1:27" x14ac:dyDescent="0.3">
      <c r="G8" s="395" t="s">
        <v>562</v>
      </c>
      <c r="H8" s="396" t="s">
        <v>253</v>
      </c>
      <c r="I8" s="397">
        <v>35</v>
      </c>
    </row>
    <row r="9" spans="1:27" ht="14.4" customHeight="1" thickBot="1" x14ac:dyDescent="0.35">
      <c r="G9" s="395" t="s">
        <v>259</v>
      </c>
      <c r="H9" s="396" t="s">
        <v>253</v>
      </c>
      <c r="I9" s="397">
        <v>5</v>
      </c>
      <c r="J9" s="297">
        <v>44187</v>
      </c>
      <c r="K9" s="297">
        <v>44188</v>
      </c>
      <c r="L9" s="297">
        <v>44189</v>
      </c>
      <c r="M9" s="297">
        <v>44190</v>
      </c>
      <c r="N9" s="297">
        <v>44191</v>
      </c>
      <c r="O9" s="297">
        <v>44192</v>
      </c>
      <c r="P9" s="297">
        <v>44193</v>
      </c>
      <c r="Q9" s="297">
        <v>44194</v>
      </c>
      <c r="R9" s="297">
        <v>44195</v>
      </c>
      <c r="S9" s="297">
        <v>44196</v>
      </c>
      <c r="T9" s="297">
        <v>44197</v>
      </c>
      <c r="U9" s="297">
        <v>44198</v>
      </c>
      <c r="V9" s="297">
        <v>44199</v>
      </c>
      <c r="W9" s="297">
        <v>44200</v>
      </c>
    </row>
    <row r="10" spans="1:27" ht="15" thickBot="1" x14ac:dyDescent="0.35">
      <c r="J10" s="906" t="s">
        <v>529</v>
      </c>
      <c r="K10" s="907"/>
      <c r="L10" s="907"/>
      <c r="M10" s="907"/>
      <c r="N10" s="907"/>
      <c r="O10" s="907"/>
      <c r="P10" s="908"/>
      <c r="Q10" s="919" t="s">
        <v>530</v>
      </c>
      <c r="R10" s="910"/>
      <c r="S10" s="910"/>
      <c r="T10" s="910"/>
      <c r="U10" s="910"/>
      <c r="V10" s="910"/>
      <c r="W10" s="911"/>
      <c r="X10" s="912" t="s">
        <v>25</v>
      </c>
      <c r="Y10" s="898"/>
      <c r="Z10" s="898" t="s">
        <v>152</v>
      </c>
      <c r="AA10" s="898"/>
    </row>
    <row r="11" spans="1:27" ht="41.4" customHeight="1" x14ac:dyDescent="0.3">
      <c r="D11" s="349" t="s">
        <v>543</v>
      </c>
      <c r="E11" s="349" t="s">
        <v>561</v>
      </c>
      <c r="F11" s="350" t="s">
        <v>531</v>
      </c>
      <c r="J11" s="391" t="s">
        <v>49</v>
      </c>
      <c r="K11" s="392" t="s">
        <v>50</v>
      </c>
      <c r="L11" s="392" t="s">
        <v>51</v>
      </c>
      <c r="M11" s="392" t="s">
        <v>308</v>
      </c>
      <c r="N11" s="392" t="s">
        <v>309</v>
      </c>
      <c r="O11" s="392" t="s">
        <v>310</v>
      </c>
      <c r="P11" s="393" t="s">
        <v>311</v>
      </c>
      <c r="Q11" s="391" t="s">
        <v>312</v>
      </c>
      <c r="R11" s="392" t="s">
        <v>313</v>
      </c>
      <c r="S11" s="392" t="s">
        <v>314</v>
      </c>
      <c r="T11" s="392" t="s">
        <v>315</v>
      </c>
      <c r="U11" s="392" t="s">
        <v>316</v>
      </c>
      <c r="V11" s="392" t="s">
        <v>317</v>
      </c>
      <c r="W11" s="393" t="s">
        <v>318</v>
      </c>
      <c r="X11" s="355" t="s">
        <v>159</v>
      </c>
      <c r="Y11" s="353" t="s">
        <v>160</v>
      </c>
      <c r="Z11" s="353" t="s">
        <v>159</v>
      </c>
      <c r="AA11" s="353" t="s">
        <v>160</v>
      </c>
    </row>
    <row r="12" spans="1:27" x14ac:dyDescent="0.3">
      <c r="D12">
        <v>520</v>
      </c>
      <c r="E12" s="43">
        <f>E15+E19+E23+E27</f>
        <v>305</v>
      </c>
      <c r="F12" s="62">
        <v>250</v>
      </c>
      <c r="G12" s="899" t="s">
        <v>82</v>
      </c>
      <c r="H12" s="365" t="s">
        <v>563</v>
      </c>
      <c r="I12" s="366"/>
      <c r="J12" s="367"/>
      <c r="K12" s="368"/>
      <c r="L12" s="368"/>
      <c r="M12" s="368"/>
      <c r="N12" s="368"/>
      <c r="O12" s="368"/>
      <c r="P12" s="369"/>
      <c r="Q12" s="367"/>
      <c r="R12" s="368"/>
      <c r="S12" s="368"/>
      <c r="T12" s="368">
        <f>'Supplier DRP'!$H$5</f>
        <v>270</v>
      </c>
      <c r="U12" s="368"/>
      <c r="V12" s="368"/>
      <c r="W12" s="369"/>
      <c r="X12" s="356">
        <f>X15+X19+X23+E12+X27</f>
        <v>366</v>
      </c>
      <c r="Y12" s="62">
        <f>D12-X12</f>
        <v>154</v>
      </c>
      <c r="Z12" s="352">
        <f>Z15+Z19+Z23</f>
        <v>0</v>
      </c>
      <c r="AA12" s="62">
        <f>F12</f>
        <v>250</v>
      </c>
    </row>
    <row r="13" spans="1:27" ht="15" thickBot="1" x14ac:dyDescent="0.35">
      <c r="G13" s="900"/>
      <c r="H13" s="370" t="s">
        <v>94</v>
      </c>
      <c r="I13" s="371">
        <v>150</v>
      </c>
      <c r="J13" s="372">
        <f>J12+I13-J15-J19-J23-J27</f>
        <v>150</v>
      </c>
      <c r="K13" s="373">
        <f t="shared" ref="K13:S13" si="0">K12+J13-K15-K19-K23-K27</f>
        <v>150</v>
      </c>
      <c r="L13" s="373">
        <f t="shared" si="0"/>
        <v>150</v>
      </c>
      <c r="M13" s="373">
        <f t="shared" si="0"/>
        <v>124</v>
      </c>
      <c r="N13" s="373">
        <f t="shared" si="0"/>
        <v>112</v>
      </c>
      <c r="O13" s="373">
        <f t="shared" si="0"/>
        <v>112</v>
      </c>
      <c r="P13" s="374">
        <f t="shared" si="0"/>
        <v>107</v>
      </c>
      <c r="Q13" s="372">
        <f t="shared" si="0"/>
        <v>89</v>
      </c>
      <c r="R13" s="373">
        <f t="shared" si="0"/>
        <v>89</v>
      </c>
      <c r="S13" s="373">
        <f t="shared" si="0"/>
        <v>89</v>
      </c>
      <c r="T13" s="373">
        <f>T12+S13-T15-T19-T23-T27</f>
        <v>359</v>
      </c>
      <c r="U13" s="373">
        <f t="shared" ref="U13" si="1">U12+T13-U15-U19-U23-U27</f>
        <v>333</v>
      </c>
      <c r="V13" s="373">
        <f t="shared" ref="V13" si="2">V12+U13-V15-V19-V23-V27</f>
        <v>333</v>
      </c>
      <c r="W13" s="374">
        <f t="shared" ref="W13" si="3">W12+V13-W15-W19-W23-W27</f>
        <v>333</v>
      </c>
      <c r="X13" s="62"/>
      <c r="Y13" s="62"/>
      <c r="Z13" s="62"/>
      <c r="AA13" s="62"/>
    </row>
    <row r="14" spans="1:27" ht="15.6" thickTop="1" thickBot="1" x14ac:dyDescent="0.35">
      <c r="G14" s="362"/>
      <c r="H14" s="362"/>
      <c r="I14" s="362"/>
      <c r="J14" s="407"/>
      <c r="K14" s="408"/>
      <c r="L14" s="408"/>
      <c r="M14" s="408"/>
      <c r="N14" s="408"/>
      <c r="O14" s="408"/>
      <c r="P14" s="409"/>
      <c r="Q14" s="407"/>
      <c r="R14" s="408"/>
      <c r="S14" s="408"/>
      <c r="T14" s="408"/>
      <c r="U14" s="408"/>
      <c r="V14" s="408"/>
      <c r="W14" s="409"/>
      <c r="X14" s="62"/>
      <c r="Y14" s="62"/>
      <c r="Z14" s="62"/>
      <c r="AA14" s="62"/>
    </row>
    <row r="15" spans="1:27" ht="14.4" customHeight="1" thickTop="1" x14ac:dyDescent="0.3">
      <c r="D15">
        <v>208</v>
      </c>
      <c r="E15" s="326">
        <v>100</v>
      </c>
      <c r="F15" s="43">
        <f>'Inv Simulation - HS1'!$BF$88</f>
        <v>24</v>
      </c>
      <c r="G15" s="901" t="s">
        <v>390</v>
      </c>
      <c r="H15" s="265" t="s">
        <v>393</v>
      </c>
      <c r="I15" s="338"/>
      <c r="J15" s="341">
        <f>INDEX('Inv Simulation - HS1'!$BE56:$BI71,COLUMN(B1),2)</f>
        <v>0</v>
      </c>
      <c r="K15" s="342">
        <f>INDEX('Inv Simulation - HS1'!$BE56:$BI71,COLUMN(C1),2)</f>
        <v>0</v>
      </c>
      <c r="L15" s="342">
        <f>INDEX('Inv Simulation - HS1'!$BE56:$BI71,COLUMN(D1),2)</f>
        <v>0</v>
      </c>
      <c r="M15" s="342">
        <f>INDEX('Inv Simulation - HS1'!$BE56:$BI71,COLUMN(E1),2)</f>
        <v>0</v>
      </c>
      <c r="N15" s="342">
        <f>INDEX('Inv Simulation - HS1'!$BE56:$BI71,COLUMN(F1),2)</f>
        <v>6</v>
      </c>
      <c r="O15" s="342">
        <f>INDEX('Inv Simulation - HS1'!$BE56:$BI71,COLUMN(G1),2)</f>
        <v>0</v>
      </c>
      <c r="P15" s="343">
        <v>0</v>
      </c>
      <c r="Q15" s="341">
        <v>0</v>
      </c>
      <c r="R15" s="342">
        <v>0</v>
      </c>
      <c r="S15" s="342">
        <v>0</v>
      </c>
      <c r="T15" s="342">
        <v>0</v>
      </c>
      <c r="U15" s="342">
        <v>0</v>
      </c>
      <c r="V15" s="342">
        <v>0</v>
      </c>
      <c r="W15" s="343">
        <v>0</v>
      </c>
      <c r="X15" s="357">
        <f>SUM(J15:S15)</f>
        <v>6</v>
      </c>
      <c r="Y15" s="62">
        <f>D15-E15-X15</f>
        <v>102</v>
      </c>
      <c r="Z15" s="331">
        <f>SUM(T15:W15)</f>
        <v>0</v>
      </c>
      <c r="AA15" s="62">
        <f>F15</f>
        <v>24</v>
      </c>
    </row>
    <row r="16" spans="1:27" x14ac:dyDescent="0.3">
      <c r="B16" s="325" t="s">
        <v>277</v>
      </c>
      <c r="C16" s="165">
        <f>'Inv Simulation - HS1'!$BJ$52</f>
        <v>20</v>
      </c>
      <c r="G16" s="901"/>
      <c r="H16" s="254" t="s">
        <v>94</v>
      </c>
      <c r="I16" s="339">
        <v>8</v>
      </c>
      <c r="J16" s="344">
        <f>INDEX('Inv Simulation - HS1'!$BE56:$BI71,COLUMN(B1),5)</f>
        <v>5</v>
      </c>
      <c r="K16" s="345">
        <f>INDEX('Inv Simulation - HS1'!$BE56:$BI71,COLUMN(C1),5)</f>
        <v>4</v>
      </c>
      <c r="L16" s="345">
        <f>INDEX('Inv Simulation - HS1'!$BE56:$BI71,COLUMN(D1),5)</f>
        <v>4</v>
      </c>
      <c r="M16" s="345">
        <f>INDEX('Inv Simulation - HS1'!$BE56:$BI71,COLUMN(E1),5)</f>
        <v>3</v>
      </c>
      <c r="N16" s="345">
        <v>34</v>
      </c>
      <c r="O16" s="345">
        <v>34</v>
      </c>
      <c r="P16" s="346">
        <v>34</v>
      </c>
      <c r="Q16" s="344">
        <v>34</v>
      </c>
      <c r="R16" s="345">
        <v>34</v>
      </c>
      <c r="S16" s="345">
        <v>34</v>
      </c>
      <c r="T16" s="345">
        <v>34</v>
      </c>
      <c r="U16" s="345">
        <v>34</v>
      </c>
      <c r="V16" s="345">
        <v>34</v>
      </c>
      <c r="W16" s="346">
        <v>34</v>
      </c>
      <c r="X16" s="62"/>
      <c r="Y16" s="62"/>
      <c r="Z16" s="62"/>
      <c r="AA16" s="62"/>
    </row>
    <row r="17" spans="1:27" x14ac:dyDescent="0.3">
      <c r="B17" s="325" t="s">
        <v>276</v>
      </c>
      <c r="C17" s="165">
        <f>'Inv Simulation - HS1'!$BJ$53</f>
        <v>3</v>
      </c>
      <c r="G17" s="901"/>
      <c r="H17" s="903" t="s">
        <v>255</v>
      </c>
      <c r="I17" s="375" t="s">
        <v>555</v>
      </c>
      <c r="J17" s="376">
        <f t="shared" ref="J17:W17" si="4">QUOTIENT(J15+$I$8-1,$I$8)</f>
        <v>0</v>
      </c>
      <c r="K17" s="411">
        <f t="shared" si="4"/>
        <v>0</v>
      </c>
      <c r="L17" s="377">
        <f t="shared" si="4"/>
        <v>0</v>
      </c>
      <c r="M17" s="390">
        <f t="shared" si="4"/>
        <v>0</v>
      </c>
      <c r="N17" s="377">
        <f t="shared" si="4"/>
        <v>1</v>
      </c>
      <c r="O17" s="377">
        <f t="shared" si="4"/>
        <v>0</v>
      </c>
      <c r="P17" s="378">
        <f t="shared" si="4"/>
        <v>0</v>
      </c>
      <c r="Q17" s="376">
        <f t="shared" si="4"/>
        <v>0</v>
      </c>
      <c r="R17" s="377">
        <f t="shared" si="4"/>
        <v>0</v>
      </c>
      <c r="S17" s="377">
        <f t="shared" si="4"/>
        <v>0</v>
      </c>
      <c r="T17" s="377">
        <f t="shared" si="4"/>
        <v>0</v>
      </c>
      <c r="U17" s="377">
        <f t="shared" si="4"/>
        <v>0</v>
      </c>
      <c r="V17" s="377">
        <f t="shared" si="4"/>
        <v>0</v>
      </c>
      <c r="W17" s="378">
        <f t="shared" si="4"/>
        <v>0</v>
      </c>
      <c r="X17" s="62"/>
      <c r="Y17" s="62"/>
      <c r="Z17" s="62"/>
      <c r="AA17" s="62"/>
    </row>
    <row r="18" spans="1:27" ht="15" thickBot="1" x14ac:dyDescent="0.35">
      <c r="B18" s="6"/>
      <c r="C18" s="6"/>
      <c r="G18" s="902"/>
      <c r="H18" s="904"/>
      <c r="I18" s="379" t="s">
        <v>556</v>
      </c>
      <c r="J18" s="380">
        <v>0</v>
      </c>
      <c r="K18" s="381">
        <v>0</v>
      </c>
      <c r="L18" s="381">
        <v>0</v>
      </c>
      <c r="M18" s="381">
        <v>0</v>
      </c>
      <c r="N18" s="381">
        <v>0</v>
      </c>
      <c r="O18" s="381">
        <v>0</v>
      </c>
      <c r="P18" s="382">
        <v>0</v>
      </c>
      <c r="Q18" s="380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2">
        <v>0</v>
      </c>
      <c r="X18" s="62"/>
      <c r="Y18" s="62"/>
      <c r="Z18" s="62"/>
      <c r="AA18" s="62"/>
    </row>
    <row r="19" spans="1:27" ht="14.4" customHeight="1" thickTop="1" x14ac:dyDescent="0.3">
      <c r="A19" s="43"/>
      <c r="B19" s="43"/>
      <c r="C19" s="43"/>
      <c r="D19" s="43">
        <v>208</v>
      </c>
      <c r="E19" s="394">
        <v>155</v>
      </c>
      <c r="F19" s="43">
        <f>'Inv Simulation - HS2'!$BF$88</f>
        <v>12</v>
      </c>
      <c r="G19" s="914" t="s">
        <v>391</v>
      </c>
      <c r="H19" s="266" t="s">
        <v>251</v>
      </c>
      <c r="I19" s="340"/>
      <c r="J19" s="341">
        <f>INDEX('Inv Simulation - HS2'!$BE56:$BI71,COLUMN(B1),2)</f>
        <v>0</v>
      </c>
      <c r="K19" s="342">
        <f>INDEX('Inv Simulation - HS2'!$BE56:$BI71,COLUMN(C1),2)</f>
        <v>0</v>
      </c>
      <c r="L19" s="342">
        <f>INDEX('Inv Simulation - HS2'!$BE56:$BI71,COLUMN(D1),2)</f>
        <v>0</v>
      </c>
      <c r="M19" s="342">
        <f>INDEX('Inv Simulation - HS2'!$BE56:$BI71,COLUMN(E1),2)</f>
        <v>0</v>
      </c>
      <c r="N19" s="342">
        <f>INDEX('Inv Simulation - HS2'!$BE56:$BI71,COLUMN(F1),2)</f>
        <v>6</v>
      </c>
      <c r="O19" s="342">
        <f>INDEX('Inv Simulation - HS2'!$BE56:$BI71,COLUMN(G1),2)</f>
        <v>0</v>
      </c>
      <c r="P19" s="343">
        <f>INDEX('Inv Simulation - HS2'!$BE56:$BI71,COLUMN(H1),2)</f>
        <v>0</v>
      </c>
      <c r="Q19" s="341">
        <v>0</v>
      </c>
      <c r="R19" s="342">
        <v>0</v>
      </c>
      <c r="S19" s="342">
        <v>0</v>
      </c>
      <c r="T19" s="342">
        <v>0</v>
      </c>
      <c r="U19" s="342">
        <v>0</v>
      </c>
      <c r="V19" s="342">
        <v>0</v>
      </c>
      <c r="W19" s="343">
        <v>0</v>
      </c>
      <c r="X19" s="357">
        <f>SUM(J19:S19)</f>
        <v>6</v>
      </c>
      <c r="Y19" s="62">
        <f>D19-E19-X19</f>
        <v>47</v>
      </c>
      <c r="Z19" s="331">
        <f>SUM(T19:W19)</f>
        <v>0</v>
      </c>
      <c r="AA19" s="62">
        <f>F19</f>
        <v>12</v>
      </c>
    </row>
    <row r="20" spans="1:27" x14ac:dyDescent="0.3">
      <c r="B20" s="325" t="s">
        <v>277</v>
      </c>
      <c r="C20" s="165">
        <f>'Inv Simulation - HS2'!$BJ$52</f>
        <v>15</v>
      </c>
      <c r="G20" s="901"/>
      <c r="H20" s="254" t="s">
        <v>94</v>
      </c>
      <c r="I20" s="339">
        <v>47</v>
      </c>
      <c r="J20" s="344">
        <f>INDEX('Inv Simulation - HS2'!$BE56:$BI71,COLUMN(B1),5)</f>
        <v>4</v>
      </c>
      <c r="K20" s="345">
        <f>INDEX('Inv Simulation - HS2'!$BE56:$BI71,COLUMN(C1),5)</f>
        <v>3</v>
      </c>
      <c r="L20" s="345">
        <f>INDEX('Inv Simulation - HS2'!$BE56:$BI71,COLUMN(D1),5)</f>
        <v>3</v>
      </c>
      <c r="M20" s="345">
        <f>INDEX('Inv Simulation - HS2'!$BE56:$BI71,COLUMN(E1),5)</f>
        <v>3</v>
      </c>
      <c r="N20" s="345">
        <f>INDEX('Inv Simulation - HS2'!$BE56:$BI71,COLUMN(F1),5)</f>
        <v>8</v>
      </c>
      <c r="O20" s="345">
        <v>49</v>
      </c>
      <c r="P20" s="346">
        <v>49</v>
      </c>
      <c r="Q20" s="344">
        <v>49</v>
      </c>
      <c r="R20" s="345">
        <v>49</v>
      </c>
      <c r="S20" s="345">
        <v>49</v>
      </c>
      <c r="T20" s="345">
        <v>49</v>
      </c>
      <c r="U20" s="345">
        <v>49</v>
      </c>
      <c r="V20" s="345">
        <v>49</v>
      </c>
      <c r="W20" s="346">
        <v>49</v>
      </c>
      <c r="X20" s="62"/>
      <c r="Y20" s="62"/>
      <c r="Z20" s="62"/>
      <c r="AA20" s="62"/>
    </row>
    <row r="21" spans="1:27" x14ac:dyDescent="0.3">
      <c r="B21" s="325" t="s">
        <v>276</v>
      </c>
      <c r="C21" s="165">
        <f>'Inv Simulation - HS2'!$BJ$53</f>
        <v>3</v>
      </c>
      <c r="G21" s="901"/>
      <c r="H21" s="903" t="s">
        <v>255</v>
      </c>
      <c r="I21" s="375" t="s">
        <v>555</v>
      </c>
      <c r="J21" s="376">
        <f t="shared" ref="J21:W21" si="5">QUOTIENT(J19+$I$8-1,$I$8)</f>
        <v>0</v>
      </c>
      <c r="K21" s="377">
        <f t="shared" si="5"/>
        <v>0</v>
      </c>
      <c r="L21" s="377">
        <f t="shared" si="5"/>
        <v>0</v>
      </c>
      <c r="M21" s="377">
        <f t="shared" si="5"/>
        <v>0</v>
      </c>
      <c r="N21" s="390">
        <f t="shared" si="5"/>
        <v>1</v>
      </c>
      <c r="O21" s="377">
        <f t="shared" si="5"/>
        <v>0</v>
      </c>
      <c r="P21" s="378">
        <f t="shared" si="5"/>
        <v>0</v>
      </c>
      <c r="Q21" s="376">
        <f t="shared" si="5"/>
        <v>0</v>
      </c>
      <c r="R21" s="377">
        <f t="shared" si="5"/>
        <v>0</v>
      </c>
      <c r="S21" s="377">
        <f t="shared" si="5"/>
        <v>0</v>
      </c>
      <c r="T21" s="377">
        <f t="shared" si="5"/>
        <v>0</v>
      </c>
      <c r="U21" s="377">
        <f t="shared" si="5"/>
        <v>0</v>
      </c>
      <c r="V21" s="377">
        <f t="shared" si="5"/>
        <v>0</v>
      </c>
      <c r="W21" s="378">
        <f t="shared" si="5"/>
        <v>0</v>
      </c>
      <c r="X21" s="62"/>
      <c r="Y21" s="62"/>
      <c r="Z21" s="62"/>
      <c r="AA21" s="62"/>
    </row>
    <row r="22" spans="1:27" ht="15" thickBot="1" x14ac:dyDescent="0.35">
      <c r="B22" s="6"/>
      <c r="C22" s="6"/>
      <c r="G22" s="902"/>
      <c r="H22" s="904"/>
      <c r="I22" s="379" t="s">
        <v>556</v>
      </c>
      <c r="J22" s="380">
        <v>0</v>
      </c>
      <c r="K22" s="381">
        <v>0</v>
      </c>
      <c r="L22" s="381">
        <v>0</v>
      </c>
      <c r="M22" s="381">
        <v>0</v>
      </c>
      <c r="N22" s="381">
        <v>0</v>
      </c>
      <c r="O22" s="381">
        <v>0</v>
      </c>
      <c r="P22" s="382">
        <v>0</v>
      </c>
      <c r="Q22" s="380">
        <v>0</v>
      </c>
      <c r="R22" s="381">
        <v>0</v>
      </c>
      <c r="S22" s="381">
        <v>0</v>
      </c>
      <c r="T22" s="381">
        <v>0</v>
      </c>
      <c r="U22" s="381">
        <v>0</v>
      </c>
      <c r="V22" s="381">
        <v>0</v>
      </c>
      <c r="W22" s="382">
        <v>0</v>
      </c>
      <c r="X22" s="62"/>
      <c r="Y22" s="62"/>
      <c r="Z22" s="62"/>
      <c r="AA22" s="62"/>
    </row>
    <row r="23" spans="1:27" ht="14.4" customHeight="1" thickTop="1" x14ac:dyDescent="0.3">
      <c r="D23">
        <v>30</v>
      </c>
      <c r="E23" s="326">
        <v>20</v>
      </c>
      <c r="F23" s="43">
        <f>'Inv Simulation - HS3'!$BF$88</f>
        <v>10</v>
      </c>
      <c r="G23" s="901" t="s">
        <v>392</v>
      </c>
      <c r="H23" s="265" t="s">
        <v>251</v>
      </c>
      <c r="I23" s="338"/>
      <c r="J23" s="341">
        <f>INDEX('Inv Simulation - HS3'!$BE56:$BI71,COLUMN(B1),2)</f>
        <v>0</v>
      </c>
      <c r="K23" s="342">
        <f>INDEX('Inv Simulation - HS3'!$BE56:$BI71,COLUMN(C1),2)</f>
        <v>0</v>
      </c>
      <c r="L23" s="342">
        <f>INDEX('Inv Simulation - HS3'!$BE56:$BI71,COLUMN(D1),2)</f>
        <v>0</v>
      </c>
      <c r="M23" s="342">
        <f>INDEX('Inv Simulation - HS3'!$BE56:$BI71,COLUMN(E1),2)</f>
        <v>0</v>
      </c>
      <c r="N23" s="342">
        <f>INDEX('Inv Simulation - HS3'!$BE56:$BI71,COLUMN(F1),2)</f>
        <v>0</v>
      </c>
      <c r="O23" s="342">
        <f>INDEX('Inv Simulation - HS3'!$BE56:$BI71,COLUMN(G1),2)</f>
        <v>0</v>
      </c>
      <c r="P23" s="343">
        <f>INDEX('Inv Simulation - HS3'!$BE56:$BI71,COLUMN(H1),2)</f>
        <v>5</v>
      </c>
      <c r="Q23" s="341">
        <v>0</v>
      </c>
      <c r="R23" s="342">
        <v>0</v>
      </c>
      <c r="S23" s="342">
        <v>0</v>
      </c>
      <c r="T23" s="342">
        <v>0</v>
      </c>
      <c r="U23" s="342">
        <v>0</v>
      </c>
      <c r="V23" s="342">
        <v>0</v>
      </c>
      <c r="W23" s="343">
        <v>0</v>
      </c>
      <c r="X23" s="357">
        <f>SUM(J23:S23)</f>
        <v>5</v>
      </c>
      <c r="Y23" s="62">
        <f>D23-E23-X23</f>
        <v>5</v>
      </c>
      <c r="Z23" s="331">
        <f>SUM(T23:W23)</f>
        <v>0</v>
      </c>
      <c r="AA23" s="62">
        <f>F23</f>
        <v>10</v>
      </c>
    </row>
    <row r="24" spans="1:27" x14ac:dyDescent="0.3">
      <c r="B24" s="325" t="s">
        <v>277</v>
      </c>
      <c r="C24" s="165">
        <f>'Inv Simulation - HS3'!$BJ$52</f>
        <v>10</v>
      </c>
      <c r="G24" s="901"/>
      <c r="H24" s="254" t="s">
        <v>94</v>
      </c>
      <c r="I24" s="339">
        <v>6</v>
      </c>
      <c r="J24" s="344">
        <f>INDEX('Inv Simulation - HS3'!$BE56:$BI71,COLUMN(B1),5)</f>
        <v>3</v>
      </c>
      <c r="K24" s="345">
        <f>INDEX('Inv Simulation - HS3'!$BE56:$BI71,COLUMN(C1),5)</f>
        <v>2</v>
      </c>
      <c r="L24" s="345">
        <f>INDEX('Inv Simulation - HS3'!$BE56:$BI71,COLUMN(D1),5)</f>
        <v>2</v>
      </c>
      <c r="M24" s="345">
        <f>INDEX('Inv Simulation - HS3'!$BE56:$BI71,COLUMN(E1),5)</f>
        <v>2</v>
      </c>
      <c r="N24" s="345">
        <f>INDEX('Inv Simulation - HS3'!$BE56:$BI71,COLUMN(F1),5)</f>
        <v>2</v>
      </c>
      <c r="O24" s="345">
        <f>INDEX('Inv Simulation - HS3'!$BE56:$BI71,COLUMN(G1),5)</f>
        <v>2</v>
      </c>
      <c r="P24" s="346">
        <v>6</v>
      </c>
      <c r="Q24" s="344">
        <v>6</v>
      </c>
      <c r="R24" s="345">
        <v>6</v>
      </c>
      <c r="S24" s="345">
        <v>6</v>
      </c>
      <c r="T24" s="345">
        <v>6</v>
      </c>
      <c r="U24" s="345">
        <v>6</v>
      </c>
      <c r="V24" s="345">
        <v>6</v>
      </c>
      <c r="W24" s="346">
        <v>6</v>
      </c>
      <c r="X24" s="62"/>
      <c r="Y24" s="62"/>
      <c r="Z24" s="62"/>
      <c r="AA24" s="62"/>
    </row>
    <row r="25" spans="1:27" x14ac:dyDescent="0.3">
      <c r="B25" s="325" t="s">
        <v>276</v>
      </c>
      <c r="C25" s="165">
        <f>'Inv Simulation - HS3'!BJ53</f>
        <v>2</v>
      </c>
      <c r="G25" s="901"/>
      <c r="H25" s="903" t="s">
        <v>255</v>
      </c>
      <c r="I25" s="375" t="s">
        <v>555</v>
      </c>
      <c r="J25" s="376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8">
        <v>0</v>
      </c>
      <c r="Q25" s="376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8">
        <v>0</v>
      </c>
      <c r="X25" s="62"/>
      <c r="Y25" s="62"/>
      <c r="Z25" s="62"/>
      <c r="AA25" s="62"/>
    </row>
    <row r="26" spans="1:27" ht="15" thickBot="1" x14ac:dyDescent="0.35">
      <c r="B26" s="6"/>
      <c r="C26" s="6"/>
      <c r="G26" s="905"/>
      <c r="H26" s="904"/>
      <c r="I26" s="379" t="s">
        <v>556</v>
      </c>
      <c r="J26" s="380">
        <f t="shared" ref="J26:N26" si="6">QUOTIENT(J23+$I$9-1,$I$9)</f>
        <v>0</v>
      </c>
      <c r="K26" s="381">
        <f t="shared" si="6"/>
        <v>0</v>
      </c>
      <c r="L26" s="381">
        <f t="shared" si="6"/>
        <v>0</v>
      </c>
      <c r="M26" s="381">
        <f t="shared" si="6"/>
        <v>0</v>
      </c>
      <c r="N26" s="381">
        <f t="shared" si="6"/>
        <v>0</v>
      </c>
      <c r="O26" s="412">
        <f>QUOTIENT(O23+$I$9-1,$I$9)</f>
        <v>0</v>
      </c>
      <c r="P26" s="382">
        <f t="shared" ref="P26:W26" si="7">QUOTIENT(P23+$I$9-1,$I$9)</f>
        <v>1</v>
      </c>
      <c r="Q26" s="380">
        <f t="shared" si="7"/>
        <v>0</v>
      </c>
      <c r="R26" s="381">
        <f t="shared" si="7"/>
        <v>0</v>
      </c>
      <c r="S26" s="381">
        <f t="shared" si="7"/>
        <v>0</v>
      </c>
      <c r="T26" s="381">
        <f t="shared" si="7"/>
        <v>0</v>
      </c>
      <c r="U26" s="381">
        <f t="shared" si="7"/>
        <v>0</v>
      </c>
      <c r="V26" s="381">
        <f t="shared" si="7"/>
        <v>0</v>
      </c>
      <c r="W26" s="382">
        <f t="shared" si="7"/>
        <v>0</v>
      </c>
      <c r="X26" s="62"/>
      <c r="Y26" s="62"/>
      <c r="Z26" s="62"/>
      <c r="AA26" s="62"/>
    </row>
    <row r="27" spans="1:27" ht="15" customHeight="1" thickTop="1" x14ac:dyDescent="0.3">
      <c r="D27" s="43">
        <f>D12-D15-D19-D23</f>
        <v>74</v>
      </c>
      <c r="E27" s="326">
        <v>30</v>
      </c>
      <c r="F27" s="43">
        <v>69</v>
      </c>
      <c r="G27" s="901" t="s">
        <v>559</v>
      </c>
      <c r="H27" s="265" t="s">
        <v>251</v>
      </c>
      <c r="I27" s="338"/>
      <c r="J27" s="341">
        <v>0</v>
      </c>
      <c r="K27" s="342">
        <v>0</v>
      </c>
      <c r="L27" s="342">
        <v>0</v>
      </c>
      <c r="M27" s="342">
        <v>26</v>
      </c>
      <c r="N27" s="342">
        <v>0</v>
      </c>
      <c r="O27" s="342"/>
      <c r="P27" s="343">
        <v>0</v>
      </c>
      <c r="Q27" s="341">
        <v>18</v>
      </c>
      <c r="R27" s="342">
        <v>0</v>
      </c>
      <c r="S27" s="342">
        <v>0</v>
      </c>
      <c r="T27" s="342">
        <v>0</v>
      </c>
      <c r="U27" s="342">
        <v>26</v>
      </c>
      <c r="V27" s="342">
        <v>0</v>
      </c>
      <c r="W27" s="343">
        <v>0</v>
      </c>
      <c r="X27" s="357">
        <f>SUM(J27:S27)</f>
        <v>44</v>
      </c>
      <c r="Y27" s="62">
        <f>D27-E27-X27</f>
        <v>0</v>
      </c>
      <c r="Z27" s="331">
        <f>SUM(T27:W27)</f>
        <v>26</v>
      </c>
      <c r="AA27" s="62">
        <f>F27</f>
        <v>69</v>
      </c>
    </row>
    <row r="28" spans="1:27" x14ac:dyDescent="0.3">
      <c r="B28" s="325" t="s">
        <v>277</v>
      </c>
      <c r="C28" s="165">
        <f>'Inv Simulation - HS1'!$BJ$52</f>
        <v>20</v>
      </c>
      <c r="G28" s="901"/>
      <c r="H28" s="254" t="s">
        <v>94</v>
      </c>
      <c r="I28" s="339">
        <v>10</v>
      </c>
      <c r="J28" s="344">
        <v>10</v>
      </c>
      <c r="K28" s="345">
        <v>9</v>
      </c>
      <c r="L28" s="345">
        <v>8</v>
      </c>
      <c r="M28" s="345">
        <v>33</v>
      </c>
      <c r="N28" s="345">
        <v>17</v>
      </c>
      <c r="O28" s="345">
        <v>16</v>
      </c>
      <c r="P28" s="346">
        <v>15</v>
      </c>
      <c r="Q28" s="344">
        <v>32</v>
      </c>
      <c r="R28" s="345">
        <v>26</v>
      </c>
      <c r="S28" s="345">
        <v>25</v>
      </c>
      <c r="T28" s="345">
        <v>24</v>
      </c>
      <c r="U28" s="345">
        <v>49</v>
      </c>
      <c r="V28" s="345">
        <v>48</v>
      </c>
      <c r="W28" s="346">
        <v>47</v>
      </c>
      <c r="X28" s="62"/>
      <c r="Y28" s="62"/>
      <c r="Z28" s="62"/>
      <c r="AA28" s="62"/>
    </row>
    <row r="29" spans="1:27" x14ac:dyDescent="0.3">
      <c r="B29" s="325" t="s">
        <v>276</v>
      </c>
      <c r="C29" s="165">
        <f>'Inv Simulation - HS1'!$BJ$53</f>
        <v>3</v>
      </c>
      <c r="G29" s="901"/>
      <c r="H29" s="903" t="s">
        <v>255</v>
      </c>
      <c r="I29" s="375" t="s">
        <v>555</v>
      </c>
      <c r="J29" s="376">
        <f t="shared" ref="J29:W29" si="8">QUOTIENT(J27+$I$8-1,$I$8)</f>
        <v>0</v>
      </c>
      <c r="K29" s="377">
        <f t="shared" si="8"/>
        <v>0</v>
      </c>
      <c r="L29" s="377">
        <f t="shared" si="8"/>
        <v>0</v>
      </c>
      <c r="M29" s="411">
        <f t="shared" si="8"/>
        <v>1</v>
      </c>
      <c r="N29" s="377">
        <f t="shared" si="8"/>
        <v>0</v>
      </c>
      <c r="O29" s="377">
        <f t="shared" si="8"/>
        <v>0</v>
      </c>
      <c r="P29" s="378">
        <f t="shared" si="8"/>
        <v>0</v>
      </c>
      <c r="Q29" s="405">
        <f t="shared" si="8"/>
        <v>1</v>
      </c>
      <c r="R29" s="377">
        <f t="shared" si="8"/>
        <v>0</v>
      </c>
      <c r="S29" s="377">
        <f t="shared" si="8"/>
        <v>0</v>
      </c>
      <c r="T29" s="377">
        <f t="shared" si="8"/>
        <v>0</v>
      </c>
      <c r="U29" s="390">
        <f t="shared" si="8"/>
        <v>1</v>
      </c>
      <c r="V29" s="377">
        <f t="shared" si="8"/>
        <v>0</v>
      </c>
      <c r="W29" s="378">
        <f t="shared" si="8"/>
        <v>0</v>
      </c>
      <c r="X29" s="62"/>
      <c r="Y29" s="62"/>
      <c r="Z29" s="62"/>
      <c r="AA29" s="62"/>
    </row>
    <row r="30" spans="1:27" ht="15" thickBot="1" x14ac:dyDescent="0.35">
      <c r="B30" s="6"/>
      <c r="C30" s="6"/>
      <c r="G30" s="905"/>
      <c r="H30" s="904"/>
      <c r="I30" s="379" t="s">
        <v>556</v>
      </c>
      <c r="J30" s="380">
        <v>0</v>
      </c>
      <c r="K30" s="381">
        <v>0</v>
      </c>
      <c r="L30" s="381">
        <v>0</v>
      </c>
      <c r="M30" s="381">
        <v>0</v>
      </c>
      <c r="N30" s="381">
        <v>0</v>
      </c>
      <c r="O30" s="381">
        <v>0</v>
      </c>
      <c r="P30" s="382">
        <v>0</v>
      </c>
      <c r="Q30" s="380">
        <v>0</v>
      </c>
      <c r="R30" s="381">
        <v>0</v>
      </c>
      <c r="S30" s="381">
        <v>0</v>
      </c>
      <c r="T30" s="381">
        <v>0</v>
      </c>
      <c r="U30" s="381">
        <v>0</v>
      </c>
      <c r="V30" s="381">
        <v>0</v>
      </c>
      <c r="W30" s="382">
        <v>0</v>
      </c>
      <c r="X30" s="62"/>
      <c r="Y30" s="62"/>
      <c r="Z30" s="62"/>
      <c r="AA30" s="62"/>
    </row>
    <row r="31" spans="1:27" s="6" customFormat="1" ht="15" thickTop="1" x14ac:dyDescent="0.3">
      <c r="F31" s="43"/>
      <c r="G31" s="245"/>
      <c r="H31" s="246"/>
      <c r="I31" s="15"/>
      <c r="J31" s="272"/>
      <c r="K31" s="247"/>
      <c r="L31" s="247"/>
      <c r="M31" s="247"/>
      <c r="N31" s="247"/>
      <c r="O31" s="247"/>
      <c r="P31" s="273"/>
      <c r="Q31" s="272"/>
      <c r="R31" s="247"/>
      <c r="S31" s="247"/>
      <c r="T31" s="247"/>
      <c r="U31" s="247"/>
      <c r="V31" s="247"/>
      <c r="W31" s="273"/>
      <c r="X31" s="227"/>
      <c r="Y31" s="227"/>
      <c r="Z31" s="227"/>
      <c r="AA31" s="227"/>
    </row>
    <row r="32" spans="1:27" s="6" customFormat="1" ht="28.8" customHeight="1" x14ac:dyDescent="0.3">
      <c r="G32" s="359" t="s">
        <v>550</v>
      </c>
      <c r="H32" s="909" t="s">
        <v>560</v>
      </c>
      <c r="I32" s="383" t="s">
        <v>555</v>
      </c>
      <c r="J32" s="384">
        <f t="shared" ref="J32:L32" si="9">J17+J21+J25+J29</f>
        <v>0</v>
      </c>
      <c r="K32" s="385">
        <f t="shared" si="9"/>
        <v>0</v>
      </c>
      <c r="L32" s="385">
        <f t="shared" si="9"/>
        <v>0</v>
      </c>
      <c r="M32" s="406">
        <f>M17+M21+M25+M29</f>
        <v>1</v>
      </c>
      <c r="N32" s="385">
        <f t="shared" ref="N32:W32" si="10">N17+N21+N25+N29</f>
        <v>2</v>
      </c>
      <c r="O32" s="385">
        <f t="shared" si="10"/>
        <v>0</v>
      </c>
      <c r="P32" s="386">
        <f t="shared" si="10"/>
        <v>0</v>
      </c>
      <c r="Q32" s="384">
        <f t="shared" si="10"/>
        <v>1</v>
      </c>
      <c r="R32" s="385">
        <f t="shared" si="10"/>
        <v>0</v>
      </c>
      <c r="S32" s="385">
        <f t="shared" si="10"/>
        <v>0</v>
      </c>
      <c r="T32" s="385">
        <f t="shared" si="10"/>
        <v>0</v>
      </c>
      <c r="U32" s="385">
        <f t="shared" si="10"/>
        <v>1</v>
      </c>
      <c r="V32" s="385">
        <f t="shared" si="10"/>
        <v>0</v>
      </c>
      <c r="W32" s="386">
        <f t="shared" si="10"/>
        <v>0</v>
      </c>
      <c r="X32" s="361">
        <f>SUM(J32:W32)</f>
        <v>5</v>
      </c>
    </row>
    <row r="33" spans="1:27" s="6" customFormat="1" ht="15" thickBot="1" x14ac:dyDescent="0.35">
      <c r="G33" s="358"/>
      <c r="H33" s="909"/>
      <c r="I33" s="383" t="s">
        <v>556</v>
      </c>
      <c r="J33" s="387">
        <f t="shared" ref="J33:N33" si="11">J18+J22+J26+J30</f>
        <v>0</v>
      </c>
      <c r="K33" s="388">
        <f t="shared" si="11"/>
        <v>0</v>
      </c>
      <c r="L33" s="388">
        <f t="shared" si="11"/>
        <v>0</v>
      </c>
      <c r="M33" s="388">
        <f t="shared" si="11"/>
        <v>0</v>
      </c>
      <c r="N33" s="388">
        <f t="shared" si="11"/>
        <v>0</v>
      </c>
      <c r="O33" s="388">
        <f>O18+O22+O26+O30</f>
        <v>0</v>
      </c>
      <c r="P33" s="389">
        <f t="shared" ref="P33:W33" si="12">P18+P22+P26+P30</f>
        <v>1</v>
      </c>
      <c r="Q33" s="387">
        <f t="shared" si="12"/>
        <v>0</v>
      </c>
      <c r="R33" s="388">
        <f t="shared" si="12"/>
        <v>0</v>
      </c>
      <c r="S33" s="388">
        <f t="shared" si="12"/>
        <v>0</v>
      </c>
      <c r="T33" s="388">
        <f t="shared" si="12"/>
        <v>0</v>
      </c>
      <c r="U33" s="388">
        <f t="shared" si="12"/>
        <v>0</v>
      </c>
      <c r="V33" s="388">
        <f t="shared" si="12"/>
        <v>0</v>
      </c>
      <c r="W33" s="389">
        <f t="shared" si="12"/>
        <v>0</v>
      </c>
      <c r="X33" s="361">
        <f>SUM(J33:W33)</f>
        <v>1</v>
      </c>
    </row>
    <row r="34" spans="1:27" s="6" customFormat="1" x14ac:dyDescent="0.3">
      <c r="F34" s="248"/>
      <c r="G34" s="245"/>
      <c r="J34" s="247"/>
      <c r="K34" s="247"/>
      <c r="L34" s="247"/>
      <c r="M34" s="247" t="s">
        <v>586</v>
      </c>
      <c r="N34" s="247"/>
      <c r="O34" s="247" t="s">
        <v>587</v>
      </c>
      <c r="P34" s="247"/>
      <c r="Q34" s="247"/>
      <c r="R34" s="432" t="s">
        <v>589</v>
      </c>
      <c r="S34" s="247"/>
      <c r="T34" s="247"/>
      <c r="U34" s="247"/>
      <c r="V34" s="247"/>
      <c r="W34" s="247"/>
      <c r="X34" s="247"/>
    </row>
    <row r="35" spans="1:27" s="6" customFormat="1" ht="15.6" x14ac:dyDescent="0.3">
      <c r="B35" s="351" t="s">
        <v>547</v>
      </c>
      <c r="F35" s="248"/>
      <c r="G35" s="245"/>
      <c r="J35" s="247"/>
      <c r="K35" s="247"/>
      <c r="L35" s="247"/>
      <c r="M35" s="247"/>
      <c r="N35" s="247"/>
      <c r="O35" s="247" t="s">
        <v>588</v>
      </c>
      <c r="P35" s="247"/>
      <c r="Q35" s="247"/>
      <c r="R35" s="432" t="s">
        <v>590</v>
      </c>
      <c r="S35" s="247"/>
      <c r="T35" s="247"/>
      <c r="U35" s="247"/>
      <c r="V35" s="247"/>
      <c r="W35" s="247"/>
      <c r="X35" s="247"/>
      <c r="Y35" s="247"/>
    </row>
    <row r="36" spans="1:27" x14ac:dyDescent="0.3">
      <c r="G36" s="395" t="s">
        <v>562</v>
      </c>
      <c r="H36" s="396" t="s">
        <v>253</v>
      </c>
      <c r="I36" s="397">
        <v>35</v>
      </c>
    </row>
    <row r="37" spans="1:27" ht="14.4" customHeight="1" thickBot="1" x14ac:dyDescent="0.35">
      <c r="G37" s="395" t="s">
        <v>259</v>
      </c>
      <c r="H37" s="396" t="s">
        <v>253</v>
      </c>
      <c r="I37" s="397">
        <v>5</v>
      </c>
      <c r="J37" s="297">
        <v>44187</v>
      </c>
      <c r="K37" s="297">
        <v>44188</v>
      </c>
      <c r="L37" s="297">
        <v>44189</v>
      </c>
      <c r="M37" s="297">
        <v>44190</v>
      </c>
      <c r="N37" s="297">
        <v>44191</v>
      </c>
      <c r="O37" s="297">
        <v>44192</v>
      </c>
      <c r="P37" s="297">
        <v>44193</v>
      </c>
      <c r="Q37" s="297">
        <v>44194</v>
      </c>
      <c r="R37" s="297">
        <v>44195</v>
      </c>
      <c r="S37" s="297">
        <v>44196</v>
      </c>
      <c r="T37" s="297">
        <v>44197</v>
      </c>
      <c r="U37" s="297">
        <v>44198</v>
      </c>
      <c r="V37" s="297">
        <v>44199</v>
      </c>
      <c r="W37" s="297">
        <v>44200</v>
      </c>
    </row>
    <row r="38" spans="1:27" ht="15" thickBot="1" x14ac:dyDescent="0.35">
      <c r="J38" s="906" t="s">
        <v>529</v>
      </c>
      <c r="K38" s="907"/>
      <c r="L38" s="907"/>
      <c r="M38" s="907"/>
      <c r="N38" s="907"/>
      <c r="O38" s="907"/>
      <c r="P38" s="908"/>
      <c r="Q38" s="910" t="s">
        <v>530</v>
      </c>
      <c r="R38" s="910"/>
      <c r="S38" s="910"/>
      <c r="T38" s="910"/>
      <c r="U38" s="910"/>
      <c r="V38" s="910"/>
      <c r="W38" s="911"/>
      <c r="X38" s="912" t="s">
        <v>25</v>
      </c>
      <c r="Y38" s="898"/>
      <c r="Z38" s="898" t="s">
        <v>152</v>
      </c>
      <c r="AA38" s="898"/>
    </row>
    <row r="39" spans="1:27" ht="41.4" customHeight="1" x14ac:dyDescent="0.3">
      <c r="D39" s="349" t="s">
        <v>543</v>
      </c>
      <c r="E39" s="349" t="s">
        <v>561</v>
      </c>
      <c r="F39" s="350" t="s">
        <v>531</v>
      </c>
      <c r="J39" s="391" t="s">
        <v>49</v>
      </c>
      <c r="K39" s="392" t="s">
        <v>50</v>
      </c>
      <c r="L39" s="392" t="s">
        <v>51</v>
      </c>
      <c r="M39" s="392" t="s">
        <v>308</v>
      </c>
      <c r="N39" s="392" t="s">
        <v>309</v>
      </c>
      <c r="O39" s="392" t="s">
        <v>310</v>
      </c>
      <c r="P39" s="393" t="s">
        <v>311</v>
      </c>
      <c r="Q39" s="398" t="s">
        <v>312</v>
      </c>
      <c r="R39" s="392" t="s">
        <v>313</v>
      </c>
      <c r="S39" s="392" t="s">
        <v>314</v>
      </c>
      <c r="T39" s="392" t="s">
        <v>315</v>
      </c>
      <c r="U39" s="392" t="s">
        <v>316</v>
      </c>
      <c r="V39" s="392" t="s">
        <v>317</v>
      </c>
      <c r="W39" s="393" t="s">
        <v>318</v>
      </c>
      <c r="X39" s="355" t="s">
        <v>159</v>
      </c>
      <c r="Y39" s="353" t="s">
        <v>160</v>
      </c>
      <c r="Z39" s="353" t="s">
        <v>159</v>
      </c>
      <c r="AA39" s="353" t="s">
        <v>160</v>
      </c>
    </row>
    <row r="40" spans="1:27" x14ac:dyDescent="0.3">
      <c r="D40">
        <v>520</v>
      </c>
      <c r="E40" s="43">
        <f>E43+E47+E51+E55</f>
        <v>305</v>
      </c>
      <c r="F40" s="62">
        <v>567</v>
      </c>
      <c r="G40" s="899" t="s">
        <v>82</v>
      </c>
      <c r="H40" s="365" t="s">
        <v>563</v>
      </c>
      <c r="I40" s="366"/>
      <c r="J40" s="367"/>
      <c r="K40" s="368"/>
      <c r="L40" s="368"/>
      <c r="M40" s="368"/>
      <c r="N40" s="368"/>
      <c r="O40" s="368"/>
      <c r="P40" s="369"/>
      <c r="Q40" s="399"/>
      <c r="R40" s="368"/>
      <c r="S40" s="368"/>
      <c r="T40" s="368">
        <f>'Supplier DRP'!$H$5</f>
        <v>270</v>
      </c>
      <c r="U40" s="368"/>
      <c r="V40" s="368"/>
      <c r="W40" s="369"/>
      <c r="X40" s="356">
        <f>X43+X47+X51+E40+X55</f>
        <v>387</v>
      </c>
      <c r="Y40" s="62">
        <f>D40-X40</f>
        <v>133</v>
      </c>
      <c r="Z40" s="352">
        <f>Z43+Z47+Z51</f>
        <v>0</v>
      </c>
      <c r="AA40" s="62">
        <f>F40</f>
        <v>567</v>
      </c>
    </row>
    <row r="41" spans="1:27" ht="15" thickBot="1" x14ac:dyDescent="0.35">
      <c r="G41" s="900"/>
      <c r="H41" s="370" t="s">
        <v>94</v>
      </c>
      <c r="I41" s="371">
        <v>150</v>
      </c>
      <c r="J41" s="372">
        <f>J40+I41-J43-J47-J51-J55</f>
        <v>150</v>
      </c>
      <c r="K41" s="373">
        <f t="shared" ref="K41:W41" si="13">K40+J41-K43-K47-K51-K55</f>
        <v>150</v>
      </c>
      <c r="L41" s="373">
        <f t="shared" si="13"/>
        <v>124</v>
      </c>
      <c r="M41" s="373">
        <f t="shared" si="13"/>
        <v>98</v>
      </c>
      <c r="N41" s="373">
        <f t="shared" si="13"/>
        <v>86</v>
      </c>
      <c r="O41" s="373">
        <f t="shared" si="13"/>
        <v>86</v>
      </c>
      <c r="P41" s="374">
        <f t="shared" si="13"/>
        <v>86</v>
      </c>
      <c r="Q41" s="400">
        <f t="shared" si="13"/>
        <v>68</v>
      </c>
      <c r="R41" s="373">
        <f t="shared" si="13"/>
        <v>68</v>
      </c>
      <c r="S41" s="373">
        <f t="shared" si="13"/>
        <v>68</v>
      </c>
      <c r="T41" s="373">
        <f t="shared" si="13"/>
        <v>338</v>
      </c>
      <c r="U41" s="373">
        <f t="shared" si="13"/>
        <v>312</v>
      </c>
      <c r="V41" s="373">
        <f t="shared" si="13"/>
        <v>312</v>
      </c>
      <c r="W41" s="374">
        <f t="shared" si="13"/>
        <v>312</v>
      </c>
      <c r="X41" s="62"/>
      <c r="Y41" s="62"/>
      <c r="Z41" s="62"/>
      <c r="AA41" s="62"/>
    </row>
    <row r="42" spans="1:27" ht="15.6" thickTop="1" thickBot="1" x14ac:dyDescent="0.35">
      <c r="G42" s="362"/>
      <c r="H42" s="362"/>
      <c r="I42" s="362"/>
      <c r="J42" s="363"/>
      <c r="K42" s="362"/>
      <c r="L42" s="362"/>
      <c r="M42" s="362"/>
      <c r="N42" s="362"/>
      <c r="O42" s="362"/>
      <c r="P42" s="364"/>
      <c r="Q42" s="362"/>
      <c r="R42" s="362"/>
      <c r="S42" s="362"/>
      <c r="T42" s="362"/>
      <c r="U42" s="362"/>
      <c r="V42" s="362"/>
      <c r="W42" s="364"/>
      <c r="X42" s="62"/>
      <c r="Y42" s="62"/>
      <c r="Z42" s="62"/>
      <c r="AA42" s="62"/>
    </row>
    <row r="43" spans="1:27" ht="14.4" customHeight="1" thickTop="1" x14ac:dyDescent="0.3">
      <c r="D43">
        <v>208</v>
      </c>
      <c r="E43" s="326">
        <v>100</v>
      </c>
      <c r="F43" s="43">
        <f>'Inv Simulation - HS1'!$BF$88</f>
        <v>24</v>
      </c>
      <c r="G43" s="901" t="s">
        <v>390</v>
      </c>
      <c r="H43" s="265" t="s">
        <v>393</v>
      </c>
      <c r="I43" s="338"/>
      <c r="J43" s="341">
        <f>INDEX('Inv Simulation - HS1'!$BE56:$BI71,COLUMN(B1),2)</f>
        <v>0</v>
      </c>
      <c r="K43" s="342">
        <f>INDEX('Inv Simulation - HS1'!$BE56:$BI71,COLUMN(C1),2)</f>
        <v>0</v>
      </c>
      <c r="L43" s="342">
        <v>26</v>
      </c>
      <c r="M43" s="342">
        <v>0</v>
      </c>
      <c r="N43" s="342">
        <f>INDEX('Inv Simulation - HS1'!$BE56:$BI71,COLUMN(F1),2)</f>
        <v>6</v>
      </c>
      <c r="O43" s="342">
        <f>INDEX('Inv Simulation - HS1'!$BE56:$BI71,COLUMN(G1),2)</f>
        <v>0</v>
      </c>
      <c r="P43" s="343">
        <v>0</v>
      </c>
      <c r="Q43" s="360">
        <v>0</v>
      </c>
      <c r="R43" s="342">
        <v>0</v>
      </c>
      <c r="S43" s="342">
        <v>0</v>
      </c>
      <c r="T43" s="342">
        <v>0</v>
      </c>
      <c r="U43" s="342">
        <v>0</v>
      </c>
      <c r="V43" s="342">
        <v>0</v>
      </c>
      <c r="W43" s="343">
        <v>0</v>
      </c>
      <c r="X43" s="357">
        <f>SUM(J43:S43)</f>
        <v>32</v>
      </c>
      <c r="Y43" s="62">
        <f>D43-E43-X43</f>
        <v>76</v>
      </c>
      <c r="Z43" s="331">
        <f>SUM(T43:W43)</f>
        <v>0</v>
      </c>
      <c r="AA43" s="62">
        <f>F43</f>
        <v>24</v>
      </c>
    </row>
    <row r="44" spans="1:27" x14ac:dyDescent="0.3">
      <c r="B44" s="325" t="s">
        <v>277</v>
      </c>
      <c r="C44" s="165">
        <f>'Inv Simulation - HS1'!$BJ$52</f>
        <v>20</v>
      </c>
      <c r="G44" s="901"/>
      <c r="H44" s="254" t="s">
        <v>94</v>
      </c>
      <c r="I44" s="339">
        <v>8</v>
      </c>
      <c r="J44" s="344">
        <f>INDEX('Inv Simulation - HS1'!$BE56:$BI71,COLUMN(B1),5)</f>
        <v>5</v>
      </c>
      <c r="K44" s="345">
        <f>INDEX('Inv Simulation - HS1'!$BE56:$BI71,COLUMN(C1),5)</f>
        <v>4</v>
      </c>
      <c r="L44" s="345">
        <f>INDEX('Inv Simulation - HS1'!$BE56:$BI71,COLUMN(D1),5)</f>
        <v>4</v>
      </c>
      <c r="M44" s="345">
        <f>INDEX('Inv Simulation - HS1'!$BE56:$BI71,COLUMN(E1),5)</f>
        <v>3</v>
      </c>
      <c r="N44" s="345">
        <v>34</v>
      </c>
      <c r="O44" s="345">
        <v>34</v>
      </c>
      <c r="P44" s="346">
        <v>34</v>
      </c>
      <c r="Q44" s="348">
        <v>34</v>
      </c>
      <c r="R44" s="345">
        <v>34</v>
      </c>
      <c r="S44" s="345">
        <v>34</v>
      </c>
      <c r="T44" s="345">
        <v>34</v>
      </c>
      <c r="U44" s="345">
        <v>34</v>
      </c>
      <c r="V44" s="345">
        <v>34</v>
      </c>
      <c r="W44" s="345">
        <v>34</v>
      </c>
      <c r="X44" s="62"/>
      <c r="Y44" s="62"/>
      <c r="Z44" s="62"/>
      <c r="AA44" s="62"/>
    </row>
    <row r="45" spans="1:27" x14ac:dyDescent="0.3">
      <c r="B45" s="325" t="s">
        <v>276</v>
      </c>
      <c r="C45" s="165">
        <f>'Inv Simulation - HS1'!$BJ$53</f>
        <v>3</v>
      </c>
      <c r="G45" s="901"/>
      <c r="H45" s="903" t="s">
        <v>255</v>
      </c>
      <c r="I45" s="375" t="s">
        <v>555</v>
      </c>
      <c r="J45" s="376">
        <f t="shared" ref="J45:W45" si="14">QUOTIENT(J43+$I$8-1,$I$8)</f>
        <v>0</v>
      </c>
      <c r="K45" s="411">
        <f t="shared" si="14"/>
        <v>0</v>
      </c>
      <c r="L45" s="390">
        <f t="shared" si="14"/>
        <v>1</v>
      </c>
      <c r="M45" s="377">
        <f t="shared" si="14"/>
        <v>0</v>
      </c>
      <c r="N45" s="377">
        <f t="shared" si="14"/>
        <v>1</v>
      </c>
      <c r="O45" s="377">
        <f t="shared" si="14"/>
        <v>0</v>
      </c>
      <c r="P45" s="378">
        <f t="shared" si="14"/>
        <v>0</v>
      </c>
      <c r="Q45" s="401">
        <f t="shared" si="14"/>
        <v>0</v>
      </c>
      <c r="R45" s="377">
        <f t="shared" si="14"/>
        <v>0</v>
      </c>
      <c r="S45" s="377">
        <f t="shared" si="14"/>
        <v>0</v>
      </c>
      <c r="T45" s="377">
        <f t="shared" si="14"/>
        <v>0</v>
      </c>
      <c r="U45" s="377">
        <f t="shared" si="14"/>
        <v>0</v>
      </c>
      <c r="V45" s="377">
        <f t="shared" si="14"/>
        <v>0</v>
      </c>
      <c r="W45" s="378">
        <f t="shared" si="14"/>
        <v>0</v>
      </c>
      <c r="X45" s="62"/>
      <c r="Y45" s="62"/>
      <c r="Z45" s="62"/>
      <c r="AA45" s="62"/>
    </row>
    <row r="46" spans="1:27" ht="15" thickBot="1" x14ac:dyDescent="0.35">
      <c r="B46" s="6"/>
      <c r="C46" s="6"/>
      <c r="G46" s="902"/>
      <c r="H46" s="904"/>
      <c r="I46" s="379" t="s">
        <v>556</v>
      </c>
      <c r="J46" s="380">
        <v>0</v>
      </c>
      <c r="K46" s="381">
        <v>0</v>
      </c>
      <c r="L46" s="381">
        <v>0</v>
      </c>
      <c r="M46" s="381">
        <v>0</v>
      </c>
      <c r="N46" s="381">
        <v>0</v>
      </c>
      <c r="O46" s="381">
        <v>0</v>
      </c>
      <c r="P46" s="382">
        <v>0</v>
      </c>
      <c r="Q46" s="402">
        <v>0</v>
      </c>
      <c r="R46" s="381">
        <v>0</v>
      </c>
      <c r="S46" s="381">
        <v>0</v>
      </c>
      <c r="T46" s="381">
        <v>0</v>
      </c>
      <c r="U46" s="381">
        <v>0</v>
      </c>
      <c r="V46" s="381">
        <v>0</v>
      </c>
      <c r="W46" s="382">
        <v>0</v>
      </c>
      <c r="X46" s="62"/>
      <c r="Y46" s="62"/>
      <c r="Z46" s="62"/>
      <c r="AA46" s="62"/>
    </row>
    <row r="47" spans="1:27" ht="14.4" customHeight="1" thickTop="1" x14ac:dyDescent="0.3">
      <c r="A47" s="43"/>
      <c r="B47" s="43"/>
      <c r="C47" s="43"/>
      <c r="D47" s="43">
        <v>208</v>
      </c>
      <c r="E47" s="394">
        <v>155</v>
      </c>
      <c r="F47" s="43">
        <f>'Inv Simulation - HS2'!$BF$88</f>
        <v>12</v>
      </c>
      <c r="G47" s="914" t="s">
        <v>391</v>
      </c>
      <c r="H47" s="266" t="s">
        <v>251</v>
      </c>
      <c r="I47" s="340"/>
      <c r="J47" s="341">
        <f>INDEX('Inv Simulation - HS2'!$BE56:$BI71,COLUMN(B1),2)</f>
        <v>0</v>
      </c>
      <c r="K47" s="342">
        <f>INDEX('Inv Simulation - HS2'!$BE56:$BI71,COLUMN(C1),2)</f>
        <v>0</v>
      </c>
      <c r="L47" s="342">
        <f>INDEX('Inv Simulation - HS2'!$BE56:$BI71,COLUMN(D1),2)</f>
        <v>0</v>
      </c>
      <c r="M47" s="342">
        <f>INDEX('Inv Simulation - HS2'!$BE56:$BI71,COLUMN(E1),2)</f>
        <v>0</v>
      </c>
      <c r="N47" s="342">
        <f>INDEX('Inv Simulation - HS2'!$BE56:$BI71,COLUMN(F1),2)</f>
        <v>6</v>
      </c>
      <c r="O47" s="342">
        <f>INDEX('Inv Simulation - HS2'!$BE85:$BI100,COLUMN(G30),2)</f>
        <v>0</v>
      </c>
      <c r="P47" s="343">
        <f>INDEX('Inv Simulation - HS2'!$BE85:$BI100,COLUMN(H30),2)</f>
        <v>0</v>
      </c>
      <c r="Q47" s="360">
        <v>0</v>
      </c>
      <c r="R47" s="342">
        <v>0</v>
      </c>
      <c r="S47" s="342">
        <v>0</v>
      </c>
      <c r="T47" s="342">
        <v>0</v>
      </c>
      <c r="U47" s="342">
        <v>0</v>
      </c>
      <c r="V47" s="342">
        <v>0</v>
      </c>
      <c r="W47" s="343">
        <v>0</v>
      </c>
      <c r="X47" s="357">
        <f>SUM(J47:S47)</f>
        <v>6</v>
      </c>
      <c r="Y47" s="62">
        <f>D47-E47-X47</f>
        <v>47</v>
      </c>
      <c r="Z47" s="331">
        <f>SUM(T47:W47)</f>
        <v>0</v>
      </c>
      <c r="AA47" s="62">
        <f>F47</f>
        <v>12</v>
      </c>
    </row>
    <row r="48" spans="1:27" x14ac:dyDescent="0.3">
      <c r="B48" s="325" t="s">
        <v>277</v>
      </c>
      <c r="C48" s="165">
        <f>'Inv Simulation - HS2'!$BJ$52</f>
        <v>15</v>
      </c>
      <c r="G48" s="901"/>
      <c r="H48" s="254" t="s">
        <v>94</v>
      </c>
      <c r="I48" s="339">
        <v>47</v>
      </c>
      <c r="J48" s="344">
        <f>INDEX('Inv Simulation - HS2'!$BE56:$BI71,COLUMN(B1),5)</f>
        <v>4</v>
      </c>
      <c r="K48" s="345">
        <f>INDEX('Inv Simulation - HS2'!$BE56:$BI71,COLUMN(C1),5)</f>
        <v>3</v>
      </c>
      <c r="L48" s="345">
        <f>INDEX('Inv Simulation - HS2'!$BE56:$BI71,COLUMN(D1),5)</f>
        <v>3</v>
      </c>
      <c r="M48" s="345">
        <f>INDEX('Inv Simulation - HS2'!$BE56:$BI71,COLUMN(E1),5)</f>
        <v>3</v>
      </c>
      <c r="N48" s="345">
        <f>INDEX('Inv Simulation - HS2'!$BE56:$BI71,COLUMN(F1),5)</f>
        <v>8</v>
      </c>
      <c r="O48" s="345">
        <v>49</v>
      </c>
      <c r="P48" s="346">
        <v>49</v>
      </c>
      <c r="Q48" s="348">
        <v>49</v>
      </c>
      <c r="R48" s="345">
        <v>49</v>
      </c>
      <c r="S48" s="345">
        <v>49</v>
      </c>
      <c r="T48" s="345">
        <v>49</v>
      </c>
      <c r="U48" s="345">
        <v>49</v>
      </c>
      <c r="V48" s="345">
        <v>49</v>
      </c>
      <c r="W48" s="346">
        <v>49</v>
      </c>
      <c r="X48" s="62"/>
      <c r="Y48" s="62"/>
      <c r="Z48" s="62"/>
      <c r="AA48" s="62"/>
    </row>
    <row r="49" spans="2:27" x14ac:dyDescent="0.3">
      <c r="B49" s="325" t="s">
        <v>276</v>
      </c>
      <c r="C49" s="165">
        <f>'Inv Simulation - HS2'!$BJ$53</f>
        <v>3</v>
      </c>
      <c r="G49" s="901"/>
      <c r="H49" s="903" t="s">
        <v>255</v>
      </c>
      <c r="I49" s="375" t="s">
        <v>555</v>
      </c>
      <c r="J49" s="376">
        <f t="shared" ref="J49:W49" si="15">QUOTIENT(J47+$I$8-1,$I$8)</f>
        <v>0</v>
      </c>
      <c r="K49" s="377">
        <f t="shared" si="15"/>
        <v>0</v>
      </c>
      <c r="L49" s="377">
        <f t="shared" si="15"/>
        <v>0</v>
      </c>
      <c r="M49" s="377">
        <f t="shared" si="15"/>
        <v>0</v>
      </c>
      <c r="N49" s="390">
        <f t="shared" si="15"/>
        <v>1</v>
      </c>
      <c r="O49" s="377">
        <f t="shared" si="15"/>
        <v>0</v>
      </c>
      <c r="P49" s="378">
        <f t="shared" si="15"/>
        <v>0</v>
      </c>
      <c r="Q49" s="401">
        <f t="shared" si="15"/>
        <v>0</v>
      </c>
      <c r="R49" s="377">
        <f t="shared" si="15"/>
        <v>0</v>
      </c>
      <c r="S49" s="377">
        <f t="shared" si="15"/>
        <v>0</v>
      </c>
      <c r="T49" s="377">
        <f t="shared" si="15"/>
        <v>0</v>
      </c>
      <c r="U49" s="377">
        <f t="shared" si="15"/>
        <v>0</v>
      </c>
      <c r="V49" s="377">
        <f t="shared" si="15"/>
        <v>0</v>
      </c>
      <c r="W49" s="378">
        <f t="shared" si="15"/>
        <v>0</v>
      </c>
      <c r="X49" s="62"/>
      <c r="Y49" s="62"/>
      <c r="Z49" s="62"/>
      <c r="AA49" s="62"/>
    </row>
    <row r="50" spans="2:27" ht="15" thickBot="1" x14ac:dyDescent="0.35">
      <c r="B50" s="6"/>
      <c r="C50" s="6"/>
      <c r="G50" s="902"/>
      <c r="H50" s="904"/>
      <c r="I50" s="379" t="s">
        <v>556</v>
      </c>
      <c r="J50" s="380">
        <v>0</v>
      </c>
      <c r="K50" s="381">
        <v>0</v>
      </c>
      <c r="L50" s="381">
        <v>0</v>
      </c>
      <c r="M50" s="381">
        <v>0</v>
      </c>
      <c r="N50" s="381">
        <v>0</v>
      </c>
      <c r="O50" s="381">
        <v>0</v>
      </c>
      <c r="P50" s="382">
        <v>0</v>
      </c>
      <c r="Q50" s="402">
        <v>0</v>
      </c>
      <c r="R50" s="381">
        <v>0</v>
      </c>
      <c r="S50" s="381">
        <v>0</v>
      </c>
      <c r="T50" s="381">
        <v>0</v>
      </c>
      <c r="U50" s="381">
        <v>0</v>
      </c>
      <c r="V50" s="381">
        <v>0</v>
      </c>
      <c r="W50" s="382">
        <v>0</v>
      </c>
      <c r="X50" s="62"/>
      <c r="Y50" s="62"/>
      <c r="Z50" s="62"/>
      <c r="AA50" s="62"/>
    </row>
    <row r="51" spans="2:27" ht="14.4" customHeight="1" thickTop="1" x14ac:dyDescent="0.3">
      <c r="D51">
        <v>30</v>
      </c>
      <c r="E51" s="326">
        <v>20</v>
      </c>
      <c r="F51" s="43">
        <f>'Inv Simulation - HS3'!$BF$88</f>
        <v>10</v>
      </c>
      <c r="G51" s="901" t="s">
        <v>392</v>
      </c>
      <c r="H51" s="265" t="s">
        <v>659</v>
      </c>
      <c r="I51" s="338"/>
      <c r="J51" s="341">
        <f>INDEX('Inv Simulation - HS3'!$BE56:$BI71,COLUMN(B1),2)</f>
        <v>0</v>
      </c>
      <c r="K51" s="342">
        <f>INDEX('Inv Simulation - HS3'!$BE56:$BI71,COLUMN(C1),2)</f>
        <v>0</v>
      </c>
      <c r="L51" s="342">
        <f>INDEX('Inv Simulation - HS3'!$BE56:$BI71,COLUMN(D1),2)</f>
        <v>0</v>
      </c>
      <c r="M51" s="342">
        <f>INDEX('Inv Simulation - HS3'!$BE56:$BI71,COLUMN(E1),2)</f>
        <v>0</v>
      </c>
      <c r="N51" s="342">
        <f>INDEX('Inv Simulation - HS3'!$BE56:$BI71,COLUMN(F1),2)</f>
        <v>0</v>
      </c>
      <c r="O51" s="342">
        <f>INDEX('Inv Simulation - HS3'!$BE56:$BI71,COLUMN(G1),2)</f>
        <v>0</v>
      </c>
      <c r="P51" s="343">
        <v>0</v>
      </c>
      <c r="Q51" s="360">
        <v>0</v>
      </c>
      <c r="R51" s="342">
        <v>0</v>
      </c>
      <c r="S51" s="342">
        <v>0</v>
      </c>
      <c r="T51" s="342">
        <v>0</v>
      </c>
      <c r="U51" s="342">
        <v>0</v>
      </c>
      <c r="V51" s="342">
        <v>0</v>
      </c>
      <c r="W51" s="343">
        <v>0</v>
      </c>
      <c r="X51" s="357">
        <f>SUM(J51:S51)</f>
        <v>0</v>
      </c>
      <c r="Y51" s="62">
        <f>D51-E51-X51</f>
        <v>10</v>
      </c>
      <c r="Z51" s="331">
        <f>SUM(T51:W51)</f>
        <v>0</v>
      </c>
      <c r="AA51" s="62">
        <f>F51</f>
        <v>10</v>
      </c>
    </row>
    <row r="52" spans="2:27" x14ac:dyDescent="0.3">
      <c r="B52" s="325" t="s">
        <v>277</v>
      </c>
      <c r="C52" s="165">
        <f>'Inv Simulation - HS3'!$BJ$52</f>
        <v>10</v>
      </c>
      <c r="G52" s="901"/>
      <c r="H52" s="254" t="s">
        <v>94</v>
      </c>
      <c r="I52" s="339">
        <v>6</v>
      </c>
      <c r="J52" s="344">
        <f>INDEX('Inv Simulation - HS3'!$BE56:$BI71,COLUMN(B1),5)</f>
        <v>3</v>
      </c>
      <c r="K52" s="345">
        <f>INDEX('Inv Simulation - HS3'!$BE56:$BI71,COLUMN(C1),5)</f>
        <v>2</v>
      </c>
      <c r="L52" s="345">
        <f>INDEX('Inv Simulation - HS3'!$BE56:$BI71,COLUMN(D1),5)</f>
        <v>2</v>
      </c>
      <c r="M52" s="345">
        <f>INDEX('Inv Simulation - HS3'!$BE56:$BI71,COLUMN(E1),5)</f>
        <v>2</v>
      </c>
      <c r="N52" s="345">
        <f>INDEX('Inv Simulation - HS3'!$BE56:$BI71,COLUMN(F1),5)</f>
        <v>2</v>
      </c>
      <c r="O52" s="345">
        <f>INDEX('Inv Simulation - HS3'!$BE56:$BI71,COLUMN(G1),5)</f>
        <v>2</v>
      </c>
      <c r="P52" s="346">
        <v>6</v>
      </c>
      <c r="Q52" s="348">
        <v>6</v>
      </c>
      <c r="R52" s="345">
        <v>6</v>
      </c>
      <c r="S52" s="345">
        <v>6</v>
      </c>
      <c r="T52" s="345">
        <v>6</v>
      </c>
      <c r="U52" s="345">
        <v>6</v>
      </c>
      <c r="V52" s="345">
        <v>6</v>
      </c>
      <c r="W52" s="346">
        <v>6</v>
      </c>
      <c r="X52" s="62"/>
      <c r="Y52" s="62"/>
      <c r="Z52" s="62"/>
      <c r="AA52" s="62"/>
    </row>
    <row r="53" spans="2:27" x14ac:dyDescent="0.3">
      <c r="B53" s="325" t="s">
        <v>276</v>
      </c>
      <c r="C53" s="165">
        <f>'Inv Simulation - HS3'!BJ82</f>
        <v>0</v>
      </c>
      <c r="G53" s="901"/>
      <c r="H53" s="903" t="s">
        <v>255</v>
      </c>
      <c r="I53" s="375" t="s">
        <v>555</v>
      </c>
      <c r="J53" s="376">
        <v>0</v>
      </c>
      <c r="K53" s="377">
        <v>0</v>
      </c>
      <c r="L53" s="377">
        <v>0</v>
      </c>
      <c r="M53" s="377">
        <v>0</v>
      </c>
      <c r="N53" s="377">
        <v>0</v>
      </c>
      <c r="O53" s="377">
        <v>0</v>
      </c>
      <c r="P53" s="378">
        <v>0</v>
      </c>
      <c r="Q53" s="401">
        <v>0</v>
      </c>
      <c r="R53" s="377">
        <v>0</v>
      </c>
      <c r="S53" s="377">
        <v>0</v>
      </c>
      <c r="T53" s="377">
        <v>0</v>
      </c>
      <c r="U53" s="377">
        <v>0</v>
      </c>
      <c r="V53" s="377">
        <v>0</v>
      </c>
      <c r="W53" s="378">
        <v>0</v>
      </c>
      <c r="X53" s="62"/>
      <c r="Y53" s="62"/>
      <c r="Z53" s="62"/>
      <c r="AA53" s="62"/>
    </row>
    <row r="54" spans="2:27" ht="15" thickBot="1" x14ac:dyDescent="0.35">
      <c r="B54" s="6"/>
      <c r="C54" s="6"/>
      <c r="G54" s="905"/>
      <c r="H54" s="904"/>
      <c r="I54" s="379" t="s">
        <v>556</v>
      </c>
      <c r="J54" s="380">
        <f t="shared" ref="J54:N54" si="16">QUOTIENT(J51+$I$9-1,$I$9)</f>
        <v>0</v>
      </c>
      <c r="K54" s="381">
        <f t="shared" si="16"/>
        <v>0</v>
      </c>
      <c r="L54" s="381">
        <f t="shared" si="16"/>
        <v>0</v>
      </c>
      <c r="M54" s="381">
        <f t="shared" si="16"/>
        <v>0</v>
      </c>
      <c r="N54" s="381">
        <f t="shared" si="16"/>
        <v>0</v>
      </c>
      <c r="O54" s="412">
        <f>QUOTIENT(O51+$I$9-1,$I$9)</f>
        <v>0</v>
      </c>
      <c r="P54" s="382">
        <f t="shared" ref="P54:W54" si="17">QUOTIENT(P51+$I$9-1,$I$9)</f>
        <v>0</v>
      </c>
      <c r="Q54" s="402">
        <f t="shared" si="17"/>
        <v>0</v>
      </c>
      <c r="R54" s="381">
        <f t="shared" si="17"/>
        <v>0</v>
      </c>
      <c r="S54" s="381">
        <f t="shared" si="17"/>
        <v>0</v>
      </c>
      <c r="T54" s="381">
        <f t="shared" si="17"/>
        <v>0</v>
      </c>
      <c r="U54" s="381">
        <f t="shared" si="17"/>
        <v>0</v>
      </c>
      <c r="V54" s="381">
        <f t="shared" si="17"/>
        <v>0</v>
      </c>
      <c r="W54" s="382">
        <f t="shared" si="17"/>
        <v>0</v>
      </c>
      <c r="X54" s="62"/>
      <c r="Y54" s="62"/>
      <c r="Z54" s="62"/>
      <c r="AA54" s="62"/>
    </row>
    <row r="55" spans="2:27" ht="15" customHeight="1" thickTop="1" x14ac:dyDescent="0.3">
      <c r="D55" s="43">
        <f>D40-D43-D47-D51</f>
        <v>74</v>
      </c>
      <c r="E55" s="326">
        <v>30</v>
      </c>
      <c r="F55" s="43">
        <v>69</v>
      </c>
      <c r="G55" s="901" t="s">
        <v>559</v>
      </c>
      <c r="H55" s="265" t="s">
        <v>251</v>
      </c>
      <c r="I55" s="338"/>
      <c r="J55" s="341">
        <v>0</v>
      </c>
      <c r="K55" s="342">
        <v>0</v>
      </c>
      <c r="L55" s="342">
        <v>0</v>
      </c>
      <c r="M55" s="342">
        <v>26</v>
      </c>
      <c r="N55" s="342">
        <v>0</v>
      </c>
      <c r="O55" s="342"/>
      <c r="P55" s="343">
        <v>0</v>
      </c>
      <c r="Q55" s="360">
        <v>18</v>
      </c>
      <c r="R55" s="342">
        <v>0</v>
      </c>
      <c r="S55" s="342">
        <v>0</v>
      </c>
      <c r="T55" s="342">
        <v>0</v>
      </c>
      <c r="U55" s="342">
        <v>26</v>
      </c>
      <c r="V55" s="342">
        <v>0</v>
      </c>
      <c r="W55" s="343">
        <v>0</v>
      </c>
      <c r="X55" s="357">
        <f>SUM(J55:S55)</f>
        <v>44</v>
      </c>
      <c r="Y55" s="62">
        <f>D55-E55-X55</f>
        <v>0</v>
      </c>
      <c r="Z55" s="331">
        <f>SUM(T55:W55)</f>
        <v>26</v>
      </c>
      <c r="AA55" s="62">
        <f>F55</f>
        <v>69</v>
      </c>
    </row>
    <row r="56" spans="2:27" x14ac:dyDescent="0.3">
      <c r="B56" s="325" t="s">
        <v>277</v>
      </c>
      <c r="C56" s="165">
        <f>'Inv Simulation - HS1'!$BJ$52</f>
        <v>20</v>
      </c>
      <c r="G56" s="901"/>
      <c r="H56" s="254" t="s">
        <v>94</v>
      </c>
      <c r="I56" s="339">
        <v>10</v>
      </c>
      <c r="J56" s="344">
        <v>10</v>
      </c>
      <c r="K56" s="345">
        <v>9</v>
      </c>
      <c r="L56" s="345">
        <v>8</v>
      </c>
      <c r="M56" s="345">
        <v>33</v>
      </c>
      <c r="N56" s="345">
        <v>17</v>
      </c>
      <c r="O56" s="345">
        <v>16</v>
      </c>
      <c r="P56" s="346">
        <v>15</v>
      </c>
      <c r="Q56" s="348">
        <v>32</v>
      </c>
      <c r="R56" s="345">
        <v>26</v>
      </c>
      <c r="S56" s="345">
        <v>25</v>
      </c>
      <c r="T56" s="345">
        <v>24</v>
      </c>
      <c r="U56" s="345">
        <v>49</v>
      </c>
      <c r="V56" s="345">
        <v>48</v>
      </c>
      <c r="W56" s="346">
        <v>47</v>
      </c>
      <c r="X56" s="62"/>
      <c r="Y56" s="62"/>
      <c r="Z56" s="62"/>
      <c r="AA56" s="62"/>
    </row>
    <row r="57" spans="2:27" x14ac:dyDescent="0.3">
      <c r="B57" s="325" t="s">
        <v>276</v>
      </c>
      <c r="C57" s="165">
        <f>'Inv Simulation - HS1'!$BJ$53</f>
        <v>3</v>
      </c>
      <c r="G57" s="901"/>
      <c r="H57" s="903" t="s">
        <v>255</v>
      </c>
      <c r="I57" s="375" t="s">
        <v>555</v>
      </c>
      <c r="J57" s="376">
        <f t="shared" ref="J57:W57" si="18">QUOTIENT(J55+$I$8-1,$I$8)</f>
        <v>0</v>
      </c>
      <c r="K57" s="377">
        <f t="shared" si="18"/>
        <v>0</v>
      </c>
      <c r="L57" s="377">
        <f t="shared" si="18"/>
        <v>0</v>
      </c>
      <c r="M57" s="411">
        <f t="shared" si="18"/>
        <v>1</v>
      </c>
      <c r="N57" s="377">
        <f t="shared" si="18"/>
        <v>0</v>
      </c>
      <c r="O57" s="377">
        <f t="shared" si="18"/>
        <v>0</v>
      </c>
      <c r="P57" s="378">
        <f t="shared" si="18"/>
        <v>0</v>
      </c>
      <c r="Q57" s="413">
        <f t="shared" si="18"/>
        <v>1</v>
      </c>
      <c r="R57" s="377">
        <f t="shared" si="18"/>
        <v>0</v>
      </c>
      <c r="S57" s="377">
        <f t="shared" si="18"/>
        <v>0</v>
      </c>
      <c r="T57" s="377">
        <f t="shared" si="18"/>
        <v>0</v>
      </c>
      <c r="U57" s="390">
        <f t="shared" si="18"/>
        <v>1</v>
      </c>
      <c r="V57" s="377">
        <f t="shared" si="18"/>
        <v>0</v>
      </c>
      <c r="W57" s="378">
        <f t="shared" si="18"/>
        <v>0</v>
      </c>
      <c r="X57" s="62"/>
      <c r="Y57" s="62"/>
      <c r="Z57" s="62"/>
      <c r="AA57" s="62"/>
    </row>
    <row r="58" spans="2:27" ht="15" thickBot="1" x14ac:dyDescent="0.35">
      <c r="B58" s="6"/>
      <c r="C58" s="6"/>
      <c r="G58" s="905"/>
      <c r="H58" s="904"/>
      <c r="I58" s="379" t="s">
        <v>556</v>
      </c>
      <c r="J58" s="380">
        <v>0</v>
      </c>
      <c r="K58" s="381">
        <v>0</v>
      </c>
      <c r="L58" s="381">
        <v>0</v>
      </c>
      <c r="M58" s="381">
        <v>0</v>
      </c>
      <c r="N58" s="381">
        <v>0</v>
      </c>
      <c r="O58" s="381">
        <v>0</v>
      </c>
      <c r="P58" s="382">
        <v>0</v>
      </c>
      <c r="Q58" s="402">
        <v>0</v>
      </c>
      <c r="R58" s="381">
        <v>0</v>
      </c>
      <c r="S58" s="381">
        <v>0</v>
      </c>
      <c r="T58" s="381">
        <v>0</v>
      </c>
      <c r="U58" s="381">
        <v>0</v>
      </c>
      <c r="V58" s="381">
        <v>0</v>
      </c>
      <c r="W58" s="382">
        <v>0</v>
      </c>
      <c r="X58" s="62"/>
      <c r="Y58" s="62"/>
      <c r="Z58" s="62"/>
      <c r="AA58" s="62"/>
    </row>
    <row r="59" spans="2:27" s="6" customFormat="1" ht="15" thickTop="1" x14ac:dyDescent="0.3">
      <c r="F59" s="43"/>
      <c r="G59" s="245"/>
      <c r="H59" s="246"/>
      <c r="I59" s="15"/>
      <c r="J59" s="272"/>
      <c r="K59" s="247"/>
      <c r="L59" s="247"/>
      <c r="M59" s="247"/>
      <c r="N59" s="247"/>
      <c r="O59" s="247"/>
      <c r="P59" s="273"/>
      <c r="Q59" s="247"/>
      <c r="R59" s="247"/>
      <c r="S59" s="247"/>
      <c r="T59" s="247"/>
      <c r="U59" s="247"/>
      <c r="V59" s="247"/>
      <c r="W59" s="273"/>
      <c r="X59" s="227"/>
      <c r="Y59" s="227"/>
      <c r="Z59" s="227"/>
      <c r="AA59" s="227"/>
    </row>
    <row r="60" spans="2:27" s="6" customFormat="1" ht="28.8" customHeight="1" x14ac:dyDescent="0.3">
      <c r="G60" s="359" t="s">
        <v>550</v>
      </c>
      <c r="H60" s="909" t="s">
        <v>560</v>
      </c>
      <c r="I60" s="383" t="s">
        <v>555</v>
      </c>
      <c r="J60" s="384">
        <f t="shared" ref="J60:L60" si="19">J45+J49+J53+J57</f>
        <v>0</v>
      </c>
      <c r="K60" s="385">
        <f t="shared" si="19"/>
        <v>0</v>
      </c>
      <c r="L60" s="410">
        <f t="shared" si="19"/>
        <v>1</v>
      </c>
      <c r="M60" s="410">
        <f>M45+M49+M53+M57</f>
        <v>1</v>
      </c>
      <c r="N60" s="385">
        <f t="shared" ref="N60:W60" si="20">N45+N49+N53+N57</f>
        <v>2</v>
      </c>
      <c r="O60" s="385">
        <f t="shared" si="20"/>
        <v>0</v>
      </c>
      <c r="P60" s="386">
        <f t="shared" si="20"/>
        <v>0</v>
      </c>
      <c r="Q60" s="403">
        <f t="shared" si="20"/>
        <v>1</v>
      </c>
      <c r="R60" s="385">
        <f t="shared" si="20"/>
        <v>0</v>
      </c>
      <c r="S60" s="385">
        <f t="shared" si="20"/>
        <v>0</v>
      </c>
      <c r="T60" s="385">
        <f t="shared" si="20"/>
        <v>0</v>
      </c>
      <c r="U60" s="385">
        <f t="shared" si="20"/>
        <v>1</v>
      </c>
      <c r="V60" s="385">
        <f t="shared" si="20"/>
        <v>0</v>
      </c>
      <c r="W60" s="386">
        <f t="shared" si="20"/>
        <v>0</v>
      </c>
      <c r="X60" s="361">
        <f>SUM(J60:W60)</f>
        <v>6</v>
      </c>
    </row>
    <row r="61" spans="2:27" s="6" customFormat="1" ht="15" thickBot="1" x14ac:dyDescent="0.35">
      <c r="G61" s="358"/>
      <c r="H61" s="909"/>
      <c r="I61" s="383" t="s">
        <v>556</v>
      </c>
      <c r="J61" s="387">
        <f t="shared" ref="J61:N61" si="21">J46+J50+J54+J58</f>
        <v>0</v>
      </c>
      <c r="K61" s="388">
        <f t="shared" si="21"/>
        <v>0</v>
      </c>
      <c r="L61" s="388">
        <f t="shared" si="21"/>
        <v>0</v>
      </c>
      <c r="M61" s="388">
        <f t="shared" si="21"/>
        <v>0</v>
      </c>
      <c r="N61" s="388">
        <f t="shared" si="21"/>
        <v>0</v>
      </c>
      <c r="O61" s="388">
        <f>O46+O50+O54+O58</f>
        <v>0</v>
      </c>
      <c r="P61" s="389">
        <f t="shared" ref="P61:W61" si="22">P46+P50+P54+P58</f>
        <v>0</v>
      </c>
      <c r="Q61" s="404">
        <f t="shared" si="22"/>
        <v>0</v>
      </c>
      <c r="R61" s="388">
        <f t="shared" si="22"/>
        <v>0</v>
      </c>
      <c r="S61" s="388">
        <f t="shared" si="22"/>
        <v>0</v>
      </c>
      <c r="T61" s="388">
        <f t="shared" si="22"/>
        <v>0</v>
      </c>
      <c r="U61" s="388">
        <f t="shared" si="22"/>
        <v>0</v>
      </c>
      <c r="V61" s="388">
        <f t="shared" si="22"/>
        <v>0</v>
      </c>
      <c r="W61" s="389">
        <f t="shared" si="22"/>
        <v>0</v>
      </c>
      <c r="X61" s="361">
        <f>SUM(J61:W61)</f>
        <v>0</v>
      </c>
    </row>
    <row r="62" spans="2:27" s="6" customFormat="1" x14ac:dyDescent="0.3">
      <c r="F62" s="248"/>
      <c r="G62" s="245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</row>
    <row r="63" spans="2:27" s="6" customFormat="1" x14ac:dyDescent="0.3">
      <c r="F63" s="248"/>
      <c r="G63" s="245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</row>
    <row r="64" spans="2:27" s="6" customFormat="1" x14ac:dyDescent="0.3">
      <c r="F64" s="248"/>
      <c r="G64" s="245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</row>
    <row r="65" spans="1:25" s="6" customFormat="1" x14ac:dyDescent="0.3">
      <c r="F65" s="248"/>
      <c r="G65" s="245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</row>
    <row r="66" spans="1:25" s="6" customFormat="1" x14ac:dyDescent="0.3">
      <c r="F66" s="248"/>
      <c r="G66" s="245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</row>
    <row r="67" spans="1:25" s="6" customFormat="1" x14ac:dyDescent="0.3">
      <c r="F67" s="248"/>
      <c r="G67" s="245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</row>
    <row r="68" spans="1:25" s="6" customFormat="1" x14ac:dyDescent="0.3">
      <c r="F68" s="248"/>
      <c r="G68" s="245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</row>
    <row r="69" spans="1:25" s="6" customFormat="1" x14ac:dyDescent="0.3">
      <c r="B69" s="232" t="s">
        <v>564</v>
      </c>
      <c r="G69" s="245"/>
      <c r="H69" s="246"/>
      <c r="I69" s="246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</row>
    <row r="70" spans="1:25" s="6" customFormat="1" ht="57.6" x14ac:dyDescent="0.3">
      <c r="B70" s="6" t="s">
        <v>552</v>
      </c>
      <c r="G70" s="245" t="s">
        <v>395</v>
      </c>
      <c r="H70" s="246" t="s">
        <v>396</v>
      </c>
      <c r="I70" s="15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</row>
    <row r="71" spans="1:25" s="6" customFormat="1" x14ac:dyDescent="0.3">
      <c r="B71" s="6" t="s">
        <v>554</v>
      </c>
      <c r="G71" s="245"/>
      <c r="H71" s="246"/>
      <c r="I71" s="15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</row>
    <row r="72" spans="1:25" s="6" customFormat="1" x14ac:dyDescent="0.3">
      <c r="B72" s="6" t="s">
        <v>553</v>
      </c>
      <c r="G72" s="917" t="s">
        <v>333</v>
      </c>
      <c r="H72" s="165" t="s">
        <v>253</v>
      </c>
      <c r="I72" s="244">
        <v>50000</v>
      </c>
      <c r="J72" s="4">
        <v>47453</v>
      </c>
      <c r="K72" s="4">
        <v>47818</v>
      </c>
      <c r="L72" s="4">
        <v>48183</v>
      </c>
      <c r="M72" s="4">
        <v>36892</v>
      </c>
      <c r="N72" s="4">
        <v>37257</v>
      </c>
      <c r="O72" s="4">
        <v>37622</v>
      </c>
      <c r="P72" s="4">
        <v>37987</v>
      </c>
      <c r="Q72" s="4">
        <v>38353</v>
      </c>
      <c r="R72" s="4">
        <v>38718</v>
      </c>
      <c r="S72" s="4">
        <v>39083</v>
      </c>
      <c r="T72" s="4">
        <v>39448</v>
      </c>
      <c r="U72" s="4">
        <v>39814</v>
      </c>
      <c r="V72" s="4">
        <v>40179</v>
      </c>
      <c r="W72" s="4">
        <v>40544</v>
      </c>
    </row>
    <row r="73" spans="1:25" s="6" customFormat="1" ht="15" thickBot="1" x14ac:dyDescent="0.35">
      <c r="G73" s="918"/>
      <c r="H73" s="165" t="s">
        <v>254</v>
      </c>
      <c r="I73" s="224">
        <v>500</v>
      </c>
      <c r="J73" s="915" t="s">
        <v>319</v>
      </c>
      <c r="K73" s="915"/>
      <c r="L73" s="915"/>
      <c r="M73" s="915"/>
      <c r="N73" s="915"/>
      <c r="O73" s="915"/>
      <c r="P73" s="915"/>
      <c r="Q73" s="916" t="s">
        <v>320</v>
      </c>
      <c r="R73" s="916"/>
      <c r="S73" s="916"/>
      <c r="T73" s="916"/>
      <c r="U73" s="916"/>
      <c r="V73" s="916"/>
      <c r="W73" s="916"/>
    </row>
    <row r="74" spans="1:25" ht="57.6" x14ac:dyDescent="0.3">
      <c r="F74" s="241" t="s">
        <v>365</v>
      </c>
      <c r="J74" s="274" t="s">
        <v>49</v>
      </c>
      <c r="K74" s="275" t="s">
        <v>50</v>
      </c>
      <c r="L74" s="275" t="s">
        <v>51</v>
      </c>
      <c r="M74" s="275" t="s">
        <v>308</v>
      </c>
      <c r="N74" s="275" t="s">
        <v>309</v>
      </c>
      <c r="O74" s="275" t="s">
        <v>310</v>
      </c>
      <c r="P74" s="276" t="s">
        <v>311</v>
      </c>
      <c r="Q74" s="277" t="s">
        <v>312</v>
      </c>
      <c r="R74" s="278" t="s">
        <v>313</v>
      </c>
      <c r="S74" s="278" t="s">
        <v>314</v>
      </c>
      <c r="T74" s="278" t="s">
        <v>315</v>
      </c>
      <c r="U74" s="278" t="s">
        <v>316</v>
      </c>
      <c r="V74" s="278" t="s">
        <v>317</v>
      </c>
      <c r="W74" s="279" t="s">
        <v>318</v>
      </c>
      <c r="X74" s="250" t="s">
        <v>159</v>
      </c>
      <c r="Y74" s="250" t="s">
        <v>160</v>
      </c>
    </row>
    <row r="75" spans="1:25" ht="14.4" customHeight="1" x14ac:dyDescent="0.3">
      <c r="A75" s="62">
        <v>60000</v>
      </c>
      <c r="B75" s="62"/>
      <c r="C75" s="62"/>
      <c r="D75" s="62"/>
      <c r="E75" s="62"/>
      <c r="F75" s="62"/>
      <c r="G75" s="920" t="s">
        <v>338</v>
      </c>
      <c r="H75" s="236" t="s">
        <v>251</v>
      </c>
      <c r="I75" s="87"/>
      <c r="J75" s="251"/>
      <c r="K75" s="242"/>
      <c r="L75" s="242">
        <v>30000</v>
      </c>
      <c r="M75" s="242"/>
      <c r="N75" s="242"/>
      <c r="O75" s="242"/>
      <c r="P75" s="252"/>
      <c r="Q75" s="251"/>
      <c r="R75" s="242">
        <v>30000</v>
      </c>
      <c r="S75" s="242"/>
      <c r="T75" s="242"/>
      <c r="U75" s="242"/>
      <c r="V75" s="242"/>
      <c r="W75" s="253"/>
      <c r="X75" s="62">
        <f>SUM(J75:W75)</f>
        <v>60000</v>
      </c>
      <c r="Y75" s="62">
        <f>F75-X75</f>
        <v>-60000</v>
      </c>
    </row>
    <row r="76" spans="1:25" ht="14.4" customHeight="1" x14ac:dyDescent="0.3">
      <c r="A76" s="62"/>
      <c r="B76" s="62"/>
      <c r="C76" s="62"/>
      <c r="D76" s="62"/>
      <c r="E76" s="62"/>
      <c r="F76" s="62"/>
      <c r="G76" s="921"/>
      <c r="H76" s="236" t="s">
        <v>336</v>
      </c>
      <c r="I76" s="87"/>
      <c r="J76" s="251"/>
      <c r="K76" s="242"/>
      <c r="L76" s="242"/>
      <c r="M76" s="242">
        <v>10000</v>
      </c>
      <c r="N76" s="242">
        <v>10000</v>
      </c>
      <c r="O76" s="242">
        <v>10000</v>
      </c>
      <c r="P76" s="252"/>
      <c r="Q76" s="251"/>
      <c r="R76" s="242"/>
      <c r="S76" s="242">
        <v>10000</v>
      </c>
      <c r="T76" s="242">
        <v>10000</v>
      </c>
      <c r="U76" s="242">
        <v>10000</v>
      </c>
      <c r="V76" s="242"/>
      <c r="W76" s="253"/>
      <c r="X76" s="62">
        <f>SUM(J76:W76)</f>
        <v>60000</v>
      </c>
      <c r="Y76" s="62"/>
    </row>
    <row r="77" spans="1:25" x14ac:dyDescent="0.3">
      <c r="A77" s="62"/>
      <c r="B77" s="62"/>
      <c r="C77" s="62"/>
      <c r="D77" s="62"/>
      <c r="E77" s="62"/>
      <c r="F77" s="62"/>
      <c r="G77" s="922"/>
      <c r="H77" s="236" t="s">
        <v>94</v>
      </c>
      <c r="I77" s="87">
        <v>0</v>
      </c>
      <c r="J77" s="251">
        <f>J75+I77</f>
        <v>0</v>
      </c>
      <c r="K77" s="242">
        <f t="shared" ref="K77" si="23">K75+J77</f>
        <v>0</v>
      </c>
      <c r="L77" s="242">
        <f>L76+K77</f>
        <v>0</v>
      </c>
      <c r="M77" s="242">
        <f>M76+L77-M78</f>
        <v>10000</v>
      </c>
      <c r="N77" s="242">
        <f t="shared" ref="N77:W77" si="24">N76+M77-N78</f>
        <v>10000</v>
      </c>
      <c r="O77" s="242">
        <f t="shared" si="24"/>
        <v>10000</v>
      </c>
      <c r="P77" s="252">
        <f t="shared" si="24"/>
        <v>0</v>
      </c>
      <c r="Q77" s="251">
        <f t="shared" si="24"/>
        <v>0</v>
      </c>
      <c r="R77" s="242">
        <f t="shared" si="24"/>
        <v>0</v>
      </c>
      <c r="S77" s="242">
        <f t="shared" si="24"/>
        <v>10000</v>
      </c>
      <c r="T77" s="242">
        <f t="shared" si="24"/>
        <v>10000</v>
      </c>
      <c r="U77" s="242">
        <f t="shared" si="24"/>
        <v>10000</v>
      </c>
      <c r="V77" s="242">
        <f t="shared" si="24"/>
        <v>0</v>
      </c>
      <c r="W77" s="253">
        <f t="shared" si="24"/>
        <v>0</v>
      </c>
    </row>
    <row r="78" spans="1:25" x14ac:dyDescent="0.3">
      <c r="A78" s="62">
        <v>60000</v>
      </c>
      <c r="B78" s="62"/>
      <c r="C78" s="62"/>
      <c r="D78" s="62"/>
      <c r="E78" s="62"/>
      <c r="F78" s="62"/>
      <c r="G78" s="923" t="s">
        <v>335</v>
      </c>
      <c r="H78" s="254" t="s">
        <v>251</v>
      </c>
      <c r="I78" s="255"/>
      <c r="J78" s="256"/>
      <c r="K78" s="257"/>
      <c r="L78" s="257"/>
      <c r="M78" s="257"/>
      <c r="N78" s="257">
        <v>10000</v>
      </c>
      <c r="O78" s="257">
        <v>10000</v>
      </c>
      <c r="P78" s="258">
        <v>10000</v>
      </c>
      <c r="Q78" s="256"/>
      <c r="R78" s="257"/>
      <c r="S78" s="257"/>
      <c r="T78" s="257">
        <v>10000</v>
      </c>
      <c r="U78" s="257">
        <v>10000</v>
      </c>
      <c r="V78" s="257">
        <v>10000</v>
      </c>
      <c r="W78" s="259"/>
    </row>
    <row r="79" spans="1:25" x14ac:dyDescent="0.3">
      <c r="A79" s="62"/>
      <c r="B79" s="62"/>
      <c r="C79" s="62"/>
      <c r="D79" s="62"/>
      <c r="E79" s="62"/>
      <c r="F79" s="62"/>
      <c r="G79" s="901"/>
      <c r="H79" s="254" t="s">
        <v>94</v>
      </c>
      <c r="I79" s="255">
        <v>0</v>
      </c>
      <c r="J79" s="256">
        <f t="shared" ref="J79:K79" si="25">J78+I79</f>
        <v>0</v>
      </c>
      <c r="K79" s="257">
        <f t="shared" si="25"/>
        <v>0</v>
      </c>
      <c r="L79" s="257">
        <f t="shared" ref="L79" si="26">L78+K79</f>
        <v>0</v>
      </c>
      <c r="M79" s="257">
        <f t="shared" ref="M79" si="27">M78+L79</f>
        <v>0</v>
      </c>
      <c r="N79" s="257">
        <f>N78+M79-N82-N85-N88-N92-N95-N98</f>
        <v>0</v>
      </c>
      <c r="O79" s="257">
        <f t="shared" ref="O79:W79" si="28">O78+N79-O82-O85-O88-O92-O95-O98</f>
        <v>0</v>
      </c>
      <c r="P79" s="258">
        <f t="shared" si="28"/>
        <v>0</v>
      </c>
      <c r="Q79" s="256">
        <f t="shared" si="28"/>
        <v>0</v>
      </c>
      <c r="R79" s="257">
        <f t="shared" si="28"/>
        <v>0</v>
      </c>
      <c r="S79" s="257">
        <f t="shared" si="28"/>
        <v>0</v>
      </c>
      <c r="T79" s="257">
        <f t="shared" si="28"/>
        <v>0</v>
      </c>
      <c r="U79" s="257">
        <f t="shared" si="28"/>
        <v>800</v>
      </c>
      <c r="V79" s="257">
        <f t="shared" si="28"/>
        <v>700</v>
      </c>
      <c r="W79" s="259">
        <f t="shared" si="28"/>
        <v>700</v>
      </c>
    </row>
    <row r="80" spans="1:25" ht="15" thickBot="1" x14ac:dyDescent="0.35">
      <c r="A80" s="62"/>
      <c r="B80" s="62"/>
      <c r="C80" s="62"/>
      <c r="D80" s="62"/>
      <c r="E80" s="62"/>
      <c r="F80" s="62"/>
      <c r="G80" s="905"/>
      <c r="H80" s="260" t="s">
        <v>255</v>
      </c>
      <c r="I80" s="255"/>
      <c r="J80" s="261" t="e">
        <f>QUOTIENT(J78+$I$7-1,$I$7)</f>
        <v>#DIV/0!</v>
      </c>
      <c r="K80" s="262" t="e">
        <f>QUOTIENT(K78+$I$7-1,$I$7)</f>
        <v>#DIV/0!</v>
      </c>
      <c r="L80" s="262" t="e">
        <f>QUOTIENT(L78+$I$7-1,$I$7)</f>
        <v>#DIV/0!</v>
      </c>
      <c r="M80" s="262">
        <f>QUOTIENT(M78+$I$72-1,$I$72)</f>
        <v>0</v>
      </c>
      <c r="N80" s="262">
        <f>QUOTIENT(N78+$I$72-1,$I$72)</f>
        <v>1</v>
      </c>
      <c r="O80" s="262">
        <f t="shared" ref="O80:W80" si="29">QUOTIENT(O78+$I$72-1,$I$72)</f>
        <v>1</v>
      </c>
      <c r="P80" s="263">
        <f t="shared" si="29"/>
        <v>1</v>
      </c>
      <c r="Q80" s="261">
        <f t="shared" si="29"/>
        <v>0</v>
      </c>
      <c r="R80" s="262">
        <f t="shared" si="29"/>
        <v>0</v>
      </c>
      <c r="S80" s="262">
        <f t="shared" si="29"/>
        <v>0</v>
      </c>
      <c r="T80" s="262">
        <f t="shared" si="29"/>
        <v>1</v>
      </c>
      <c r="U80" s="262">
        <f t="shared" si="29"/>
        <v>1</v>
      </c>
      <c r="V80" s="262">
        <f t="shared" si="29"/>
        <v>1</v>
      </c>
      <c r="W80" s="264">
        <f t="shared" si="29"/>
        <v>0</v>
      </c>
      <c r="X80" t="e">
        <f>SUM(J80:W80)</f>
        <v>#DIV/0!</v>
      </c>
    </row>
    <row r="81" spans="1:25" x14ac:dyDescent="0.3">
      <c r="F81" s="62"/>
      <c r="G81" s="40" t="s">
        <v>59</v>
      </c>
      <c r="I81" s="15"/>
      <c r="J81" s="272"/>
      <c r="K81" s="247"/>
      <c r="L81" s="247"/>
      <c r="M81" s="247"/>
      <c r="N81" s="247"/>
      <c r="O81" s="247"/>
      <c r="P81" s="273"/>
      <c r="Q81" s="272"/>
      <c r="R81" s="247"/>
      <c r="S81" s="247"/>
      <c r="T81" s="247"/>
      <c r="U81" s="247"/>
      <c r="V81" s="247"/>
      <c r="W81" s="273" t="s">
        <v>66</v>
      </c>
      <c r="X81" s="248">
        <f>X75</f>
        <v>60000</v>
      </c>
      <c r="Y81" s="6"/>
    </row>
    <row r="82" spans="1:25" x14ac:dyDescent="0.3">
      <c r="A82">
        <v>16000</v>
      </c>
      <c r="F82" s="62"/>
      <c r="G82" s="924" t="s">
        <v>337</v>
      </c>
      <c r="H82" s="267" t="s">
        <v>251</v>
      </c>
      <c r="I82" s="268"/>
      <c r="J82" s="269"/>
      <c r="K82" s="270"/>
      <c r="L82" s="270"/>
      <c r="M82" s="270"/>
      <c r="N82" s="270">
        <v>5000</v>
      </c>
      <c r="O82" s="270"/>
      <c r="P82" s="271">
        <v>3000</v>
      </c>
      <c r="Q82" s="269"/>
      <c r="R82" s="270"/>
      <c r="S82" s="270"/>
      <c r="T82" s="270">
        <v>4900</v>
      </c>
      <c r="U82" s="270"/>
      <c r="V82" s="270">
        <v>3100</v>
      </c>
      <c r="W82" s="271"/>
      <c r="X82" s="62">
        <f>SUM(J82:W82)</f>
        <v>16000</v>
      </c>
      <c r="Y82" s="62">
        <f>F82-X82</f>
        <v>-16000</v>
      </c>
    </row>
    <row r="83" spans="1:25" x14ac:dyDescent="0.3">
      <c r="F83" s="62"/>
      <c r="G83" s="925"/>
      <c r="H83" s="267" t="s">
        <v>94</v>
      </c>
      <c r="I83" s="268">
        <v>0</v>
      </c>
      <c r="J83" s="269">
        <f t="shared" ref="J83" si="30">J82+I83</f>
        <v>0</v>
      </c>
      <c r="K83" s="270">
        <f t="shared" ref="K83" si="31">K82+J83</f>
        <v>0</v>
      </c>
      <c r="L83" s="270">
        <f t="shared" ref="L83" si="32">L82+K83</f>
        <v>0</v>
      </c>
      <c r="M83" s="270">
        <f t="shared" ref="M83" si="33">M82+L83</f>
        <v>0</v>
      </c>
      <c r="N83" s="270">
        <f t="shared" ref="N83" si="34">N82+M83</f>
        <v>5000</v>
      </c>
      <c r="O83" s="270"/>
      <c r="P83" s="271">
        <f t="shared" ref="P83" si="35">P82+O83</f>
        <v>3000</v>
      </c>
      <c r="Q83" s="269">
        <f t="shared" ref="Q83" si="36">Q82+P83</f>
        <v>3000</v>
      </c>
      <c r="R83" s="270">
        <f t="shared" ref="R83" si="37">R82+Q83</f>
        <v>3000</v>
      </c>
      <c r="S83" s="270">
        <f t="shared" ref="S83" si="38">S82+R83</f>
        <v>3000</v>
      </c>
      <c r="T83" s="270">
        <f t="shared" ref="T83" si="39">T82+S83</f>
        <v>7900</v>
      </c>
      <c r="U83" s="270">
        <f t="shared" ref="U83" si="40">U82+T83</f>
        <v>7900</v>
      </c>
      <c r="V83" s="270">
        <f t="shared" ref="V83" si="41">V82+U83</f>
        <v>11000</v>
      </c>
      <c r="W83" s="271">
        <f t="shared" ref="W83" si="42">W82+V83</f>
        <v>11000</v>
      </c>
      <c r="X83" s="248"/>
      <c r="Y83" s="6"/>
    </row>
    <row r="84" spans="1:25" ht="15" thickBot="1" x14ac:dyDescent="0.35">
      <c r="F84" s="62"/>
      <c r="G84" s="926"/>
      <c r="H84" s="280" t="s">
        <v>255</v>
      </c>
      <c r="I84" s="281"/>
      <c r="J84" s="282" t="e">
        <f>QUOTIENT(J82+$I$7-1,$I$7)</f>
        <v>#DIV/0!</v>
      </c>
      <c r="K84" s="283" t="e">
        <f>QUOTIENT(K82+$I$7-1,$I$7)</f>
        <v>#DIV/0!</v>
      </c>
      <c r="L84" s="283" t="e">
        <f>QUOTIENT(L82+$I$7-1,$I$7)</f>
        <v>#DIV/0!</v>
      </c>
      <c r="M84" s="283">
        <f>QUOTIENT(M82+$I$72-1,$I$72)</f>
        <v>0</v>
      </c>
      <c r="N84" s="283">
        <f>QUOTIENT(N82+$I$72-1,$I$72)</f>
        <v>1</v>
      </c>
      <c r="O84" s="283">
        <f t="shared" ref="O84:W84" si="43">QUOTIENT(O82+$I$72-1,$I$72)</f>
        <v>0</v>
      </c>
      <c r="P84" s="284">
        <f t="shared" si="43"/>
        <v>1</v>
      </c>
      <c r="Q84" s="282">
        <f t="shared" si="43"/>
        <v>0</v>
      </c>
      <c r="R84" s="283">
        <f t="shared" si="43"/>
        <v>0</v>
      </c>
      <c r="S84" s="283">
        <f t="shared" si="43"/>
        <v>0</v>
      </c>
      <c r="T84" s="283">
        <f t="shared" si="43"/>
        <v>1</v>
      </c>
      <c r="U84" s="283">
        <f t="shared" si="43"/>
        <v>0</v>
      </c>
      <c r="V84" s="283">
        <f t="shared" si="43"/>
        <v>1</v>
      </c>
      <c r="W84" s="284">
        <f t="shared" si="43"/>
        <v>0</v>
      </c>
      <c r="X84" s="248"/>
      <c r="Y84" s="6"/>
    </row>
    <row r="85" spans="1:25" ht="15" thickTop="1" x14ac:dyDescent="0.3">
      <c r="A85">
        <v>8500</v>
      </c>
      <c r="F85" s="62"/>
      <c r="G85" s="927" t="s">
        <v>233</v>
      </c>
      <c r="H85" s="285" t="s">
        <v>251</v>
      </c>
      <c r="I85" s="286"/>
      <c r="J85" s="287"/>
      <c r="K85" s="288"/>
      <c r="L85" s="288"/>
      <c r="M85" s="288"/>
      <c r="N85" s="288">
        <v>3000</v>
      </c>
      <c r="O85" s="288"/>
      <c r="P85" s="289">
        <v>2000</v>
      </c>
      <c r="Q85" s="287"/>
      <c r="R85" s="288"/>
      <c r="S85" s="288"/>
      <c r="T85" s="288">
        <v>3500</v>
      </c>
      <c r="U85" s="288"/>
      <c r="V85" s="288"/>
      <c r="W85" s="289"/>
      <c r="X85" s="62">
        <f>SUM(J85:W85)</f>
        <v>8500</v>
      </c>
      <c r="Y85" s="62">
        <f>F85-X85</f>
        <v>-8500</v>
      </c>
    </row>
    <row r="86" spans="1:25" x14ac:dyDescent="0.3">
      <c r="F86" s="62"/>
      <c r="G86" s="925"/>
      <c r="H86" s="267" t="s">
        <v>94</v>
      </c>
      <c r="I86" s="268">
        <v>0</v>
      </c>
      <c r="J86" s="269">
        <f t="shared" ref="J86" si="44">J85+I86</f>
        <v>0</v>
      </c>
      <c r="K86" s="270">
        <f t="shared" ref="K86" si="45">K85+J86</f>
        <v>0</v>
      </c>
      <c r="L86" s="270">
        <f t="shared" ref="L86" si="46">L85+K86</f>
        <v>0</v>
      </c>
      <c r="M86" s="270">
        <f t="shared" ref="M86" si="47">M85+L86</f>
        <v>0</v>
      </c>
      <c r="N86" s="270">
        <f t="shared" ref="N86" si="48">N85+M86</f>
        <v>3000</v>
      </c>
      <c r="O86" s="270">
        <f t="shared" ref="O86" si="49">O85+N86</f>
        <v>3000</v>
      </c>
      <c r="P86" s="271">
        <f t="shared" ref="P86" si="50">P85+O86</f>
        <v>5000</v>
      </c>
      <c r="Q86" s="269">
        <f t="shared" ref="Q86" si="51">Q85+P86</f>
        <v>5000</v>
      </c>
      <c r="R86" s="270">
        <f t="shared" ref="R86" si="52">R85+Q86</f>
        <v>5000</v>
      </c>
      <c r="S86" s="270">
        <f t="shared" ref="S86" si="53">S85+R86</f>
        <v>5000</v>
      </c>
      <c r="T86" s="270">
        <f t="shared" ref="T86" si="54">T85+S86</f>
        <v>8500</v>
      </c>
      <c r="U86" s="270">
        <f t="shared" ref="U86" si="55">U85+T86</f>
        <v>8500</v>
      </c>
      <c r="V86" s="270">
        <f t="shared" ref="V86" si="56">V85+U86</f>
        <v>8500</v>
      </c>
      <c r="W86" s="271">
        <f t="shared" ref="W86" si="57">W85+V86</f>
        <v>8500</v>
      </c>
      <c r="X86" s="248"/>
      <c r="Y86" s="6"/>
    </row>
    <row r="87" spans="1:25" ht="15" thickBot="1" x14ac:dyDescent="0.35">
      <c r="F87" s="62"/>
      <c r="G87" s="926"/>
      <c r="H87" s="280" t="s">
        <v>255</v>
      </c>
      <c r="I87" s="281"/>
      <c r="J87" s="282" t="e">
        <f>QUOTIENT(J85+$I$7-1,$I$7)</f>
        <v>#DIV/0!</v>
      </c>
      <c r="K87" s="283" t="e">
        <f>QUOTIENT(K85+$I$7-1,$I$7)</f>
        <v>#DIV/0!</v>
      </c>
      <c r="L87" s="283" t="e">
        <f>QUOTIENT(L85+$I$7-1,$I$7)</f>
        <v>#DIV/0!</v>
      </c>
      <c r="M87" s="283">
        <f>QUOTIENT(M85+$I$72-1,$I$72)</f>
        <v>0</v>
      </c>
      <c r="N87" s="283">
        <f>QUOTIENT(N85+$I$72-1,$I$72)</f>
        <v>1</v>
      </c>
      <c r="O87" s="283">
        <f t="shared" ref="O87:W87" si="58">QUOTIENT(O85+$I$72-1,$I$72)</f>
        <v>0</v>
      </c>
      <c r="P87" s="284">
        <f t="shared" si="58"/>
        <v>1</v>
      </c>
      <c r="Q87" s="282">
        <f t="shared" si="58"/>
        <v>0</v>
      </c>
      <c r="R87" s="283">
        <f t="shared" si="58"/>
        <v>0</v>
      </c>
      <c r="S87" s="283">
        <f t="shared" si="58"/>
        <v>0</v>
      </c>
      <c r="T87" s="283">
        <f t="shared" si="58"/>
        <v>1</v>
      </c>
      <c r="U87" s="283">
        <f t="shared" si="58"/>
        <v>0</v>
      </c>
      <c r="V87" s="283">
        <f t="shared" si="58"/>
        <v>0</v>
      </c>
      <c r="W87" s="284">
        <f t="shared" si="58"/>
        <v>0</v>
      </c>
      <c r="X87" s="248"/>
      <c r="Y87" s="6"/>
    </row>
    <row r="88" spans="1:25" ht="15" thickTop="1" x14ac:dyDescent="0.3">
      <c r="A88">
        <v>3600</v>
      </c>
      <c r="F88" s="62"/>
      <c r="G88" s="927" t="s">
        <v>228</v>
      </c>
      <c r="H88" s="285" t="s">
        <v>251</v>
      </c>
      <c r="I88" s="286"/>
      <c r="J88" s="287"/>
      <c r="K88" s="288"/>
      <c r="L88" s="288"/>
      <c r="M88" s="288"/>
      <c r="N88" s="288">
        <v>2000</v>
      </c>
      <c r="O88" s="288"/>
      <c r="P88" s="289"/>
      <c r="Q88" s="287"/>
      <c r="R88" s="288"/>
      <c r="S88" s="288"/>
      <c r="T88" s="288">
        <v>1600</v>
      </c>
      <c r="U88" s="288"/>
      <c r="V88" s="288"/>
      <c r="W88" s="289"/>
      <c r="X88" s="62">
        <f>SUM(J88:W88)</f>
        <v>3600</v>
      </c>
      <c r="Y88" s="62">
        <f>F88-X88</f>
        <v>-3600</v>
      </c>
    </row>
    <row r="89" spans="1:25" x14ac:dyDescent="0.3">
      <c r="F89" s="62"/>
      <c r="G89" s="925"/>
      <c r="H89" s="267" t="s">
        <v>94</v>
      </c>
      <c r="I89" s="268">
        <v>0</v>
      </c>
      <c r="J89" s="269">
        <f t="shared" ref="J89" si="59">J88+I89</f>
        <v>0</v>
      </c>
      <c r="K89" s="270">
        <f t="shared" ref="K89" si="60">K88+J89</f>
        <v>0</v>
      </c>
      <c r="L89" s="270">
        <f t="shared" ref="L89" si="61">L88+K89</f>
        <v>0</v>
      </c>
      <c r="M89" s="270">
        <f t="shared" ref="M89" si="62">M88+L89</f>
        <v>0</v>
      </c>
      <c r="N89" s="270">
        <f t="shared" ref="N89" si="63">N88+M89</f>
        <v>2000</v>
      </c>
      <c r="O89" s="270">
        <f t="shared" ref="O89" si="64">O88+N89</f>
        <v>2000</v>
      </c>
      <c r="P89" s="271">
        <f t="shared" ref="P89" si="65">P88+O89</f>
        <v>2000</v>
      </c>
      <c r="Q89" s="269">
        <f t="shared" ref="Q89" si="66">Q88+P89</f>
        <v>2000</v>
      </c>
      <c r="R89" s="270">
        <f t="shared" ref="R89" si="67">R88+Q89</f>
        <v>2000</v>
      </c>
      <c r="S89" s="270">
        <f t="shared" ref="S89" si="68">S88+R89</f>
        <v>2000</v>
      </c>
      <c r="T89" s="270">
        <f t="shared" ref="T89" si="69">T88+S89</f>
        <v>3600</v>
      </c>
      <c r="U89" s="270">
        <f t="shared" ref="U89" si="70">U88+T89</f>
        <v>3600</v>
      </c>
      <c r="V89" s="270">
        <f t="shared" ref="V89" si="71">V88+U89</f>
        <v>3600</v>
      </c>
      <c r="W89" s="271">
        <f t="shared" ref="W89" si="72">W88+V89</f>
        <v>3600</v>
      </c>
      <c r="X89" s="248"/>
      <c r="Y89" s="6"/>
    </row>
    <row r="90" spans="1:25" ht="15" thickBot="1" x14ac:dyDescent="0.35">
      <c r="F90" s="62"/>
      <c r="G90" s="926"/>
      <c r="H90" s="280" t="s">
        <v>255</v>
      </c>
      <c r="I90" s="281"/>
      <c r="J90" s="282" t="e">
        <f>QUOTIENT(J88+$I$7-1,$I$7)</f>
        <v>#DIV/0!</v>
      </c>
      <c r="K90" s="283" t="e">
        <f>QUOTIENT(K88+$I$7-1,$I$7)</f>
        <v>#DIV/0!</v>
      </c>
      <c r="L90" s="283" t="e">
        <f>QUOTIENT(L88+$I$7-1,$I$7)</f>
        <v>#DIV/0!</v>
      </c>
      <c r="M90" s="283">
        <f>QUOTIENT(M88+$I$72-1,$I$72)</f>
        <v>0</v>
      </c>
      <c r="N90" s="283">
        <f>QUOTIENT(N88+$I$72-1,$I$72)</f>
        <v>1</v>
      </c>
      <c r="O90" s="283">
        <f t="shared" ref="O90:W90" si="73">QUOTIENT(O88+$I$72-1,$I$72)</f>
        <v>0</v>
      </c>
      <c r="P90" s="284">
        <f t="shared" si="73"/>
        <v>0</v>
      </c>
      <c r="Q90" s="282">
        <f t="shared" si="73"/>
        <v>0</v>
      </c>
      <c r="R90" s="283">
        <f t="shared" si="73"/>
        <v>0</v>
      </c>
      <c r="S90" s="283">
        <f t="shared" si="73"/>
        <v>0</v>
      </c>
      <c r="T90" s="283">
        <f t="shared" si="73"/>
        <v>1</v>
      </c>
      <c r="U90" s="283">
        <f t="shared" si="73"/>
        <v>0</v>
      </c>
      <c r="V90" s="283">
        <f t="shared" si="73"/>
        <v>0</v>
      </c>
      <c r="W90" s="284">
        <f t="shared" si="73"/>
        <v>0</v>
      </c>
      <c r="X90" s="248"/>
      <c r="Y90" s="6"/>
    </row>
    <row r="91" spans="1:25" ht="14.4" customHeight="1" thickTop="1" x14ac:dyDescent="0.3">
      <c r="F91" s="62"/>
      <c r="G91" s="40" t="s">
        <v>65</v>
      </c>
      <c r="I91" s="15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8"/>
      <c r="Y91" s="6"/>
    </row>
    <row r="92" spans="1:25" ht="14.4" customHeight="1" x14ac:dyDescent="0.3">
      <c r="A92">
        <v>16500</v>
      </c>
      <c r="F92" s="62"/>
      <c r="G92" s="924" t="s">
        <v>229</v>
      </c>
      <c r="H92" s="267" t="s">
        <v>251</v>
      </c>
      <c r="I92" s="268"/>
      <c r="J92" s="269"/>
      <c r="K92" s="270"/>
      <c r="L92" s="270"/>
      <c r="M92" s="270"/>
      <c r="N92" s="270"/>
      <c r="O92" s="270">
        <v>5000</v>
      </c>
      <c r="P92" s="271">
        <v>3000</v>
      </c>
      <c r="Q92" s="269"/>
      <c r="R92" s="270"/>
      <c r="S92" s="270"/>
      <c r="T92" s="270"/>
      <c r="U92" s="270">
        <v>5000</v>
      </c>
      <c r="V92" s="270">
        <v>3500</v>
      </c>
      <c r="W92" s="271"/>
      <c r="X92" s="62">
        <f>SUM(J92:W92)</f>
        <v>16500</v>
      </c>
      <c r="Y92" s="62">
        <f>F92-X92</f>
        <v>-16500</v>
      </c>
    </row>
    <row r="93" spans="1:25" ht="14.4" customHeight="1" x14ac:dyDescent="0.3">
      <c r="F93" s="62"/>
      <c r="G93" s="925"/>
      <c r="H93" s="267" t="s">
        <v>94</v>
      </c>
      <c r="I93" s="268">
        <v>0</v>
      </c>
      <c r="J93" s="269">
        <f t="shared" ref="J93" si="74">J92+I93</f>
        <v>0</v>
      </c>
      <c r="K93" s="270">
        <f t="shared" ref="K93" si="75">K92+J93</f>
        <v>0</v>
      </c>
      <c r="L93" s="270">
        <f t="shared" ref="L93" si="76">L92+K93</f>
        <v>0</v>
      </c>
      <c r="M93" s="270">
        <f t="shared" ref="M93" si="77">M92+L93</f>
        <v>0</v>
      </c>
      <c r="N93" s="270">
        <f t="shared" ref="N93" si="78">N92+M93</f>
        <v>0</v>
      </c>
      <c r="O93" s="270">
        <f t="shared" ref="O93" si="79">O92+N93</f>
        <v>5000</v>
      </c>
      <c r="P93" s="271">
        <f t="shared" ref="P93" si="80">P92+O93</f>
        <v>8000</v>
      </c>
      <c r="Q93" s="269">
        <f t="shared" ref="Q93" si="81">Q92+P93</f>
        <v>8000</v>
      </c>
      <c r="R93" s="270">
        <f t="shared" ref="R93" si="82">R92+Q93</f>
        <v>8000</v>
      </c>
      <c r="S93" s="270">
        <f t="shared" ref="S93" si="83">S92+R93</f>
        <v>8000</v>
      </c>
      <c r="T93" s="270">
        <f t="shared" ref="T93" si="84">T92+S93</f>
        <v>8000</v>
      </c>
      <c r="U93" s="270">
        <f t="shared" ref="U93" si="85">U92+T93</f>
        <v>13000</v>
      </c>
      <c r="V93" s="270">
        <f t="shared" ref="V93" si="86">V92+U93</f>
        <v>16500</v>
      </c>
      <c r="W93" s="271">
        <f t="shared" ref="W93" si="87">W92+V93</f>
        <v>16500</v>
      </c>
      <c r="X93" s="248"/>
      <c r="Y93" s="6"/>
    </row>
    <row r="94" spans="1:25" ht="14.4" customHeight="1" thickBot="1" x14ac:dyDescent="0.35">
      <c r="F94" s="62"/>
      <c r="G94" s="926"/>
      <c r="H94" s="280" t="s">
        <v>255</v>
      </c>
      <c r="I94" s="281"/>
      <c r="J94" s="282" t="e">
        <f>QUOTIENT(J92+$I$7-1,$I$7)</f>
        <v>#DIV/0!</v>
      </c>
      <c r="K94" s="283" t="e">
        <f>QUOTIENT(K92+$I$7-1,$I$7)</f>
        <v>#DIV/0!</v>
      </c>
      <c r="L94" s="283" t="e">
        <f>QUOTIENT(L92+$I$7-1,$I$7)</f>
        <v>#DIV/0!</v>
      </c>
      <c r="M94" s="283">
        <f>QUOTIENT(M92+$I$72-1,$I$72)</f>
        <v>0</v>
      </c>
      <c r="N94" s="283">
        <f>QUOTIENT(N92+$I$72-1,$I$72)</f>
        <v>0</v>
      </c>
      <c r="O94" s="283">
        <f t="shared" ref="O94:W94" si="88">QUOTIENT(O92+$I$72-1,$I$72)</f>
        <v>1</v>
      </c>
      <c r="P94" s="284">
        <f t="shared" si="88"/>
        <v>1</v>
      </c>
      <c r="Q94" s="282">
        <f t="shared" si="88"/>
        <v>0</v>
      </c>
      <c r="R94" s="283">
        <f t="shared" si="88"/>
        <v>0</v>
      </c>
      <c r="S94" s="283">
        <f t="shared" si="88"/>
        <v>0</v>
      </c>
      <c r="T94" s="283">
        <f t="shared" si="88"/>
        <v>0</v>
      </c>
      <c r="U94" s="283">
        <f t="shared" si="88"/>
        <v>1</v>
      </c>
      <c r="V94" s="283">
        <f t="shared" si="88"/>
        <v>1</v>
      </c>
      <c r="W94" s="284">
        <f t="shared" si="88"/>
        <v>0</v>
      </c>
      <c r="X94" s="248"/>
      <c r="Y94" s="6"/>
    </row>
    <row r="95" spans="1:25" ht="14.4" customHeight="1" thickTop="1" x14ac:dyDescent="0.3">
      <c r="A95">
        <v>11500</v>
      </c>
      <c r="F95" s="62"/>
      <c r="G95" s="927" t="s">
        <v>230</v>
      </c>
      <c r="H95" s="285" t="s">
        <v>251</v>
      </c>
      <c r="I95" s="286"/>
      <c r="J95" s="287"/>
      <c r="K95" s="288"/>
      <c r="L95" s="288"/>
      <c r="M95" s="288"/>
      <c r="N95" s="288"/>
      <c r="O95" s="288">
        <v>3000</v>
      </c>
      <c r="P95" s="289">
        <v>2000</v>
      </c>
      <c r="Q95" s="287"/>
      <c r="R95" s="288"/>
      <c r="S95" s="288"/>
      <c r="T95" s="288"/>
      <c r="U95" s="288">
        <v>3000</v>
      </c>
      <c r="V95" s="288">
        <v>3500</v>
      </c>
      <c r="W95" s="289"/>
      <c r="X95" s="62">
        <f>SUM(J95:W95)</f>
        <v>11500</v>
      </c>
      <c r="Y95" s="62">
        <f>F95-X95</f>
        <v>-11500</v>
      </c>
    </row>
    <row r="96" spans="1:25" x14ac:dyDescent="0.3">
      <c r="F96" s="62"/>
      <c r="G96" s="925"/>
      <c r="H96" s="267" t="s">
        <v>94</v>
      </c>
      <c r="I96" s="268">
        <v>0</v>
      </c>
      <c r="J96" s="269">
        <f t="shared" ref="J96" si="89">J95+I96</f>
        <v>0</v>
      </c>
      <c r="K96" s="270">
        <f t="shared" ref="K96" si="90">K95+J96</f>
        <v>0</v>
      </c>
      <c r="L96" s="270">
        <f t="shared" ref="L96" si="91">L95+K96</f>
        <v>0</v>
      </c>
      <c r="M96" s="270">
        <f t="shared" ref="M96" si="92">M95+L96</f>
        <v>0</v>
      </c>
      <c r="N96" s="270">
        <f t="shared" ref="N96" si="93">N95+M96</f>
        <v>0</v>
      </c>
      <c r="O96" s="270">
        <f t="shared" ref="O96" si="94">O95+N96</f>
        <v>3000</v>
      </c>
      <c r="P96" s="271">
        <f t="shared" ref="P96" si="95">P95+O96</f>
        <v>5000</v>
      </c>
      <c r="Q96" s="269">
        <f t="shared" ref="Q96" si="96">Q95+P96</f>
        <v>5000</v>
      </c>
      <c r="R96" s="270">
        <f t="shared" ref="R96" si="97">R95+Q96</f>
        <v>5000</v>
      </c>
      <c r="S96" s="270">
        <f t="shared" ref="S96" si="98">S95+R96</f>
        <v>5000</v>
      </c>
      <c r="T96" s="270">
        <f t="shared" ref="T96" si="99">T95+S96</f>
        <v>5000</v>
      </c>
      <c r="U96" s="270">
        <f t="shared" ref="U96" si="100">U95+T96</f>
        <v>8000</v>
      </c>
      <c r="V96" s="270">
        <f t="shared" ref="V96" si="101">V95+U96</f>
        <v>11500</v>
      </c>
      <c r="W96" s="271">
        <f t="shared" ref="W96" si="102">W95+V96</f>
        <v>11500</v>
      </c>
      <c r="X96" s="248"/>
      <c r="Y96" s="6"/>
    </row>
    <row r="97" spans="1:25" ht="15" thickBot="1" x14ac:dyDescent="0.35">
      <c r="F97" s="62"/>
      <c r="G97" s="926"/>
      <c r="H97" s="280" t="s">
        <v>255</v>
      </c>
      <c r="I97" s="281"/>
      <c r="J97" s="282" t="e">
        <f>QUOTIENT(J95+$I$7-1,$I$7)</f>
        <v>#DIV/0!</v>
      </c>
      <c r="K97" s="283" t="e">
        <f>QUOTIENT(K95+$I$7-1,$I$7)</f>
        <v>#DIV/0!</v>
      </c>
      <c r="L97" s="283" t="e">
        <f>QUOTIENT(L95+$I$7-1,$I$7)</f>
        <v>#DIV/0!</v>
      </c>
      <c r="M97" s="283">
        <f>QUOTIENT(M95+$I$72-1,$I$72)</f>
        <v>0</v>
      </c>
      <c r="N97" s="283">
        <f>QUOTIENT(N95+$I$72-1,$I$72)</f>
        <v>0</v>
      </c>
      <c r="O97" s="283">
        <f t="shared" ref="O97:W97" si="103">QUOTIENT(O95+$I$72-1,$I$72)</f>
        <v>1</v>
      </c>
      <c r="P97" s="284">
        <f t="shared" si="103"/>
        <v>1</v>
      </c>
      <c r="Q97" s="282">
        <f t="shared" si="103"/>
        <v>0</v>
      </c>
      <c r="R97" s="283">
        <f t="shared" si="103"/>
        <v>0</v>
      </c>
      <c r="S97" s="283">
        <f t="shared" si="103"/>
        <v>0</v>
      </c>
      <c r="T97" s="283">
        <f t="shared" si="103"/>
        <v>0</v>
      </c>
      <c r="U97" s="283">
        <f t="shared" si="103"/>
        <v>1</v>
      </c>
      <c r="V97" s="283">
        <f t="shared" si="103"/>
        <v>1</v>
      </c>
      <c r="W97" s="284">
        <f t="shared" si="103"/>
        <v>0</v>
      </c>
      <c r="X97" s="248"/>
      <c r="Y97" s="6"/>
    </row>
    <row r="98" spans="1:25" ht="14.4" customHeight="1" thickTop="1" x14ac:dyDescent="0.3">
      <c r="A98">
        <v>3200</v>
      </c>
      <c r="F98" s="62"/>
      <c r="G98" s="927" t="s">
        <v>231</v>
      </c>
      <c r="H98" s="285" t="s">
        <v>251</v>
      </c>
      <c r="I98" s="286"/>
      <c r="J98" s="287"/>
      <c r="K98" s="288"/>
      <c r="L98" s="288"/>
      <c r="M98" s="288"/>
      <c r="N98" s="288"/>
      <c r="O98" s="288">
        <v>2000</v>
      </c>
      <c r="P98" s="289"/>
      <c r="Q98" s="287"/>
      <c r="R98" s="288"/>
      <c r="S98" s="288"/>
      <c r="T98" s="288"/>
      <c r="U98" s="288">
        <v>1200</v>
      </c>
      <c r="V98" s="288"/>
      <c r="W98" s="289"/>
      <c r="X98" s="62">
        <f>SUM(J98:W98)</f>
        <v>3200</v>
      </c>
      <c r="Y98" s="62">
        <f>F98-X98</f>
        <v>-3200</v>
      </c>
    </row>
    <row r="99" spans="1:25" x14ac:dyDescent="0.3">
      <c r="G99" s="925"/>
      <c r="H99" s="267" t="s">
        <v>94</v>
      </c>
      <c r="I99" s="268">
        <v>0</v>
      </c>
      <c r="J99" s="269">
        <f t="shared" ref="J99" si="104">J98+I99</f>
        <v>0</v>
      </c>
      <c r="K99" s="270">
        <f t="shared" ref="K99" si="105">K98+J99</f>
        <v>0</v>
      </c>
      <c r="L99" s="270">
        <f t="shared" ref="L99" si="106">L98+K99</f>
        <v>0</v>
      </c>
      <c r="M99" s="270">
        <f t="shared" ref="M99" si="107">M98+L99</f>
        <v>0</v>
      </c>
      <c r="N99" s="270">
        <f t="shared" ref="N99" si="108">N98+M99</f>
        <v>0</v>
      </c>
      <c r="O99" s="270">
        <f t="shared" ref="O99" si="109">O98+N99</f>
        <v>2000</v>
      </c>
      <c r="P99" s="271">
        <f t="shared" ref="P99" si="110">P98+O99</f>
        <v>2000</v>
      </c>
      <c r="Q99" s="269">
        <f t="shared" ref="Q99" si="111">Q98+P99</f>
        <v>2000</v>
      </c>
      <c r="R99" s="270">
        <f t="shared" ref="R99" si="112">R98+Q99</f>
        <v>2000</v>
      </c>
      <c r="S99" s="270">
        <f t="shared" ref="S99" si="113">S98+R99</f>
        <v>2000</v>
      </c>
      <c r="T99" s="270">
        <f t="shared" ref="T99" si="114">T98+S99</f>
        <v>2000</v>
      </c>
      <c r="U99" s="270">
        <f t="shared" ref="U99" si="115">U98+T99</f>
        <v>3200</v>
      </c>
      <c r="V99" s="270">
        <f t="shared" ref="V99" si="116">V98+U99</f>
        <v>3200</v>
      </c>
      <c r="W99" s="271">
        <f t="shared" ref="W99" si="117">W98+V99</f>
        <v>3200</v>
      </c>
      <c r="X99" s="248"/>
      <c r="Y99" s="6"/>
    </row>
    <row r="100" spans="1:25" ht="15" thickBot="1" x14ac:dyDescent="0.35">
      <c r="G100" s="926"/>
      <c r="H100" s="280" t="s">
        <v>255</v>
      </c>
      <c r="I100" s="281"/>
      <c r="J100" s="282" t="e">
        <f>QUOTIENT(J98+$I$7-1,$I$7)</f>
        <v>#DIV/0!</v>
      </c>
      <c r="K100" s="283" t="e">
        <f>QUOTIENT(K98+$I$7-1,$I$7)</f>
        <v>#DIV/0!</v>
      </c>
      <c r="L100" s="283" t="e">
        <f>QUOTIENT(L98+$I$7-1,$I$7)</f>
        <v>#DIV/0!</v>
      </c>
      <c r="M100" s="283">
        <f>QUOTIENT(M98+$I$72-1,$I$72)</f>
        <v>0</v>
      </c>
      <c r="N100" s="283">
        <f>QUOTIENT(N98+$I$72-1,$I$72)</f>
        <v>0</v>
      </c>
      <c r="O100" s="283">
        <f t="shared" ref="O100:W100" si="118">QUOTIENT(O98+$I$72-1,$I$72)</f>
        <v>1</v>
      </c>
      <c r="P100" s="284">
        <f t="shared" si="118"/>
        <v>0</v>
      </c>
      <c r="Q100" s="282">
        <f t="shared" si="118"/>
        <v>0</v>
      </c>
      <c r="R100" s="283">
        <f t="shared" si="118"/>
        <v>0</v>
      </c>
      <c r="S100" s="283">
        <f t="shared" si="118"/>
        <v>0</v>
      </c>
      <c r="T100" s="283">
        <f t="shared" si="118"/>
        <v>0</v>
      </c>
      <c r="U100" s="283">
        <f t="shared" si="118"/>
        <v>1</v>
      </c>
      <c r="V100" s="283">
        <f t="shared" si="118"/>
        <v>0</v>
      </c>
      <c r="W100" s="284">
        <f t="shared" si="118"/>
        <v>0</v>
      </c>
      <c r="X100" s="248"/>
      <c r="Y100" s="6"/>
    </row>
    <row r="101" spans="1:25" ht="15" thickTop="1" x14ac:dyDescent="0.3">
      <c r="F101" s="119"/>
      <c r="W101" s="273" t="s">
        <v>66</v>
      </c>
      <c r="X101" s="248">
        <f>X95+X98+X92+X88+X85+X82</f>
        <v>59300</v>
      </c>
    </row>
    <row r="103" spans="1:25" x14ac:dyDescent="0.3">
      <c r="G103" t="s">
        <v>69</v>
      </c>
      <c r="H103" t="s">
        <v>17</v>
      </c>
      <c r="I103" t="s">
        <v>18</v>
      </c>
      <c r="J103" t="s">
        <v>19</v>
      </c>
    </row>
    <row r="104" spans="1:25" x14ac:dyDescent="0.3">
      <c r="G104" t="s">
        <v>70</v>
      </c>
      <c r="H104">
        <v>77000</v>
      </c>
      <c r="I104">
        <v>84000</v>
      </c>
      <c r="J104">
        <v>84000</v>
      </c>
    </row>
    <row r="105" spans="1:25" x14ac:dyDescent="0.3">
      <c r="G105" t="s">
        <v>71</v>
      </c>
      <c r="H105">
        <v>100000</v>
      </c>
      <c r="I105">
        <v>100000</v>
      </c>
      <c r="J105">
        <v>100000</v>
      </c>
    </row>
    <row r="106" spans="1:25" x14ac:dyDescent="0.3">
      <c r="G106" t="s">
        <v>72</v>
      </c>
      <c r="H106">
        <v>88000</v>
      </c>
      <c r="I106">
        <v>82000</v>
      </c>
      <c r="J106">
        <v>82000</v>
      </c>
    </row>
    <row r="107" spans="1:25" x14ac:dyDescent="0.3">
      <c r="G107" t="s">
        <v>66</v>
      </c>
      <c r="H107">
        <v>265000</v>
      </c>
      <c r="I107">
        <v>266000</v>
      </c>
      <c r="J107">
        <v>266000</v>
      </c>
    </row>
    <row r="108" spans="1:25" x14ac:dyDescent="0.3">
      <c r="O108" t="s">
        <v>339</v>
      </c>
    </row>
    <row r="109" spans="1:25" x14ac:dyDescent="0.3">
      <c r="F109" s="8" t="s">
        <v>337</v>
      </c>
      <c r="G109" t="s">
        <v>11</v>
      </c>
      <c r="H109">
        <v>32000</v>
      </c>
      <c r="I109">
        <v>35000</v>
      </c>
      <c r="J109">
        <v>34000</v>
      </c>
      <c r="O109" t="s">
        <v>340</v>
      </c>
    </row>
    <row r="110" spans="1:25" x14ac:dyDescent="0.3">
      <c r="F110" t="s">
        <v>233</v>
      </c>
      <c r="G110" t="s">
        <v>10</v>
      </c>
      <c r="H110">
        <v>17000</v>
      </c>
      <c r="I110">
        <v>18000</v>
      </c>
      <c r="J110">
        <v>13000</v>
      </c>
      <c r="O110" t="s">
        <v>334</v>
      </c>
    </row>
    <row r="111" spans="1:25" x14ac:dyDescent="0.3">
      <c r="F111" t="s">
        <v>228</v>
      </c>
      <c r="G111" t="s">
        <v>12</v>
      </c>
      <c r="H111">
        <v>7200</v>
      </c>
      <c r="I111">
        <v>6400</v>
      </c>
      <c r="J111">
        <v>8000</v>
      </c>
    </row>
    <row r="112" spans="1:25" x14ac:dyDescent="0.3">
      <c r="F112" t="s">
        <v>229</v>
      </c>
      <c r="G112" t="s">
        <v>10</v>
      </c>
      <c r="H112">
        <v>33000</v>
      </c>
      <c r="I112">
        <v>34000</v>
      </c>
      <c r="J112">
        <v>35000</v>
      </c>
    </row>
    <row r="113" spans="6:16" x14ac:dyDescent="0.3">
      <c r="F113" t="s">
        <v>230</v>
      </c>
      <c r="G113" t="s">
        <v>11</v>
      </c>
      <c r="H113">
        <v>23000</v>
      </c>
      <c r="I113">
        <v>24000</v>
      </c>
      <c r="J113">
        <v>26000</v>
      </c>
    </row>
    <row r="114" spans="6:16" x14ac:dyDescent="0.3">
      <c r="F114" t="s">
        <v>231</v>
      </c>
      <c r="G114" t="s">
        <v>12</v>
      </c>
      <c r="H114">
        <v>6400</v>
      </c>
      <c r="I114">
        <v>8000</v>
      </c>
      <c r="J114">
        <v>7200</v>
      </c>
    </row>
    <row r="115" spans="6:16" x14ac:dyDescent="0.3">
      <c r="N115" t="s">
        <v>592</v>
      </c>
    </row>
    <row r="116" spans="6:16" x14ac:dyDescent="0.3">
      <c r="N116" t="s">
        <v>591</v>
      </c>
    </row>
    <row r="117" spans="6:16" x14ac:dyDescent="0.3">
      <c r="F117" t="s">
        <v>169</v>
      </c>
      <c r="G117" t="s">
        <v>168</v>
      </c>
      <c r="H117" t="s">
        <v>496</v>
      </c>
      <c r="N117" t="s">
        <v>493</v>
      </c>
    </row>
    <row r="118" spans="6:16" x14ac:dyDescent="0.3">
      <c r="F118" t="s">
        <v>224</v>
      </c>
      <c r="G118" t="s">
        <v>10</v>
      </c>
      <c r="H118">
        <v>40000</v>
      </c>
      <c r="N118" t="s">
        <v>494</v>
      </c>
    </row>
    <row r="119" spans="6:16" x14ac:dyDescent="0.3">
      <c r="F119" t="s">
        <v>225</v>
      </c>
      <c r="G119" t="s">
        <v>11</v>
      </c>
      <c r="H119">
        <v>20000</v>
      </c>
      <c r="N119" t="s">
        <v>593</v>
      </c>
    </row>
    <row r="120" spans="6:16" x14ac:dyDescent="0.3">
      <c r="F120" t="s">
        <v>223</v>
      </c>
      <c r="G120" t="s">
        <v>12</v>
      </c>
      <c r="H120">
        <v>15000</v>
      </c>
      <c r="N120" t="s">
        <v>386</v>
      </c>
      <c r="P120" t="s">
        <v>388</v>
      </c>
    </row>
    <row r="121" spans="6:16" x14ac:dyDescent="0.3">
      <c r="N121" t="s">
        <v>387</v>
      </c>
      <c r="P121" t="s">
        <v>389</v>
      </c>
    </row>
    <row r="122" spans="6:16" x14ac:dyDescent="0.3">
      <c r="N122" t="s">
        <v>394</v>
      </c>
    </row>
    <row r="126" spans="6:16" x14ac:dyDescent="0.3">
      <c r="P126" t="s">
        <v>327</v>
      </c>
    </row>
    <row r="127" spans="6:16" x14ac:dyDescent="0.3">
      <c r="P127" t="s">
        <v>328</v>
      </c>
    </row>
    <row r="131" spans="14:14" x14ac:dyDescent="0.3">
      <c r="N131" t="s">
        <v>330</v>
      </c>
    </row>
  </sheetData>
  <mergeCells count="40">
    <mergeCell ref="G75:G77"/>
    <mergeCell ref="G78:G80"/>
    <mergeCell ref="G92:G94"/>
    <mergeCell ref="G95:G97"/>
    <mergeCell ref="G98:G100"/>
    <mergeCell ref="G82:G84"/>
    <mergeCell ref="G85:G87"/>
    <mergeCell ref="G88:G90"/>
    <mergeCell ref="J73:P73"/>
    <mergeCell ref="Q73:W73"/>
    <mergeCell ref="G72:G73"/>
    <mergeCell ref="Q10:W10"/>
    <mergeCell ref="G12:G13"/>
    <mergeCell ref="H25:H26"/>
    <mergeCell ref="G47:G50"/>
    <mergeCell ref="H49:H50"/>
    <mergeCell ref="G23:G26"/>
    <mergeCell ref="G55:G58"/>
    <mergeCell ref="H57:H58"/>
    <mergeCell ref="H60:H61"/>
    <mergeCell ref="G51:G54"/>
    <mergeCell ref="H53:H54"/>
    <mergeCell ref="X10:Y10"/>
    <mergeCell ref="Z10:AA10"/>
    <mergeCell ref="G15:G18"/>
    <mergeCell ref="B4:C5"/>
    <mergeCell ref="G19:G22"/>
    <mergeCell ref="J10:P10"/>
    <mergeCell ref="H17:H18"/>
    <mergeCell ref="H21:H22"/>
    <mergeCell ref="Z38:AA38"/>
    <mergeCell ref="G40:G41"/>
    <mergeCell ref="G43:G46"/>
    <mergeCell ref="H45:H46"/>
    <mergeCell ref="G27:G30"/>
    <mergeCell ref="H29:H30"/>
    <mergeCell ref="J38:P38"/>
    <mergeCell ref="H32:H33"/>
    <mergeCell ref="Q38:W38"/>
    <mergeCell ref="X38:Y38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Indv Hosp fcast_2_10</vt:lpstr>
      <vt:lpstr>Forecast_Consolidated_3_9b</vt:lpstr>
      <vt:lpstr>drp_push2</vt:lpstr>
      <vt:lpstr>Sheet1</vt:lpstr>
      <vt:lpstr>Contract</vt:lpstr>
      <vt:lpstr>MOH_Sourcing plan_1_4_9a</vt:lpstr>
      <vt:lpstr>Indv supp plan_7_8</vt:lpstr>
      <vt:lpstr>Supplier DRP</vt:lpstr>
      <vt:lpstr>Scheduling</vt:lpstr>
      <vt:lpstr>Inv Simulation - Melaka</vt:lpstr>
      <vt:lpstr>Inv Simulation - HS1</vt:lpstr>
      <vt:lpstr>Inv Simulation - HS1 (R)</vt:lpstr>
      <vt:lpstr>Inv Simulation - HS2</vt:lpstr>
      <vt:lpstr>Inv Simulation - HS3</vt:lpstr>
      <vt:lpstr>TruckSchedule</vt:lpstr>
      <vt:lpstr>Selection</vt:lpstr>
      <vt:lpstr>DRP-Push</vt:lpstr>
      <vt:lpstr>DRP 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2020-12-22T15:38:23Z</dcterms:modified>
</cp:coreProperties>
</file>