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workroom\send_data\摇曳\"/>
    </mc:Choice>
  </mc:AlternateContent>
  <xr:revisionPtr revIDLastSave="0" documentId="13_ncr:1_{C465DB42-0C12-44B5-99C7-1BE2BB4E5315}" xr6:coauthVersionLast="40" xr6:coauthVersionMax="40" xr10:uidLastSave="{00000000-0000-0000-0000-000000000000}"/>
  <bookViews>
    <workbookView xWindow="19950" yWindow="4300" windowWidth="18200" windowHeight="14030" xr2:uid="{7C2C4987-EF12-4511-AEDB-E5CCF2E9B22F}"/>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375" i="1" l="1"/>
  <c r="B2375" i="1"/>
  <c r="F2374" i="1"/>
  <c r="C2374" i="1"/>
  <c r="B2374" i="1"/>
  <c r="F2373" i="1"/>
  <c r="C2373" i="1"/>
  <c r="B2373" i="1"/>
  <c r="F2372" i="1"/>
  <c r="C2372" i="1"/>
  <c r="B2372" i="1"/>
  <c r="F2371" i="1"/>
  <c r="C2371" i="1"/>
  <c r="B2371" i="1"/>
  <c r="F2370" i="1"/>
  <c r="C2370" i="1"/>
  <c r="B2370" i="1"/>
  <c r="F2369" i="1"/>
  <c r="B2369" i="1"/>
  <c r="F2368" i="1"/>
  <c r="C2368" i="1"/>
  <c r="B2368" i="1"/>
  <c r="F2367" i="1"/>
  <c r="C2367" i="1"/>
  <c r="B2367" i="1"/>
  <c r="F2366" i="1"/>
  <c r="C2366" i="1"/>
  <c r="B2366" i="1"/>
  <c r="F2365" i="1"/>
  <c r="C2365" i="1"/>
  <c r="B2365" i="1"/>
  <c r="F2364" i="1"/>
  <c r="C2364" i="1"/>
  <c r="B2364" i="1"/>
  <c r="F2363" i="1"/>
  <c r="C2363" i="1"/>
  <c r="B2363" i="1"/>
  <c r="F2362" i="1"/>
  <c r="C2362" i="1"/>
  <c r="B2362" i="1"/>
  <c r="F2361" i="1"/>
  <c r="B2361" i="1"/>
  <c r="F2360" i="1"/>
  <c r="C2360" i="1"/>
  <c r="B2360" i="1"/>
  <c r="F2359" i="1"/>
  <c r="B2359" i="1"/>
  <c r="F2358" i="1"/>
  <c r="C2358" i="1"/>
  <c r="B2358" i="1"/>
  <c r="F2357" i="1"/>
  <c r="C2357" i="1"/>
  <c r="B2357" i="1"/>
  <c r="F2356" i="1"/>
  <c r="C2356" i="1"/>
  <c r="B2356" i="1"/>
  <c r="F2355" i="1"/>
  <c r="C2355" i="1"/>
  <c r="B2355" i="1"/>
  <c r="F2354" i="1"/>
  <c r="B2354" i="1"/>
  <c r="F2353" i="1"/>
  <c r="B2353" i="1"/>
  <c r="F2352" i="1"/>
  <c r="C2352" i="1"/>
  <c r="B2352" i="1"/>
  <c r="F2351" i="1"/>
  <c r="C2351" i="1"/>
  <c r="B2351" i="1"/>
  <c r="F2350" i="1"/>
  <c r="C2350" i="1"/>
  <c r="B2350" i="1"/>
  <c r="F2349" i="1"/>
  <c r="C2349" i="1"/>
  <c r="B2349" i="1"/>
  <c r="F2348" i="1"/>
  <c r="B2348" i="1"/>
  <c r="F2347" i="1"/>
  <c r="C2347" i="1"/>
  <c r="B2347" i="1"/>
  <c r="F2346" i="1"/>
  <c r="C2346" i="1"/>
  <c r="B2346" i="1"/>
  <c r="F2345" i="1"/>
  <c r="C2345" i="1"/>
  <c r="B2345" i="1"/>
  <c r="F2344" i="1"/>
  <c r="C2344" i="1"/>
  <c r="B2344" i="1"/>
  <c r="F2343" i="1"/>
  <c r="C2343" i="1"/>
  <c r="B2343" i="1"/>
  <c r="F2342" i="1"/>
  <c r="C2342" i="1"/>
  <c r="B2342" i="1"/>
  <c r="F2341" i="1"/>
  <c r="C2341" i="1"/>
  <c r="B2341" i="1"/>
  <c r="F2340" i="1"/>
  <c r="C2340" i="1"/>
  <c r="B2340" i="1"/>
  <c r="F2339" i="1"/>
  <c r="C2339" i="1"/>
  <c r="B2339" i="1"/>
  <c r="F2338" i="1"/>
  <c r="C2338" i="1"/>
  <c r="B2338" i="1"/>
  <c r="F2337" i="1"/>
  <c r="B2337" i="1"/>
  <c r="F2336" i="1"/>
  <c r="C2336" i="1"/>
  <c r="B2336" i="1"/>
  <c r="F2335" i="1"/>
  <c r="B2335" i="1"/>
  <c r="F2334" i="1"/>
  <c r="C2334" i="1"/>
  <c r="B2334" i="1"/>
  <c r="F2333" i="1"/>
  <c r="C2333" i="1"/>
  <c r="B2333" i="1"/>
  <c r="F2332" i="1"/>
  <c r="C2332" i="1"/>
  <c r="B2332" i="1"/>
  <c r="F2331" i="1"/>
  <c r="C2331" i="1"/>
  <c r="B2331" i="1"/>
  <c r="F2330" i="1"/>
  <c r="C2330" i="1"/>
  <c r="B2330" i="1"/>
  <c r="F2329" i="1"/>
  <c r="B2329" i="1"/>
  <c r="F2328" i="1"/>
  <c r="B2328" i="1"/>
  <c r="F2327" i="1"/>
  <c r="B2327" i="1"/>
  <c r="F2326" i="1"/>
  <c r="C2326" i="1"/>
  <c r="B2326" i="1"/>
  <c r="F2325" i="1"/>
  <c r="B2325" i="1"/>
  <c r="F2324" i="1"/>
  <c r="B2324" i="1"/>
  <c r="F2323" i="1"/>
  <c r="C2323" i="1"/>
  <c r="B2323" i="1"/>
  <c r="F2322" i="1"/>
  <c r="C2322" i="1"/>
  <c r="B2322" i="1"/>
  <c r="F2321" i="1"/>
  <c r="C2321" i="1"/>
  <c r="B2321" i="1"/>
  <c r="F2320" i="1"/>
  <c r="C2320" i="1"/>
  <c r="B2320" i="1"/>
  <c r="F2319" i="1"/>
  <c r="C2319" i="1"/>
  <c r="B2319" i="1"/>
  <c r="F2318" i="1"/>
  <c r="B2318" i="1"/>
  <c r="F2317" i="1"/>
  <c r="C2317" i="1"/>
  <c r="B2317" i="1"/>
  <c r="F2316" i="1"/>
  <c r="C2316" i="1"/>
  <c r="B2316" i="1"/>
  <c r="F2315" i="1"/>
  <c r="C2315" i="1"/>
  <c r="B2315" i="1"/>
  <c r="F2314" i="1"/>
  <c r="B2314" i="1"/>
  <c r="F2313" i="1"/>
  <c r="C2313" i="1"/>
  <c r="B2313" i="1"/>
  <c r="F2312" i="1"/>
  <c r="B2312" i="1"/>
  <c r="F2311" i="1"/>
  <c r="C2311" i="1"/>
  <c r="B2311" i="1"/>
  <c r="F2310" i="1"/>
  <c r="C2310" i="1"/>
  <c r="B2310" i="1"/>
  <c r="F2309" i="1"/>
  <c r="B2309" i="1"/>
  <c r="F2308" i="1"/>
  <c r="C2308" i="1"/>
  <c r="B2308" i="1"/>
  <c r="F2307" i="1"/>
  <c r="B2307" i="1"/>
  <c r="F2306" i="1"/>
  <c r="C2306" i="1"/>
  <c r="B2306" i="1"/>
  <c r="F2305" i="1"/>
  <c r="B2305" i="1"/>
  <c r="F2304" i="1"/>
  <c r="C2304" i="1"/>
  <c r="B2304" i="1"/>
  <c r="F2303" i="1"/>
  <c r="C2303" i="1"/>
  <c r="B2303" i="1"/>
  <c r="F2302" i="1"/>
  <c r="C2302" i="1"/>
  <c r="B2302" i="1"/>
  <c r="F2301" i="1"/>
  <c r="C2301" i="1"/>
  <c r="B2301" i="1"/>
  <c r="F2300" i="1"/>
  <c r="C2300" i="1"/>
  <c r="B2300" i="1"/>
  <c r="F2299" i="1"/>
  <c r="C2299" i="1"/>
  <c r="B2299" i="1"/>
  <c r="F2298" i="1"/>
  <c r="B2298" i="1"/>
  <c r="F2297" i="1"/>
  <c r="C2297" i="1"/>
  <c r="B2297" i="1"/>
  <c r="F2296" i="1"/>
  <c r="C2296" i="1"/>
  <c r="B2296" i="1"/>
  <c r="F2295" i="1"/>
  <c r="C2295" i="1"/>
  <c r="B2295" i="1"/>
  <c r="F2294" i="1"/>
  <c r="C2294" i="1"/>
  <c r="B2294" i="1"/>
  <c r="F2293" i="1"/>
  <c r="B2293" i="1"/>
  <c r="F2292" i="1"/>
  <c r="B2292" i="1"/>
  <c r="F2291" i="1"/>
  <c r="C2291" i="1"/>
  <c r="B2291" i="1"/>
  <c r="F2290" i="1"/>
  <c r="C2290" i="1"/>
  <c r="B2290" i="1"/>
  <c r="F2289" i="1"/>
  <c r="C2289" i="1"/>
  <c r="B2289" i="1"/>
  <c r="F2288" i="1"/>
  <c r="C2288" i="1"/>
  <c r="B2288" i="1"/>
  <c r="F2287" i="1"/>
  <c r="B2287" i="1"/>
  <c r="F2286" i="1"/>
  <c r="C2286" i="1"/>
  <c r="B2286" i="1"/>
  <c r="F2285" i="1"/>
  <c r="B2285" i="1"/>
  <c r="F2284" i="1"/>
  <c r="B2284" i="1"/>
  <c r="F2283" i="1"/>
  <c r="B2283" i="1"/>
  <c r="F2282" i="1"/>
  <c r="B2282" i="1"/>
  <c r="F2281" i="1"/>
  <c r="C2281" i="1"/>
  <c r="B2281" i="1"/>
  <c r="F2280" i="1"/>
  <c r="B2280" i="1"/>
  <c r="F2279" i="1"/>
  <c r="C2279" i="1"/>
  <c r="B2279" i="1"/>
  <c r="F2278" i="1"/>
  <c r="C2278" i="1"/>
  <c r="B2278" i="1"/>
  <c r="F2277" i="1"/>
  <c r="B2277" i="1"/>
  <c r="F2276" i="1"/>
  <c r="B2276" i="1"/>
  <c r="F2275" i="1"/>
  <c r="B2275" i="1"/>
  <c r="F2274" i="1"/>
  <c r="C2274" i="1"/>
  <c r="B2274" i="1"/>
  <c r="F2273" i="1"/>
  <c r="B2273" i="1"/>
  <c r="F2272" i="1"/>
  <c r="C2272" i="1"/>
  <c r="B2272" i="1"/>
  <c r="F2271" i="1"/>
  <c r="B2271" i="1"/>
  <c r="F2270" i="1"/>
  <c r="C2270" i="1"/>
  <c r="B2270" i="1"/>
  <c r="F2269" i="1"/>
  <c r="B2269" i="1"/>
  <c r="F2268" i="1"/>
  <c r="C2268" i="1"/>
  <c r="B2268" i="1"/>
  <c r="F2267" i="1"/>
  <c r="C2267" i="1"/>
  <c r="B2267" i="1"/>
  <c r="F2266" i="1"/>
  <c r="C2266" i="1"/>
  <c r="B2266" i="1"/>
  <c r="F2265" i="1"/>
  <c r="B2265" i="1"/>
  <c r="F2264" i="1"/>
  <c r="C2264" i="1"/>
  <c r="B2264" i="1"/>
  <c r="F2263" i="1"/>
  <c r="C2263" i="1"/>
  <c r="B2263" i="1"/>
  <c r="F2262" i="1"/>
  <c r="B2262" i="1"/>
  <c r="F2261" i="1"/>
  <c r="C2261" i="1"/>
  <c r="B2261" i="1"/>
  <c r="F2260" i="1"/>
  <c r="C2260" i="1"/>
  <c r="B2260" i="1"/>
  <c r="F2259" i="1"/>
  <c r="C2259" i="1"/>
  <c r="B2259" i="1"/>
  <c r="F2258" i="1"/>
  <c r="C2258" i="1"/>
  <c r="B2258" i="1"/>
  <c r="F2257" i="1"/>
  <c r="C2257" i="1"/>
  <c r="B2257" i="1"/>
  <c r="F2256" i="1"/>
  <c r="C2256" i="1"/>
  <c r="B2256" i="1"/>
  <c r="F2255" i="1"/>
  <c r="B2255" i="1"/>
  <c r="F2254" i="1"/>
  <c r="B2254" i="1"/>
  <c r="F2253" i="1"/>
  <c r="B2253" i="1"/>
  <c r="F2252" i="1"/>
  <c r="B2252" i="1"/>
  <c r="F2251" i="1"/>
  <c r="C2251" i="1"/>
  <c r="B2251" i="1"/>
  <c r="F2250" i="1"/>
  <c r="C2250" i="1"/>
  <c r="B2250" i="1"/>
  <c r="F2249" i="1"/>
  <c r="B2249" i="1"/>
  <c r="F2248" i="1"/>
  <c r="C2248" i="1"/>
  <c r="B2248" i="1"/>
  <c r="F2247" i="1"/>
  <c r="B2247" i="1"/>
  <c r="F2246" i="1"/>
  <c r="C2246" i="1"/>
  <c r="B2246" i="1"/>
  <c r="F2245" i="1"/>
  <c r="B2245" i="1"/>
  <c r="F2244" i="1"/>
  <c r="C2244" i="1"/>
  <c r="B2244" i="1"/>
  <c r="F2243" i="1"/>
  <c r="C2243" i="1"/>
  <c r="B2243" i="1"/>
  <c r="F2242" i="1"/>
  <c r="C2242" i="1"/>
  <c r="B2242" i="1"/>
  <c r="F2241" i="1"/>
  <c r="C2241" i="1"/>
  <c r="B2241" i="1"/>
  <c r="F2240" i="1"/>
  <c r="C2240" i="1"/>
  <c r="B2240" i="1"/>
  <c r="F2239" i="1"/>
  <c r="C2239" i="1"/>
  <c r="B2239" i="1"/>
  <c r="F2238" i="1"/>
  <c r="C2238" i="1"/>
  <c r="B2238" i="1"/>
  <c r="F2237" i="1"/>
  <c r="B2237" i="1"/>
  <c r="F2236" i="1"/>
  <c r="B2236" i="1"/>
  <c r="F2235" i="1"/>
  <c r="B2235" i="1"/>
  <c r="F2234" i="1"/>
  <c r="B2234" i="1"/>
  <c r="F2233" i="1"/>
  <c r="C2233" i="1"/>
  <c r="B2233" i="1"/>
  <c r="F2232" i="1"/>
  <c r="B2232" i="1"/>
  <c r="F2231" i="1"/>
  <c r="C2231" i="1"/>
  <c r="B2231" i="1"/>
  <c r="F2230" i="1"/>
  <c r="C2230" i="1"/>
  <c r="B2230" i="1"/>
  <c r="F2229" i="1"/>
  <c r="C2229" i="1"/>
  <c r="B2229" i="1"/>
  <c r="F2228" i="1"/>
  <c r="C2228" i="1"/>
  <c r="B2228" i="1"/>
  <c r="F2227" i="1"/>
  <c r="C2227" i="1"/>
  <c r="B2227" i="1"/>
  <c r="F2226" i="1"/>
  <c r="B2226" i="1"/>
  <c r="F2225" i="1"/>
  <c r="C2225" i="1"/>
  <c r="B2225" i="1"/>
  <c r="F2224" i="1"/>
  <c r="C2224" i="1"/>
  <c r="B2224" i="1"/>
  <c r="F2223" i="1"/>
  <c r="B2223" i="1"/>
  <c r="F2222" i="1"/>
  <c r="C2222" i="1"/>
  <c r="B2222" i="1"/>
  <c r="F2221" i="1"/>
  <c r="B2221" i="1"/>
  <c r="F2220" i="1"/>
  <c r="B2220" i="1"/>
  <c r="F2219" i="1"/>
  <c r="C2219" i="1"/>
  <c r="B2219" i="1"/>
  <c r="F2218" i="1"/>
  <c r="C2218" i="1"/>
  <c r="B2218" i="1"/>
  <c r="F2217" i="1"/>
  <c r="C2217" i="1"/>
  <c r="B2217" i="1"/>
  <c r="F2216" i="1"/>
  <c r="C2216" i="1"/>
  <c r="B2216" i="1"/>
  <c r="F2215" i="1"/>
  <c r="C2215" i="1"/>
  <c r="B2215" i="1"/>
  <c r="F2214" i="1"/>
  <c r="C2214" i="1"/>
  <c r="B2214" i="1"/>
  <c r="F2213" i="1"/>
  <c r="B2213" i="1"/>
  <c r="F2212" i="1"/>
  <c r="C2212" i="1"/>
  <c r="B2212" i="1"/>
  <c r="F2211" i="1"/>
  <c r="C2211" i="1"/>
  <c r="B2211" i="1"/>
  <c r="F2210" i="1"/>
  <c r="C2210" i="1"/>
  <c r="B2210" i="1"/>
  <c r="F2209" i="1"/>
  <c r="C2209" i="1"/>
  <c r="B2209" i="1"/>
  <c r="F2208" i="1"/>
  <c r="C2208" i="1"/>
  <c r="B2208" i="1"/>
  <c r="F2207" i="1"/>
  <c r="C2207" i="1"/>
  <c r="B2207" i="1"/>
  <c r="F2206" i="1"/>
  <c r="B2206" i="1"/>
  <c r="F2205" i="1"/>
  <c r="C2205" i="1"/>
  <c r="B2205" i="1"/>
  <c r="F2204" i="1"/>
  <c r="B2204" i="1"/>
  <c r="F2203" i="1"/>
  <c r="B2203" i="1"/>
  <c r="F2202" i="1"/>
  <c r="C2202" i="1"/>
  <c r="B2202" i="1"/>
  <c r="F2201" i="1"/>
  <c r="C2201" i="1"/>
  <c r="B2201" i="1"/>
  <c r="F2200" i="1"/>
  <c r="B2200" i="1"/>
  <c r="F2199" i="1"/>
  <c r="C2199" i="1"/>
  <c r="B2199" i="1"/>
  <c r="F2198" i="1"/>
  <c r="C2198" i="1"/>
  <c r="B2198" i="1"/>
  <c r="F2197" i="1"/>
  <c r="B2197" i="1"/>
  <c r="F2196" i="1"/>
  <c r="C2196" i="1"/>
  <c r="B2196" i="1"/>
  <c r="F2195" i="1"/>
  <c r="B2195" i="1"/>
  <c r="F2194" i="1"/>
  <c r="C2194" i="1"/>
  <c r="B2194" i="1"/>
  <c r="F2193" i="1"/>
  <c r="C2193" i="1"/>
  <c r="B2193" i="1"/>
  <c r="F2192" i="1"/>
  <c r="B2192" i="1"/>
  <c r="F2191" i="1"/>
  <c r="C2191" i="1"/>
  <c r="B2191" i="1"/>
  <c r="F2190" i="1"/>
  <c r="B2190" i="1"/>
  <c r="F2189" i="1"/>
  <c r="B2189" i="1"/>
  <c r="F2188" i="1"/>
  <c r="C2188" i="1"/>
  <c r="B2188" i="1"/>
  <c r="F2187" i="1"/>
  <c r="C2187" i="1"/>
  <c r="B2187" i="1"/>
  <c r="F2186" i="1"/>
  <c r="C2186" i="1"/>
  <c r="B2186" i="1"/>
  <c r="F2185" i="1"/>
  <c r="B2185" i="1"/>
  <c r="F2184" i="1"/>
  <c r="C2184" i="1"/>
  <c r="B2184" i="1"/>
  <c r="F2183" i="1"/>
  <c r="B2183" i="1"/>
  <c r="F2182" i="1"/>
  <c r="C2182" i="1"/>
  <c r="B2182" i="1"/>
  <c r="F2181" i="1"/>
  <c r="B2181" i="1"/>
  <c r="F2180" i="1"/>
  <c r="C2180" i="1"/>
  <c r="B2180" i="1"/>
  <c r="F2179" i="1"/>
  <c r="C2179" i="1"/>
  <c r="B2179" i="1"/>
  <c r="F2178" i="1"/>
  <c r="C2178" i="1"/>
  <c r="B2178" i="1"/>
  <c r="F2177" i="1"/>
  <c r="B2177" i="1"/>
  <c r="F2176" i="1"/>
  <c r="B2176" i="1"/>
  <c r="F2175" i="1"/>
  <c r="B2175" i="1"/>
  <c r="F2174" i="1"/>
  <c r="C2174" i="1"/>
  <c r="B2174" i="1"/>
  <c r="F2173" i="1"/>
  <c r="C2173" i="1"/>
  <c r="B2173" i="1"/>
  <c r="F2172" i="1"/>
  <c r="C2172" i="1"/>
  <c r="B2172" i="1"/>
  <c r="F2171" i="1"/>
  <c r="C2171" i="1"/>
  <c r="B2171" i="1"/>
  <c r="F2170" i="1"/>
  <c r="C2170" i="1"/>
  <c r="B2170" i="1"/>
  <c r="F2169" i="1"/>
  <c r="C2169" i="1"/>
  <c r="B2169" i="1"/>
  <c r="F2168" i="1"/>
  <c r="C2168" i="1"/>
  <c r="B2168" i="1"/>
  <c r="F2167" i="1"/>
  <c r="C2167" i="1"/>
  <c r="B2167" i="1"/>
  <c r="F2166" i="1"/>
  <c r="C2166" i="1"/>
  <c r="B2166" i="1"/>
  <c r="F2165" i="1"/>
  <c r="C2165" i="1"/>
  <c r="B2165" i="1"/>
  <c r="F2164" i="1"/>
  <c r="B2164" i="1"/>
  <c r="F2163" i="1"/>
  <c r="B2163" i="1"/>
  <c r="F2162" i="1"/>
  <c r="C2162" i="1"/>
  <c r="B2162" i="1"/>
  <c r="F2161" i="1"/>
  <c r="B2161" i="1"/>
  <c r="F2160" i="1"/>
  <c r="C2160" i="1"/>
  <c r="B2160" i="1"/>
  <c r="F2159" i="1"/>
  <c r="B2159" i="1"/>
  <c r="F2158" i="1"/>
  <c r="C2158" i="1"/>
  <c r="B2158" i="1"/>
  <c r="F2157" i="1"/>
  <c r="C2157" i="1"/>
  <c r="B2157" i="1"/>
  <c r="F2156" i="1"/>
  <c r="C2156" i="1"/>
  <c r="B2156" i="1"/>
  <c r="F2155" i="1"/>
  <c r="B2155" i="1"/>
  <c r="F2154" i="1"/>
  <c r="C2154" i="1"/>
  <c r="B2154" i="1"/>
  <c r="F2153" i="1"/>
  <c r="B2153" i="1"/>
  <c r="F2152" i="1"/>
  <c r="B2152" i="1"/>
  <c r="F2151" i="1"/>
  <c r="B2151" i="1"/>
  <c r="F2150" i="1"/>
  <c r="C2150" i="1"/>
  <c r="B2150" i="1"/>
  <c r="F2149" i="1"/>
  <c r="C2149" i="1"/>
  <c r="B2149" i="1"/>
  <c r="F2148" i="1"/>
  <c r="B2148" i="1"/>
  <c r="F2147" i="1"/>
  <c r="C2147" i="1"/>
  <c r="B2147" i="1"/>
  <c r="F2146" i="1"/>
  <c r="C2146" i="1"/>
  <c r="B2146" i="1"/>
  <c r="F2145" i="1"/>
  <c r="B2145" i="1"/>
  <c r="F2144" i="1"/>
  <c r="C2144" i="1"/>
  <c r="B2144" i="1"/>
  <c r="F2143" i="1"/>
  <c r="C2143" i="1"/>
  <c r="B2143" i="1"/>
  <c r="F2142" i="1"/>
  <c r="B2142" i="1"/>
  <c r="F2141" i="1"/>
  <c r="B2141" i="1"/>
  <c r="F2140" i="1"/>
  <c r="B2140" i="1"/>
  <c r="F2139" i="1"/>
  <c r="C2139" i="1"/>
  <c r="B2139" i="1"/>
  <c r="F2138" i="1"/>
  <c r="C2138" i="1"/>
  <c r="B2138" i="1"/>
  <c r="F2137" i="1"/>
  <c r="C2137" i="1"/>
  <c r="B2137" i="1"/>
  <c r="F2136" i="1"/>
  <c r="B2136" i="1"/>
  <c r="F2135" i="1"/>
  <c r="C2135" i="1"/>
  <c r="B2135" i="1"/>
  <c r="F2134" i="1"/>
  <c r="B2134" i="1"/>
  <c r="F2133" i="1"/>
  <c r="C2133" i="1"/>
  <c r="B2133" i="1"/>
  <c r="F2132" i="1"/>
  <c r="C2132" i="1"/>
  <c r="B2132" i="1"/>
  <c r="F2131" i="1"/>
  <c r="C2131" i="1"/>
  <c r="B2131" i="1"/>
  <c r="F2130" i="1"/>
  <c r="C2130" i="1"/>
  <c r="B2130" i="1"/>
  <c r="F2129" i="1"/>
  <c r="B2129" i="1"/>
  <c r="F2128" i="1"/>
  <c r="B2128" i="1"/>
  <c r="F2127" i="1"/>
  <c r="B2127" i="1"/>
  <c r="F2126" i="1"/>
  <c r="C2126" i="1"/>
  <c r="B2126" i="1"/>
  <c r="F2125" i="1"/>
  <c r="B2125" i="1"/>
  <c r="F2124" i="1"/>
  <c r="B2124" i="1"/>
  <c r="F2123" i="1"/>
  <c r="C2123" i="1"/>
  <c r="B2123" i="1"/>
  <c r="F2122" i="1"/>
  <c r="C2122" i="1"/>
  <c r="B2122" i="1"/>
  <c r="F2121" i="1"/>
  <c r="C2121" i="1"/>
  <c r="B2121" i="1"/>
  <c r="F2120" i="1"/>
  <c r="B2120" i="1"/>
  <c r="F2119" i="1"/>
  <c r="C2119" i="1"/>
  <c r="B2119" i="1"/>
  <c r="F2118" i="1"/>
  <c r="C2118" i="1"/>
  <c r="B2118" i="1"/>
  <c r="F2117" i="1"/>
  <c r="C2117" i="1"/>
  <c r="B2117" i="1"/>
  <c r="F2116" i="1"/>
  <c r="C2116" i="1"/>
  <c r="B2116" i="1"/>
  <c r="F2115" i="1"/>
  <c r="C2115" i="1"/>
  <c r="B2115" i="1"/>
  <c r="F2114" i="1"/>
  <c r="B2114" i="1"/>
  <c r="F2113" i="1"/>
  <c r="B2113" i="1"/>
  <c r="F2112" i="1"/>
  <c r="C2112" i="1"/>
  <c r="B2112" i="1"/>
  <c r="F2111" i="1"/>
  <c r="C2111" i="1"/>
  <c r="B2111" i="1"/>
  <c r="F2110" i="1"/>
  <c r="B2110" i="1"/>
  <c r="F2109" i="1"/>
  <c r="C2109" i="1"/>
  <c r="B2109" i="1"/>
  <c r="F2108" i="1"/>
  <c r="C2108" i="1"/>
  <c r="B2108" i="1"/>
  <c r="F2107" i="1"/>
  <c r="C2107" i="1"/>
  <c r="B2107" i="1"/>
  <c r="F2106" i="1"/>
  <c r="C2106" i="1"/>
  <c r="B2106" i="1"/>
  <c r="F2105" i="1"/>
  <c r="C2105" i="1"/>
  <c r="B2105" i="1"/>
  <c r="F2104" i="1"/>
  <c r="C2104" i="1"/>
  <c r="B2104" i="1"/>
  <c r="F2103" i="1"/>
  <c r="C2103" i="1"/>
  <c r="B2103" i="1"/>
  <c r="F2102" i="1"/>
  <c r="C2102" i="1"/>
  <c r="B2102" i="1"/>
  <c r="F2101" i="1"/>
  <c r="C2101" i="1"/>
  <c r="B2101" i="1"/>
  <c r="F2100" i="1"/>
  <c r="C2100" i="1"/>
  <c r="B2100" i="1"/>
  <c r="F2099" i="1"/>
  <c r="C2099" i="1"/>
  <c r="B2099" i="1"/>
  <c r="F2098" i="1"/>
  <c r="C2098" i="1"/>
  <c r="B2098" i="1"/>
  <c r="F2097" i="1"/>
  <c r="B2097" i="1"/>
  <c r="F2096" i="1"/>
  <c r="C2096" i="1"/>
  <c r="B2096" i="1"/>
  <c r="F2095" i="1"/>
  <c r="C2095" i="1"/>
  <c r="B2095" i="1"/>
  <c r="F2094" i="1"/>
  <c r="C2094" i="1"/>
  <c r="B2094" i="1"/>
  <c r="F2093" i="1"/>
  <c r="B2093" i="1"/>
  <c r="F2092" i="1"/>
  <c r="C2092" i="1"/>
  <c r="B2092" i="1"/>
  <c r="F2091" i="1"/>
  <c r="C2091" i="1"/>
  <c r="B2091" i="1"/>
  <c r="F2090" i="1"/>
  <c r="C2090" i="1"/>
  <c r="B2090" i="1"/>
  <c r="F2089" i="1"/>
  <c r="C2089" i="1"/>
  <c r="B2089" i="1"/>
  <c r="F2088" i="1"/>
  <c r="B2088" i="1"/>
  <c r="F2087" i="1"/>
  <c r="B2087" i="1"/>
  <c r="F2086" i="1"/>
  <c r="B2086" i="1"/>
  <c r="F2085" i="1"/>
  <c r="C2085" i="1"/>
  <c r="B2085" i="1"/>
  <c r="F2084" i="1"/>
  <c r="B2084" i="1"/>
  <c r="F2083" i="1"/>
  <c r="C2083" i="1"/>
  <c r="B2083" i="1"/>
  <c r="F2082" i="1"/>
  <c r="C2082" i="1"/>
  <c r="B2082" i="1"/>
  <c r="F2081" i="1"/>
  <c r="B2081" i="1"/>
  <c r="F2080" i="1"/>
  <c r="C2080" i="1"/>
  <c r="B2080" i="1"/>
  <c r="F2079" i="1"/>
  <c r="C2079" i="1"/>
  <c r="B2079" i="1"/>
  <c r="F2078" i="1"/>
  <c r="C2078" i="1"/>
  <c r="B2078" i="1"/>
  <c r="F2077" i="1"/>
  <c r="C2077" i="1"/>
  <c r="B2077" i="1"/>
  <c r="F2076" i="1"/>
  <c r="B2076" i="1"/>
  <c r="F2075" i="1"/>
  <c r="B2075" i="1"/>
  <c r="F2074" i="1"/>
  <c r="C2074" i="1"/>
  <c r="B2074" i="1"/>
  <c r="F2073" i="1"/>
  <c r="B2073" i="1"/>
  <c r="F2072" i="1"/>
  <c r="B2072" i="1"/>
  <c r="F2071" i="1"/>
  <c r="C2071" i="1"/>
  <c r="B2071" i="1"/>
  <c r="F2070" i="1"/>
  <c r="C2070" i="1"/>
  <c r="B2070" i="1"/>
  <c r="F2069" i="1"/>
  <c r="C2069" i="1"/>
  <c r="B2069" i="1"/>
  <c r="F2068" i="1"/>
  <c r="B2068" i="1"/>
  <c r="F2067" i="1"/>
  <c r="C2067" i="1"/>
  <c r="B2067" i="1"/>
  <c r="F2066" i="1"/>
  <c r="C2066" i="1"/>
  <c r="B2066" i="1"/>
  <c r="F2065" i="1"/>
  <c r="B2065" i="1"/>
  <c r="F2064" i="1"/>
  <c r="C2064" i="1"/>
  <c r="B2064" i="1"/>
  <c r="F2063" i="1"/>
  <c r="C2063" i="1"/>
  <c r="B2063" i="1"/>
  <c r="F2062" i="1"/>
  <c r="C2062" i="1"/>
  <c r="B2062" i="1"/>
  <c r="F2061" i="1"/>
  <c r="C2061" i="1"/>
  <c r="B2061" i="1"/>
  <c r="F2060" i="1"/>
  <c r="C2060" i="1"/>
  <c r="B2060" i="1"/>
  <c r="F2059" i="1"/>
  <c r="C2059" i="1"/>
  <c r="B2059" i="1"/>
  <c r="F2058" i="1"/>
  <c r="C2058" i="1"/>
  <c r="B2058" i="1"/>
  <c r="F2057" i="1"/>
  <c r="B2057" i="1"/>
  <c r="F2056" i="1"/>
  <c r="C2056" i="1"/>
  <c r="B2056" i="1"/>
  <c r="F2055" i="1"/>
  <c r="B2055" i="1"/>
  <c r="F2054" i="1"/>
  <c r="C2054" i="1"/>
  <c r="B2054" i="1"/>
  <c r="F2053" i="1"/>
  <c r="C2053" i="1"/>
  <c r="B2053" i="1"/>
  <c r="F2052" i="1"/>
  <c r="C2052" i="1"/>
  <c r="B2052" i="1"/>
  <c r="F2051" i="1"/>
  <c r="C2051" i="1"/>
  <c r="B2051" i="1"/>
  <c r="F2050" i="1"/>
  <c r="C2050" i="1"/>
  <c r="B2050" i="1"/>
  <c r="F2049" i="1"/>
  <c r="C2049" i="1"/>
  <c r="B2049" i="1"/>
  <c r="F2048" i="1"/>
  <c r="C2048" i="1"/>
  <c r="B2048" i="1"/>
  <c r="F2047" i="1"/>
  <c r="C2047" i="1"/>
  <c r="B2047" i="1"/>
  <c r="F2046" i="1"/>
  <c r="C2046" i="1"/>
  <c r="B2046" i="1"/>
  <c r="F2045" i="1"/>
  <c r="C2045" i="1"/>
  <c r="B2045" i="1"/>
  <c r="F2044" i="1"/>
  <c r="C2044" i="1"/>
  <c r="B2044" i="1"/>
  <c r="F2043" i="1"/>
  <c r="C2043" i="1"/>
  <c r="B2043" i="1"/>
  <c r="F2042" i="1"/>
  <c r="B2042" i="1"/>
  <c r="F2041" i="1"/>
  <c r="C2041" i="1"/>
  <c r="B2041" i="1"/>
  <c r="F2040" i="1"/>
  <c r="C2040" i="1"/>
  <c r="B2040" i="1"/>
  <c r="F2039" i="1"/>
  <c r="C2039" i="1"/>
  <c r="B2039" i="1"/>
  <c r="F2038" i="1"/>
  <c r="B2038" i="1"/>
  <c r="F2037" i="1"/>
  <c r="C2037" i="1"/>
  <c r="B2037" i="1"/>
  <c r="F2036" i="1"/>
  <c r="C2036" i="1"/>
  <c r="B2036" i="1"/>
  <c r="F2035" i="1"/>
  <c r="C2035" i="1"/>
  <c r="B2035" i="1"/>
  <c r="F2034" i="1"/>
  <c r="B2034" i="1"/>
  <c r="F2033" i="1"/>
  <c r="C2033" i="1"/>
  <c r="B2033" i="1"/>
  <c r="F2032" i="1"/>
  <c r="B2032" i="1"/>
  <c r="F2031" i="1"/>
  <c r="B2031" i="1"/>
  <c r="F2030" i="1"/>
  <c r="C2030" i="1"/>
  <c r="B2030" i="1"/>
  <c r="F2029" i="1"/>
  <c r="B2029" i="1"/>
  <c r="F2028" i="1"/>
  <c r="C2028" i="1"/>
  <c r="B2028" i="1"/>
  <c r="F2027" i="1"/>
  <c r="B2027" i="1"/>
  <c r="F2026" i="1"/>
  <c r="C2026" i="1"/>
  <c r="B2026" i="1"/>
  <c r="F2025" i="1"/>
  <c r="B2025" i="1"/>
  <c r="F2024" i="1"/>
  <c r="B2024" i="1"/>
  <c r="F2023" i="1"/>
  <c r="B2023" i="1"/>
  <c r="F2022" i="1"/>
  <c r="B2022" i="1"/>
  <c r="F2021" i="1"/>
  <c r="C2021" i="1"/>
  <c r="B2021" i="1"/>
  <c r="F2020" i="1"/>
  <c r="C2020" i="1"/>
  <c r="B2020" i="1"/>
  <c r="F2019" i="1"/>
  <c r="B2019" i="1"/>
  <c r="F2018" i="1"/>
  <c r="C2018" i="1"/>
  <c r="B2018" i="1"/>
  <c r="F2017" i="1"/>
  <c r="C2017" i="1"/>
  <c r="B2017" i="1"/>
  <c r="F2016" i="1"/>
  <c r="C2016" i="1"/>
  <c r="B2016" i="1"/>
  <c r="F2015" i="1"/>
  <c r="B2015" i="1"/>
  <c r="F2014" i="1"/>
  <c r="B2014" i="1"/>
  <c r="F2013" i="1"/>
  <c r="C2013" i="1"/>
  <c r="B2013" i="1"/>
  <c r="F2012" i="1"/>
  <c r="B2012" i="1"/>
  <c r="F2011" i="1"/>
  <c r="B2011" i="1"/>
  <c r="F2010" i="1"/>
  <c r="C2010" i="1"/>
  <c r="B2010" i="1"/>
  <c r="F2009" i="1"/>
  <c r="C2009" i="1"/>
  <c r="B2009" i="1"/>
  <c r="F2008" i="1"/>
  <c r="B2008" i="1"/>
  <c r="F2007" i="1"/>
  <c r="B2007" i="1"/>
  <c r="F2006" i="1"/>
  <c r="B2006" i="1"/>
  <c r="F2005" i="1"/>
  <c r="C2005" i="1"/>
  <c r="B2005" i="1"/>
  <c r="F2004" i="1"/>
  <c r="C2004" i="1"/>
  <c r="B2004" i="1"/>
  <c r="F2003" i="1"/>
  <c r="C2003" i="1"/>
  <c r="B2003" i="1"/>
  <c r="F2002" i="1"/>
  <c r="C2002" i="1"/>
  <c r="B2002" i="1"/>
  <c r="F2001" i="1"/>
  <c r="B2001" i="1"/>
  <c r="F2000" i="1"/>
  <c r="C2000" i="1"/>
  <c r="B2000" i="1"/>
  <c r="F1999" i="1"/>
  <c r="C1999" i="1"/>
  <c r="B1999" i="1"/>
  <c r="F1998" i="1"/>
  <c r="C1998" i="1"/>
  <c r="B1998" i="1"/>
  <c r="F1997" i="1"/>
  <c r="C1997" i="1"/>
  <c r="B1997" i="1"/>
  <c r="F1996" i="1"/>
  <c r="C1996" i="1"/>
  <c r="B1996" i="1"/>
  <c r="F1995" i="1"/>
  <c r="C1995" i="1"/>
  <c r="B1995" i="1"/>
  <c r="F1994" i="1"/>
  <c r="C1994" i="1"/>
  <c r="B1994" i="1"/>
  <c r="F1993" i="1"/>
  <c r="B1993" i="1"/>
  <c r="F1992" i="1"/>
  <c r="C1992" i="1"/>
  <c r="B1992" i="1"/>
  <c r="F1991" i="1"/>
  <c r="B1991" i="1"/>
  <c r="F1990" i="1"/>
  <c r="B1990" i="1"/>
  <c r="F1989" i="1"/>
  <c r="B1989" i="1"/>
  <c r="F1988" i="1"/>
  <c r="C1988" i="1"/>
  <c r="B1988" i="1"/>
  <c r="F1987" i="1"/>
  <c r="B1987" i="1"/>
  <c r="F1986" i="1"/>
  <c r="C1986" i="1"/>
  <c r="B1986" i="1"/>
  <c r="F1985" i="1"/>
  <c r="C1985" i="1"/>
  <c r="B1985" i="1"/>
  <c r="F1984" i="1"/>
  <c r="B1984" i="1"/>
  <c r="F1983" i="1"/>
  <c r="B1983" i="1"/>
  <c r="F1982" i="1"/>
  <c r="B1982" i="1"/>
  <c r="F1981" i="1"/>
  <c r="B1981" i="1"/>
  <c r="F1980" i="1"/>
  <c r="B1980" i="1"/>
  <c r="F1979" i="1"/>
  <c r="C1979" i="1"/>
  <c r="B1979" i="1"/>
  <c r="F1978" i="1"/>
  <c r="C1978" i="1"/>
  <c r="B1978" i="1"/>
  <c r="F1977" i="1"/>
  <c r="C1977" i="1"/>
  <c r="B1977" i="1"/>
  <c r="F1976" i="1"/>
  <c r="B1976" i="1"/>
  <c r="F1975" i="1"/>
  <c r="C1975" i="1"/>
  <c r="B1975" i="1"/>
  <c r="F1974" i="1"/>
  <c r="C1974" i="1"/>
  <c r="B1974" i="1"/>
  <c r="F1973" i="1"/>
  <c r="C1973" i="1"/>
  <c r="B1973" i="1"/>
  <c r="F1972" i="1"/>
  <c r="C1972" i="1"/>
  <c r="B1972" i="1"/>
  <c r="F1971" i="1"/>
  <c r="C1971" i="1"/>
  <c r="B1971" i="1"/>
  <c r="F1970" i="1"/>
  <c r="C1970" i="1"/>
  <c r="B1970" i="1"/>
  <c r="F1969" i="1"/>
  <c r="B1969" i="1"/>
  <c r="F1968" i="1"/>
  <c r="C1968" i="1"/>
  <c r="B1968" i="1"/>
  <c r="F1967" i="1"/>
  <c r="C1967" i="1"/>
  <c r="B1967" i="1"/>
  <c r="F1966" i="1"/>
  <c r="C1966" i="1"/>
  <c r="B1966" i="1"/>
  <c r="F1965" i="1"/>
  <c r="B1965" i="1"/>
  <c r="F1964" i="1"/>
  <c r="B1964" i="1"/>
  <c r="F1963" i="1"/>
  <c r="C1963" i="1"/>
  <c r="B1963" i="1"/>
  <c r="F1962" i="1"/>
  <c r="C1962" i="1"/>
  <c r="B1962" i="1"/>
  <c r="F1961" i="1"/>
  <c r="B1961" i="1"/>
  <c r="F1960" i="1"/>
  <c r="C1960" i="1"/>
  <c r="B1960" i="1"/>
  <c r="F1959" i="1"/>
  <c r="C1959" i="1"/>
  <c r="B1959" i="1"/>
  <c r="F1958" i="1"/>
  <c r="C1958" i="1"/>
  <c r="B1958" i="1"/>
  <c r="F1957" i="1"/>
  <c r="C1957" i="1"/>
  <c r="B1957" i="1"/>
  <c r="F1956" i="1"/>
  <c r="B1956" i="1"/>
  <c r="F1955" i="1"/>
  <c r="B1955" i="1"/>
  <c r="F1954" i="1"/>
  <c r="C1954" i="1"/>
  <c r="B1954" i="1"/>
  <c r="F1953" i="1"/>
  <c r="C1953" i="1"/>
  <c r="B1953" i="1"/>
  <c r="F1952" i="1"/>
  <c r="C1952" i="1"/>
  <c r="B1952" i="1"/>
  <c r="F1951" i="1"/>
  <c r="B1951" i="1"/>
  <c r="F1950" i="1"/>
  <c r="B1950" i="1"/>
  <c r="F1949" i="1"/>
  <c r="C1949" i="1"/>
  <c r="B1949" i="1"/>
  <c r="F1948" i="1"/>
  <c r="C1948" i="1"/>
  <c r="B1948" i="1"/>
  <c r="F1947" i="1"/>
  <c r="C1947" i="1"/>
  <c r="B1947" i="1"/>
  <c r="F1946" i="1"/>
  <c r="C1946" i="1"/>
  <c r="B1946" i="1"/>
  <c r="F1945" i="1"/>
  <c r="C1945" i="1"/>
  <c r="B1945" i="1"/>
  <c r="F1944" i="1"/>
  <c r="C1944" i="1"/>
  <c r="B1944" i="1"/>
  <c r="F1943" i="1"/>
  <c r="C1943" i="1"/>
  <c r="B1943" i="1"/>
  <c r="F1942" i="1"/>
  <c r="B1942" i="1"/>
  <c r="F1941" i="1"/>
  <c r="C1941" i="1"/>
  <c r="B1941" i="1"/>
  <c r="F1940" i="1"/>
  <c r="B1940" i="1"/>
  <c r="F1939" i="1"/>
  <c r="C1939" i="1"/>
  <c r="B1939" i="1"/>
  <c r="F1938" i="1"/>
  <c r="B1938" i="1"/>
  <c r="F1937" i="1"/>
  <c r="C1937" i="1"/>
  <c r="B1937" i="1"/>
  <c r="F1936" i="1"/>
  <c r="C1936" i="1"/>
  <c r="B1936" i="1"/>
  <c r="F1935" i="1"/>
  <c r="C1935" i="1"/>
  <c r="B1935" i="1"/>
  <c r="F1934" i="1"/>
  <c r="C1934" i="1"/>
  <c r="B1934" i="1"/>
  <c r="F1933" i="1"/>
  <c r="C1933" i="1"/>
  <c r="B1933" i="1"/>
  <c r="F1932" i="1"/>
  <c r="B1932" i="1"/>
  <c r="F1931" i="1"/>
  <c r="C1931" i="1"/>
  <c r="B1931" i="1"/>
  <c r="F1930" i="1"/>
  <c r="C1930" i="1"/>
  <c r="B1930" i="1"/>
  <c r="F1929" i="1"/>
  <c r="C1929" i="1"/>
  <c r="B1929" i="1"/>
  <c r="F1928" i="1"/>
  <c r="C1928" i="1"/>
  <c r="B1928" i="1"/>
  <c r="F1927" i="1"/>
  <c r="C1927" i="1"/>
  <c r="B1927" i="1"/>
  <c r="F1926" i="1"/>
  <c r="C1926" i="1"/>
  <c r="B1926" i="1"/>
  <c r="F1925" i="1"/>
  <c r="B1925" i="1"/>
  <c r="F1924" i="1"/>
  <c r="B1924" i="1"/>
  <c r="F1923" i="1"/>
  <c r="C1923" i="1"/>
  <c r="B1923" i="1"/>
  <c r="F1922" i="1"/>
  <c r="C1922" i="1"/>
  <c r="B1922" i="1"/>
  <c r="F1921" i="1"/>
  <c r="B1921" i="1"/>
  <c r="F1920" i="1"/>
  <c r="C1920" i="1"/>
  <c r="B1920" i="1"/>
  <c r="F1919" i="1"/>
  <c r="B1919" i="1"/>
  <c r="F1918" i="1"/>
  <c r="C1918" i="1"/>
  <c r="B1918" i="1"/>
  <c r="F1917" i="1"/>
  <c r="C1917" i="1"/>
  <c r="B1917" i="1"/>
  <c r="F1916" i="1"/>
  <c r="C1916" i="1"/>
  <c r="B1916" i="1"/>
  <c r="F1915" i="1"/>
  <c r="C1915" i="1"/>
  <c r="B1915" i="1"/>
  <c r="F1914" i="1"/>
  <c r="B1914" i="1"/>
  <c r="F1913" i="1"/>
  <c r="B1913" i="1"/>
  <c r="F1912" i="1"/>
  <c r="C1912" i="1"/>
  <c r="B1912" i="1"/>
  <c r="F1911" i="1"/>
  <c r="B1911" i="1"/>
  <c r="F1910" i="1"/>
  <c r="B1910" i="1"/>
  <c r="F1909" i="1"/>
  <c r="C1909" i="1"/>
  <c r="B1909" i="1"/>
  <c r="F1908" i="1"/>
  <c r="C1908" i="1"/>
  <c r="B1908" i="1"/>
  <c r="F1907" i="1"/>
  <c r="C1907" i="1"/>
  <c r="B1907" i="1"/>
  <c r="F1906" i="1"/>
  <c r="B1906" i="1"/>
  <c r="F1905" i="1"/>
  <c r="C1905" i="1"/>
  <c r="B1905" i="1"/>
  <c r="F1904" i="1"/>
  <c r="C1904" i="1"/>
  <c r="B1904" i="1"/>
  <c r="F1903" i="1"/>
  <c r="C1903" i="1"/>
  <c r="B1903" i="1"/>
  <c r="F1902" i="1"/>
  <c r="C1902" i="1"/>
  <c r="B1902" i="1"/>
  <c r="F1901" i="1"/>
  <c r="C1901" i="1"/>
  <c r="B1901" i="1"/>
  <c r="F1900" i="1"/>
  <c r="B1900" i="1"/>
  <c r="F1899" i="1"/>
  <c r="C1899" i="1"/>
  <c r="B1899" i="1"/>
  <c r="F1898" i="1"/>
  <c r="C1898" i="1"/>
  <c r="B1898" i="1"/>
  <c r="F1897" i="1"/>
  <c r="C1897" i="1"/>
  <c r="B1897" i="1"/>
  <c r="F1896" i="1"/>
  <c r="C1896" i="1"/>
  <c r="B1896" i="1"/>
  <c r="F1895" i="1"/>
  <c r="B1895" i="1"/>
  <c r="F1894" i="1"/>
  <c r="C1894" i="1"/>
  <c r="B1894" i="1"/>
  <c r="F1893" i="1"/>
  <c r="C1893" i="1"/>
  <c r="B1893" i="1"/>
  <c r="F1892" i="1"/>
  <c r="B1892" i="1"/>
  <c r="F1891" i="1"/>
  <c r="C1891" i="1"/>
  <c r="B1891" i="1"/>
  <c r="F1890" i="1"/>
  <c r="C1890" i="1"/>
  <c r="B1890" i="1"/>
  <c r="F1889" i="1"/>
  <c r="B1889" i="1"/>
  <c r="F1888" i="1"/>
  <c r="C1888" i="1"/>
  <c r="B1888" i="1"/>
  <c r="F1887" i="1"/>
  <c r="B1887" i="1"/>
  <c r="F1886" i="1"/>
  <c r="C1886" i="1"/>
  <c r="B1886" i="1"/>
  <c r="F1885" i="1"/>
  <c r="C1885" i="1"/>
  <c r="B1885" i="1"/>
  <c r="F1884" i="1"/>
  <c r="B1884" i="1"/>
  <c r="F1883" i="1"/>
  <c r="C1883" i="1"/>
  <c r="B1883" i="1"/>
  <c r="F1882" i="1"/>
  <c r="B1882" i="1"/>
  <c r="F1881" i="1"/>
  <c r="B1881" i="1"/>
  <c r="F1880" i="1"/>
  <c r="C1880" i="1"/>
  <c r="B1880" i="1"/>
  <c r="F1879" i="1"/>
  <c r="C1879" i="1"/>
  <c r="B1879" i="1"/>
  <c r="F1878" i="1"/>
  <c r="C1878" i="1"/>
  <c r="B1878" i="1"/>
  <c r="F1877" i="1"/>
  <c r="C1877" i="1"/>
  <c r="B1877" i="1"/>
  <c r="F1876" i="1"/>
  <c r="C1876" i="1"/>
  <c r="B1876" i="1"/>
  <c r="F1875" i="1"/>
  <c r="C1875" i="1"/>
  <c r="B1875" i="1"/>
  <c r="F1874" i="1"/>
  <c r="B1874" i="1"/>
  <c r="F1873" i="1"/>
  <c r="B1873" i="1"/>
  <c r="F1872" i="1"/>
  <c r="C1872" i="1"/>
  <c r="B1872" i="1"/>
  <c r="F1871" i="1"/>
  <c r="C1871" i="1"/>
  <c r="B1871" i="1"/>
  <c r="F1870" i="1"/>
  <c r="C1870" i="1"/>
  <c r="B1870" i="1"/>
  <c r="F1869" i="1"/>
  <c r="C1869" i="1"/>
  <c r="B1869" i="1"/>
  <c r="F1868" i="1"/>
  <c r="C1868" i="1"/>
  <c r="B1868" i="1"/>
  <c r="F1867" i="1"/>
  <c r="C1867" i="1"/>
  <c r="B1867" i="1"/>
  <c r="F1866" i="1"/>
  <c r="C1866" i="1"/>
  <c r="B1866" i="1"/>
  <c r="F1865" i="1"/>
  <c r="C1865" i="1"/>
  <c r="B1865" i="1"/>
  <c r="F1864" i="1"/>
  <c r="B1864" i="1"/>
  <c r="F1863" i="1"/>
  <c r="C1863" i="1"/>
  <c r="B1863" i="1"/>
  <c r="F1862" i="1"/>
  <c r="C1862" i="1"/>
  <c r="B1862" i="1"/>
  <c r="F1861" i="1"/>
  <c r="C1861" i="1"/>
  <c r="B1861" i="1"/>
  <c r="F1860" i="1"/>
  <c r="C1860" i="1"/>
  <c r="B1860" i="1"/>
  <c r="F1859" i="1"/>
  <c r="C1859" i="1"/>
  <c r="B1859" i="1"/>
  <c r="F1858" i="1"/>
  <c r="C1858" i="1"/>
  <c r="B1858" i="1"/>
  <c r="F1857" i="1"/>
  <c r="B1857" i="1"/>
  <c r="F1856" i="1"/>
  <c r="C1856" i="1"/>
  <c r="B1856" i="1"/>
  <c r="F1855" i="1"/>
  <c r="C1855" i="1"/>
  <c r="B1855" i="1"/>
  <c r="F1854" i="1"/>
  <c r="B1854" i="1"/>
  <c r="F1853" i="1"/>
  <c r="C1853" i="1"/>
  <c r="B1853" i="1"/>
  <c r="F1852" i="1"/>
  <c r="C1852" i="1"/>
  <c r="B1852" i="1"/>
  <c r="F1851" i="1"/>
  <c r="C1851" i="1"/>
  <c r="B1851" i="1"/>
  <c r="F1850" i="1"/>
  <c r="C1850" i="1"/>
  <c r="B1850" i="1"/>
  <c r="F1849" i="1"/>
  <c r="C1849" i="1"/>
  <c r="B1849" i="1"/>
  <c r="F1848" i="1"/>
  <c r="C1848" i="1"/>
  <c r="B1848" i="1"/>
  <c r="F1847" i="1"/>
  <c r="B1847" i="1"/>
  <c r="F1846" i="1"/>
  <c r="C1846" i="1"/>
  <c r="B1846" i="1"/>
  <c r="F1845" i="1"/>
  <c r="C1845" i="1"/>
  <c r="B1845" i="1"/>
  <c r="F1844" i="1"/>
  <c r="C1844" i="1"/>
  <c r="B1844" i="1"/>
  <c r="F1843" i="1"/>
  <c r="C1843" i="1"/>
  <c r="B1843" i="1"/>
  <c r="F1842" i="1"/>
  <c r="C1842" i="1"/>
  <c r="B1842" i="1"/>
  <c r="F1841" i="1"/>
  <c r="C1841" i="1"/>
  <c r="B1841" i="1"/>
  <c r="F1840" i="1"/>
  <c r="C1840" i="1"/>
  <c r="B1840" i="1"/>
  <c r="F1839" i="1"/>
  <c r="C1839" i="1"/>
  <c r="B1839" i="1"/>
  <c r="F1838" i="1"/>
  <c r="C1838" i="1"/>
  <c r="B1838" i="1"/>
  <c r="F1837" i="1"/>
  <c r="C1837" i="1"/>
  <c r="B1837" i="1"/>
  <c r="F1836" i="1"/>
  <c r="C1836" i="1"/>
  <c r="B1836" i="1"/>
  <c r="F1835" i="1"/>
  <c r="C1835" i="1"/>
  <c r="B1835" i="1"/>
  <c r="F1834" i="1"/>
  <c r="C1834" i="1"/>
  <c r="B1834" i="1"/>
  <c r="F1833" i="1"/>
  <c r="B1833" i="1"/>
  <c r="F1832" i="1"/>
  <c r="C1832" i="1"/>
  <c r="B1832" i="1"/>
  <c r="F1831" i="1"/>
  <c r="C1831" i="1"/>
  <c r="B1831" i="1"/>
  <c r="F1830" i="1"/>
  <c r="C1830" i="1"/>
  <c r="B1830" i="1"/>
  <c r="F1829" i="1"/>
  <c r="C1829" i="1"/>
  <c r="B1829" i="1"/>
  <c r="F1828" i="1"/>
  <c r="B1828" i="1"/>
  <c r="F1827" i="1"/>
  <c r="B1827" i="1"/>
  <c r="F1826" i="1"/>
  <c r="C1826" i="1"/>
  <c r="B1826" i="1"/>
  <c r="F1825" i="1"/>
  <c r="B1825" i="1"/>
  <c r="F1824" i="1"/>
  <c r="C1824" i="1"/>
  <c r="B1824" i="1"/>
  <c r="F1823" i="1"/>
  <c r="B1823" i="1"/>
  <c r="F1822" i="1"/>
  <c r="B1822" i="1"/>
  <c r="F1821" i="1"/>
  <c r="C1821" i="1"/>
  <c r="B1821" i="1"/>
  <c r="F1820" i="1"/>
  <c r="B1820" i="1"/>
  <c r="F1819" i="1"/>
  <c r="C1819" i="1"/>
  <c r="B1819" i="1"/>
  <c r="F1818" i="1"/>
  <c r="B1818" i="1"/>
  <c r="F1817" i="1"/>
  <c r="C1817" i="1"/>
  <c r="B1817" i="1"/>
  <c r="F1816" i="1"/>
  <c r="B1816" i="1"/>
  <c r="F1815" i="1"/>
  <c r="C1815" i="1"/>
  <c r="B1815" i="1"/>
  <c r="F1814" i="1"/>
  <c r="C1814" i="1"/>
  <c r="B1814" i="1"/>
  <c r="F1813" i="1"/>
  <c r="B1813" i="1"/>
  <c r="F1812" i="1"/>
  <c r="B1812" i="1"/>
  <c r="F1811" i="1"/>
  <c r="C1811" i="1"/>
  <c r="B1811" i="1"/>
  <c r="F1810" i="1"/>
  <c r="B1810" i="1"/>
  <c r="F1809" i="1"/>
  <c r="B1809" i="1"/>
  <c r="F1808" i="1"/>
  <c r="C1808" i="1"/>
  <c r="B1808" i="1"/>
  <c r="F1807" i="1"/>
  <c r="C1807" i="1"/>
  <c r="B1807" i="1"/>
  <c r="F1806" i="1"/>
  <c r="B1806" i="1"/>
  <c r="F1805" i="1"/>
  <c r="C1805" i="1"/>
  <c r="B1805" i="1"/>
  <c r="F1804" i="1"/>
  <c r="C1804" i="1"/>
  <c r="B1804" i="1"/>
  <c r="F1803" i="1"/>
  <c r="B1803" i="1"/>
  <c r="F1802" i="1"/>
  <c r="C1802" i="1"/>
  <c r="B1802" i="1"/>
  <c r="F1801" i="1"/>
  <c r="C1801" i="1"/>
  <c r="B1801" i="1"/>
  <c r="F1800" i="1"/>
  <c r="B1800" i="1"/>
  <c r="F1799" i="1"/>
  <c r="C1799" i="1"/>
  <c r="B1799" i="1"/>
  <c r="F1798" i="1"/>
  <c r="C1798" i="1"/>
  <c r="B1798" i="1"/>
  <c r="F1797" i="1"/>
  <c r="B1797" i="1"/>
  <c r="F1796" i="1"/>
  <c r="C1796" i="1"/>
  <c r="B1796" i="1"/>
  <c r="F1795" i="1"/>
  <c r="C1795" i="1"/>
  <c r="B1795" i="1"/>
  <c r="F1794" i="1"/>
  <c r="C1794" i="1"/>
  <c r="B1794" i="1"/>
  <c r="F1793" i="1"/>
  <c r="C1793" i="1"/>
  <c r="B1793" i="1"/>
  <c r="F1792" i="1"/>
  <c r="C1792" i="1"/>
  <c r="B1792" i="1"/>
  <c r="F1791" i="1"/>
  <c r="B1791" i="1"/>
  <c r="F1790" i="1"/>
  <c r="C1790" i="1"/>
  <c r="B1790" i="1"/>
  <c r="F1789" i="1"/>
  <c r="B1789" i="1"/>
  <c r="F1788" i="1"/>
  <c r="B1788" i="1"/>
  <c r="F1787" i="1"/>
  <c r="C1787" i="1"/>
  <c r="B1787" i="1"/>
  <c r="F1786" i="1"/>
  <c r="C1786" i="1"/>
  <c r="B1786" i="1"/>
  <c r="F1785" i="1"/>
  <c r="C1785" i="1"/>
  <c r="B1785" i="1"/>
  <c r="F1784" i="1"/>
  <c r="B1784" i="1"/>
  <c r="F1783" i="1"/>
  <c r="B1783" i="1"/>
  <c r="F1782" i="1"/>
  <c r="C1782" i="1"/>
  <c r="B1782" i="1"/>
  <c r="F1781" i="1"/>
  <c r="C1781" i="1"/>
  <c r="B1781" i="1"/>
  <c r="F1780" i="1"/>
  <c r="C1780" i="1"/>
  <c r="B1780" i="1"/>
  <c r="F1779" i="1"/>
  <c r="C1779" i="1"/>
  <c r="B1779" i="1"/>
  <c r="F1778" i="1"/>
  <c r="C1778" i="1"/>
  <c r="B1778" i="1"/>
  <c r="F1777" i="1"/>
  <c r="C1777" i="1"/>
  <c r="B1777" i="1"/>
  <c r="F1776" i="1"/>
  <c r="B1776" i="1"/>
  <c r="F1775" i="1"/>
  <c r="C1775" i="1"/>
  <c r="B1775" i="1"/>
  <c r="F1774" i="1"/>
  <c r="B1774" i="1"/>
  <c r="F1773" i="1"/>
  <c r="C1773" i="1"/>
  <c r="B1773" i="1"/>
  <c r="F1772" i="1"/>
  <c r="C1772" i="1"/>
  <c r="B1772" i="1"/>
  <c r="F1771" i="1"/>
  <c r="B1771" i="1"/>
  <c r="F1770" i="1"/>
  <c r="C1770" i="1"/>
  <c r="B1770" i="1"/>
  <c r="F1769" i="1"/>
  <c r="C1769" i="1"/>
  <c r="B1769" i="1"/>
  <c r="F1768" i="1"/>
  <c r="C1768" i="1"/>
  <c r="B1768" i="1"/>
  <c r="F1767" i="1"/>
  <c r="C1767" i="1"/>
  <c r="B1767" i="1"/>
  <c r="F1766" i="1"/>
  <c r="B1766" i="1"/>
  <c r="F1765" i="1"/>
  <c r="C1765" i="1"/>
  <c r="B1765" i="1"/>
  <c r="F1764" i="1"/>
  <c r="C1764" i="1"/>
  <c r="B1764" i="1"/>
  <c r="F1763" i="1"/>
  <c r="B1763" i="1"/>
  <c r="F1762" i="1"/>
  <c r="B1762" i="1"/>
  <c r="F1761" i="1"/>
  <c r="B1761" i="1"/>
  <c r="F1760" i="1"/>
  <c r="C1760" i="1"/>
  <c r="B1760" i="1"/>
  <c r="F1759" i="1"/>
  <c r="C1759" i="1"/>
  <c r="B1759" i="1"/>
  <c r="F1758" i="1"/>
  <c r="B1758" i="1"/>
  <c r="F1757" i="1"/>
  <c r="C1757" i="1"/>
  <c r="B1757" i="1"/>
  <c r="F1756" i="1"/>
  <c r="C1756" i="1"/>
  <c r="B1756" i="1"/>
  <c r="F1755" i="1"/>
  <c r="B1755" i="1"/>
  <c r="F1754" i="1"/>
  <c r="C1754" i="1"/>
  <c r="B1754" i="1"/>
  <c r="F1753" i="1"/>
  <c r="C1753" i="1"/>
  <c r="B1753" i="1"/>
  <c r="F1752" i="1"/>
  <c r="C1752" i="1"/>
  <c r="B1752" i="1"/>
  <c r="F1751" i="1"/>
  <c r="C1751" i="1"/>
  <c r="B1751" i="1"/>
  <c r="F1750" i="1"/>
  <c r="B1750" i="1"/>
  <c r="F1749" i="1"/>
  <c r="C1749" i="1"/>
  <c r="B1749" i="1"/>
  <c r="F1748" i="1"/>
  <c r="C1748" i="1"/>
  <c r="B1748" i="1"/>
  <c r="F1747" i="1"/>
  <c r="B1747" i="1"/>
  <c r="F1746" i="1"/>
  <c r="C1746" i="1"/>
  <c r="B1746" i="1"/>
  <c r="F1745" i="1"/>
  <c r="C1745" i="1"/>
  <c r="B1745" i="1"/>
  <c r="F1744" i="1"/>
  <c r="C1744" i="1"/>
  <c r="B1744" i="1"/>
  <c r="F1743" i="1"/>
  <c r="C1743" i="1"/>
  <c r="B1743" i="1"/>
  <c r="F1742" i="1"/>
  <c r="B1742" i="1"/>
  <c r="F1741" i="1"/>
  <c r="B1741" i="1"/>
  <c r="F1740" i="1"/>
  <c r="B1740" i="1"/>
  <c r="F1739" i="1"/>
  <c r="B1739" i="1"/>
  <c r="F1738" i="1"/>
  <c r="C1738" i="1"/>
  <c r="B1738" i="1"/>
  <c r="F1737" i="1"/>
  <c r="C1737" i="1"/>
  <c r="B1737" i="1"/>
  <c r="F1736" i="1"/>
  <c r="C1736" i="1"/>
  <c r="B1736" i="1"/>
  <c r="F1735" i="1"/>
  <c r="B1735" i="1"/>
  <c r="F1734" i="1"/>
  <c r="B1734" i="1"/>
  <c r="F1733" i="1"/>
  <c r="C1733" i="1"/>
  <c r="B1733" i="1"/>
  <c r="F1732" i="1"/>
  <c r="C1732" i="1"/>
  <c r="B1732" i="1"/>
  <c r="F1731" i="1"/>
  <c r="C1731" i="1"/>
  <c r="B1731" i="1"/>
  <c r="F1730" i="1"/>
  <c r="B1730" i="1"/>
  <c r="F1729" i="1"/>
  <c r="C1729" i="1"/>
  <c r="B1729" i="1"/>
  <c r="F1728" i="1"/>
  <c r="C1728" i="1"/>
  <c r="B1728" i="1"/>
  <c r="F1727" i="1"/>
  <c r="C1727" i="1"/>
  <c r="B1727" i="1"/>
  <c r="F1726" i="1"/>
  <c r="C1726" i="1"/>
  <c r="B1726" i="1"/>
  <c r="F1725" i="1"/>
  <c r="C1725" i="1"/>
  <c r="B1725" i="1"/>
  <c r="F1724" i="1"/>
  <c r="C1724" i="1"/>
  <c r="B1724" i="1"/>
  <c r="F1723" i="1"/>
  <c r="B1723" i="1"/>
  <c r="F1722" i="1"/>
  <c r="B1722" i="1"/>
  <c r="F1721" i="1"/>
  <c r="B1721" i="1"/>
  <c r="F1720" i="1"/>
  <c r="C1720" i="1"/>
  <c r="B1720" i="1"/>
  <c r="F1719" i="1"/>
  <c r="C1719" i="1"/>
  <c r="B1719" i="1"/>
  <c r="F1718" i="1"/>
  <c r="C1718" i="1"/>
  <c r="B1718" i="1"/>
  <c r="F1717" i="1"/>
  <c r="C1717" i="1"/>
  <c r="B1717" i="1"/>
  <c r="F1716" i="1"/>
  <c r="C1716" i="1"/>
  <c r="B1716" i="1"/>
  <c r="F1715" i="1"/>
  <c r="C1715" i="1"/>
  <c r="B1715" i="1"/>
  <c r="F1714" i="1"/>
  <c r="C1714" i="1"/>
  <c r="B1714" i="1"/>
  <c r="F1713" i="1"/>
  <c r="C1713" i="1"/>
  <c r="B1713" i="1"/>
  <c r="F1712" i="1"/>
  <c r="C1712" i="1"/>
  <c r="B1712" i="1"/>
  <c r="F1711" i="1"/>
  <c r="C1711" i="1"/>
  <c r="B1711" i="1"/>
  <c r="F1710" i="1"/>
  <c r="C1710" i="1"/>
  <c r="B1710" i="1"/>
  <c r="F1709" i="1"/>
  <c r="B1709" i="1"/>
  <c r="F1708" i="1"/>
  <c r="C1708" i="1"/>
  <c r="B1708" i="1"/>
  <c r="F1707" i="1"/>
  <c r="C1707" i="1"/>
  <c r="B1707" i="1"/>
  <c r="F1706" i="1"/>
  <c r="C1706" i="1"/>
  <c r="B1706" i="1"/>
  <c r="F1705" i="1"/>
  <c r="C1705" i="1"/>
  <c r="B1705" i="1"/>
  <c r="F1704" i="1"/>
  <c r="C1704" i="1"/>
  <c r="B1704" i="1"/>
  <c r="F1703" i="1"/>
  <c r="C1703" i="1"/>
  <c r="B1703" i="1"/>
  <c r="F1702" i="1"/>
  <c r="B1702" i="1"/>
  <c r="F1701" i="1"/>
  <c r="C1701" i="1"/>
  <c r="B1701" i="1"/>
  <c r="F1700" i="1"/>
  <c r="B1700" i="1"/>
  <c r="F1699" i="1"/>
  <c r="B1699" i="1"/>
  <c r="F1698" i="1"/>
  <c r="C1698" i="1"/>
  <c r="B1698" i="1"/>
  <c r="F1697" i="1"/>
  <c r="B1697" i="1"/>
  <c r="F1696" i="1"/>
  <c r="B1696" i="1"/>
  <c r="F1695" i="1"/>
  <c r="C1695" i="1"/>
  <c r="B1695" i="1"/>
  <c r="F1694" i="1"/>
  <c r="C1694" i="1"/>
  <c r="B1694" i="1"/>
  <c r="F1693" i="1"/>
  <c r="B1693" i="1"/>
  <c r="F1692" i="1"/>
  <c r="C1692" i="1"/>
  <c r="B1692" i="1"/>
  <c r="F1691" i="1"/>
  <c r="B1691" i="1"/>
  <c r="F1690" i="1"/>
  <c r="B1690" i="1"/>
  <c r="F1689" i="1"/>
  <c r="C1689" i="1"/>
  <c r="B1689" i="1"/>
  <c r="F1688" i="1"/>
  <c r="C1688" i="1"/>
  <c r="B1688" i="1"/>
  <c r="F1687" i="1"/>
  <c r="B1687" i="1"/>
  <c r="F1686" i="1"/>
  <c r="B1686" i="1"/>
  <c r="F1685" i="1"/>
  <c r="B1685" i="1"/>
  <c r="F1684" i="1"/>
  <c r="B1684" i="1"/>
  <c r="F1683" i="1"/>
  <c r="B1683" i="1"/>
  <c r="F1682" i="1"/>
  <c r="C1682" i="1"/>
  <c r="B1682" i="1"/>
  <c r="F1681" i="1"/>
  <c r="B1681" i="1"/>
  <c r="F1680" i="1"/>
  <c r="C1680" i="1"/>
  <c r="B1680" i="1"/>
  <c r="F1679" i="1"/>
  <c r="C1679" i="1"/>
  <c r="B1679" i="1"/>
  <c r="F1678" i="1"/>
  <c r="C1678" i="1"/>
  <c r="B1678" i="1"/>
  <c r="F1677" i="1"/>
  <c r="C1677" i="1"/>
  <c r="B1677" i="1"/>
  <c r="F1676" i="1"/>
  <c r="C1676" i="1"/>
  <c r="B1676" i="1"/>
  <c r="F1675" i="1"/>
  <c r="C1675" i="1"/>
  <c r="B1675" i="1"/>
  <c r="F1674" i="1"/>
  <c r="C1674" i="1"/>
  <c r="B1674" i="1"/>
  <c r="F1673" i="1"/>
  <c r="B1673" i="1"/>
  <c r="F1672" i="1"/>
  <c r="C1672" i="1"/>
  <c r="B1672" i="1"/>
  <c r="F1671" i="1"/>
  <c r="C1671" i="1"/>
  <c r="B1671" i="1"/>
  <c r="F1670" i="1"/>
  <c r="B1670" i="1"/>
  <c r="F1669" i="1"/>
  <c r="C1669" i="1"/>
  <c r="B1669" i="1"/>
  <c r="F1668" i="1"/>
  <c r="B1668" i="1"/>
  <c r="F1667" i="1"/>
  <c r="B1667" i="1"/>
  <c r="F1666" i="1"/>
  <c r="B1666" i="1"/>
  <c r="F1665" i="1"/>
  <c r="B1665" i="1"/>
  <c r="F1664" i="1"/>
  <c r="B1664" i="1"/>
  <c r="F1663" i="1"/>
  <c r="B1663" i="1"/>
  <c r="F1662" i="1"/>
  <c r="C1662" i="1"/>
  <c r="B1662" i="1"/>
  <c r="F1661" i="1"/>
  <c r="B1661" i="1"/>
  <c r="F1660" i="1"/>
  <c r="B1660" i="1"/>
  <c r="F1659" i="1"/>
  <c r="C1659" i="1"/>
  <c r="B1659" i="1"/>
  <c r="F1658" i="1"/>
  <c r="C1658" i="1"/>
  <c r="B1658" i="1"/>
  <c r="F1657" i="1"/>
  <c r="C1657" i="1"/>
  <c r="B1657" i="1"/>
  <c r="F1656" i="1"/>
  <c r="C1656" i="1"/>
  <c r="B1656" i="1"/>
  <c r="F1655" i="1"/>
  <c r="C1655" i="1"/>
  <c r="B1655" i="1"/>
  <c r="F1654" i="1"/>
  <c r="C1654" i="1"/>
  <c r="B1654" i="1"/>
  <c r="F1653" i="1"/>
  <c r="C1653" i="1"/>
  <c r="B1653" i="1"/>
  <c r="F1652" i="1"/>
  <c r="B1652" i="1"/>
  <c r="F1651" i="1"/>
  <c r="B1651" i="1"/>
  <c r="F1650" i="1"/>
  <c r="B1650" i="1"/>
  <c r="F1649" i="1"/>
  <c r="C1649" i="1"/>
  <c r="B1649" i="1"/>
  <c r="F1648" i="1"/>
  <c r="C1648" i="1"/>
  <c r="B1648" i="1"/>
  <c r="F1647" i="1"/>
  <c r="C1647" i="1"/>
  <c r="B1647" i="1"/>
  <c r="F1646" i="1"/>
  <c r="C1646" i="1"/>
  <c r="B1646" i="1"/>
  <c r="F1645" i="1"/>
  <c r="C1645" i="1"/>
  <c r="B1645" i="1"/>
  <c r="F1644" i="1"/>
  <c r="B1644" i="1"/>
  <c r="F1643" i="1"/>
  <c r="C1643" i="1"/>
  <c r="B1643" i="1"/>
  <c r="F1642" i="1"/>
  <c r="B1642" i="1"/>
  <c r="F1641" i="1"/>
  <c r="C1641" i="1"/>
  <c r="B1641" i="1"/>
  <c r="F1640" i="1"/>
  <c r="C1640" i="1"/>
  <c r="B1640" i="1"/>
  <c r="F1639" i="1"/>
  <c r="C1639" i="1"/>
  <c r="B1639" i="1"/>
  <c r="F1638" i="1"/>
  <c r="B1638" i="1"/>
  <c r="F1637" i="1"/>
  <c r="B1637" i="1"/>
  <c r="F1636" i="1"/>
  <c r="C1636" i="1"/>
  <c r="B1636" i="1"/>
  <c r="F1635" i="1"/>
  <c r="B1635" i="1"/>
  <c r="F1634" i="1"/>
  <c r="C1634" i="1"/>
  <c r="B1634" i="1"/>
  <c r="F1633" i="1"/>
  <c r="C1633" i="1"/>
  <c r="B1633" i="1"/>
  <c r="F1632" i="1"/>
  <c r="C1632" i="1"/>
  <c r="B1632" i="1"/>
  <c r="F1631" i="1"/>
  <c r="B1631" i="1"/>
  <c r="F1630" i="1"/>
  <c r="B1630" i="1"/>
  <c r="F1629" i="1"/>
  <c r="C1629" i="1"/>
  <c r="B1629" i="1"/>
  <c r="F1628" i="1"/>
  <c r="C1628" i="1"/>
  <c r="B1628" i="1"/>
  <c r="F1627" i="1"/>
  <c r="C1627" i="1"/>
  <c r="B1627" i="1"/>
  <c r="F1626" i="1"/>
  <c r="C1626" i="1"/>
  <c r="B1626" i="1"/>
  <c r="F1625" i="1"/>
  <c r="B1625" i="1"/>
  <c r="F1624" i="1"/>
  <c r="C1624" i="1"/>
  <c r="B1624" i="1"/>
  <c r="F1623" i="1"/>
  <c r="C1623" i="1"/>
  <c r="B1623" i="1"/>
  <c r="F1622" i="1"/>
  <c r="B1622" i="1"/>
  <c r="F1621" i="1"/>
  <c r="B1621" i="1"/>
  <c r="F1620" i="1"/>
  <c r="B1620" i="1"/>
  <c r="F1619" i="1"/>
  <c r="C1619" i="1"/>
  <c r="B1619" i="1"/>
  <c r="F1618" i="1"/>
  <c r="C1618" i="1"/>
  <c r="B1618" i="1"/>
  <c r="F1617" i="1"/>
  <c r="C1617" i="1"/>
  <c r="B1617" i="1"/>
  <c r="F1616" i="1"/>
  <c r="B1616" i="1"/>
  <c r="F1615" i="1"/>
  <c r="C1615" i="1"/>
  <c r="B1615" i="1"/>
  <c r="F1614" i="1"/>
  <c r="B1614" i="1"/>
  <c r="F1613" i="1"/>
  <c r="B1613" i="1"/>
  <c r="F1612" i="1"/>
  <c r="C1612" i="1"/>
  <c r="B1612" i="1"/>
  <c r="F1611" i="1"/>
  <c r="B1611" i="1"/>
  <c r="F1610" i="1"/>
  <c r="B1610" i="1"/>
  <c r="F1609" i="1"/>
  <c r="C1609" i="1"/>
  <c r="B1609" i="1"/>
  <c r="F1608" i="1"/>
  <c r="B1608" i="1"/>
  <c r="F1607" i="1"/>
  <c r="B1607" i="1"/>
  <c r="F1606" i="1"/>
  <c r="B1606" i="1"/>
  <c r="F1605" i="1"/>
  <c r="B1605" i="1"/>
  <c r="F1604" i="1"/>
  <c r="B1604" i="1"/>
  <c r="F1603" i="1"/>
  <c r="B1603" i="1"/>
  <c r="F1602" i="1"/>
  <c r="C1602" i="1"/>
  <c r="B1602" i="1"/>
  <c r="F1601" i="1"/>
  <c r="C1601" i="1"/>
  <c r="B1601" i="1"/>
  <c r="F1600" i="1"/>
  <c r="C1600" i="1"/>
  <c r="B1600" i="1"/>
  <c r="F1599" i="1"/>
  <c r="B1599" i="1"/>
  <c r="F1598" i="1"/>
  <c r="B1598" i="1"/>
  <c r="F1597" i="1"/>
  <c r="C1597" i="1"/>
  <c r="B1597" i="1"/>
  <c r="F1596" i="1"/>
  <c r="C1596" i="1"/>
  <c r="B1596" i="1"/>
  <c r="F1595" i="1"/>
  <c r="C1595" i="1"/>
  <c r="B1595" i="1"/>
  <c r="F1594" i="1"/>
  <c r="C1594" i="1"/>
  <c r="B1594" i="1"/>
  <c r="F1593" i="1"/>
  <c r="B1593" i="1"/>
  <c r="F1592" i="1"/>
  <c r="C1592" i="1"/>
  <c r="B1592" i="1"/>
  <c r="F1591" i="1"/>
  <c r="B1591" i="1"/>
  <c r="F1590" i="1"/>
  <c r="C1590" i="1"/>
  <c r="B1590" i="1"/>
  <c r="F1589" i="1"/>
  <c r="C1589" i="1"/>
  <c r="B1589" i="1"/>
  <c r="F1588" i="1"/>
  <c r="C1588" i="1"/>
  <c r="B1588" i="1"/>
  <c r="F1587" i="1"/>
  <c r="B1587" i="1"/>
  <c r="F1586" i="1"/>
  <c r="C1586" i="1"/>
  <c r="B1586" i="1"/>
  <c r="F1585" i="1"/>
  <c r="C1585" i="1"/>
  <c r="B1585" i="1"/>
  <c r="F1584" i="1"/>
  <c r="B1584" i="1"/>
  <c r="F1583" i="1"/>
  <c r="C1583" i="1"/>
  <c r="B1583" i="1"/>
  <c r="F1582" i="1"/>
  <c r="C1582" i="1"/>
  <c r="B1582" i="1"/>
  <c r="F1581" i="1"/>
  <c r="C1581" i="1"/>
  <c r="B1581" i="1"/>
  <c r="F1580" i="1"/>
  <c r="B1580" i="1"/>
  <c r="F1579" i="1"/>
  <c r="C1579" i="1"/>
  <c r="B1579" i="1"/>
  <c r="F1578" i="1"/>
  <c r="C1578" i="1"/>
  <c r="B1578" i="1"/>
  <c r="F1577" i="1"/>
  <c r="C1577" i="1"/>
  <c r="B1577" i="1"/>
  <c r="F1576" i="1"/>
  <c r="B1576" i="1"/>
  <c r="F1575" i="1"/>
  <c r="C1575" i="1"/>
  <c r="B1575" i="1"/>
  <c r="F1574" i="1"/>
  <c r="C1574" i="1"/>
  <c r="B1574" i="1"/>
  <c r="F1573" i="1"/>
  <c r="C1573" i="1"/>
  <c r="B1573" i="1"/>
  <c r="F1572" i="1"/>
  <c r="C1572" i="1"/>
  <c r="B1572" i="1"/>
  <c r="F1571" i="1"/>
  <c r="C1571" i="1"/>
  <c r="B1571" i="1"/>
  <c r="F1570" i="1"/>
  <c r="C1570" i="1"/>
  <c r="B1570" i="1"/>
  <c r="F1569" i="1"/>
  <c r="C1569" i="1"/>
  <c r="B1569" i="1"/>
  <c r="F1568" i="1"/>
  <c r="C1568" i="1"/>
  <c r="B1568" i="1"/>
  <c r="F1567" i="1"/>
  <c r="B1567" i="1"/>
  <c r="F1566" i="1"/>
  <c r="C1566" i="1"/>
  <c r="B1566" i="1"/>
  <c r="F1565" i="1"/>
  <c r="C1565" i="1"/>
  <c r="B1565" i="1"/>
  <c r="F1564" i="1"/>
  <c r="C1564" i="1"/>
  <c r="B1564" i="1"/>
  <c r="F1563" i="1"/>
  <c r="C1563" i="1"/>
  <c r="B1563" i="1"/>
  <c r="F1562" i="1"/>
  <c r="C1562" i="1"/>
  <c r="B1562" i="1"/>
  <c r="F1561" i="1"/>
  <c r="C1561" i="1"/>
  <c r="B1561" i="1"/>
  <c r="F1560" i="1"/>
  <c r="C1560" i="1"/>
  <c r="B1560" i="1"/>
  <c r="F1559" i="1"/>
  <c r="C1559" i="1"/>
  <c r="B1559" i="1"/>
  <c r="F1558" i="1"/>
  <c r="C1558" i="1"/>
  <c r="B1558" i="1"/>
  <c r="F1557" i="1"/>
  <c r="B1557" i="1"/>
  <c r="F1556" i="1"/>
  <c r="C1556" i="1"/>
  <c r="B1556" i="1"/>
  <c r="F1555" i="1"/>
  <c r="C1555" i="1"/>
  <c r="B1555" i="1"/>
  <c r="F1554" i="1"/>
  <c r="C1554" i="1"/>
  <c r="B1554" i="1"/>
  <c r="F1553" i="1"/>
  <c r="C1553" i="1"/>
  <c r="B1553" i="1"/>
  <c r="F1552" i="1"/>
  <c r="B1552" i="1"/>
  <c r="F1551" i="1"/>
  <c r="B1551" i="1"/>
  <c r="F1550" i="1"/>
  <c r="C1550" i="1"/>
  <c r="B1550" i="1"/>
  <c r="F1549" i="1"/>
  <c r="B1549" i="1"/>
  <c r="F1548" i="1"/>
  <c r="B1548" i="1"/>
  <c r="F1547" i="1"/>
  <c r="C1547" i="1"/>
  <c r="B1547" i="1"/>
  <c r="F1546" i="1"/>
  <c r="C1546" i="1"/>
  <c r="B1546" i="1"/>
  <c r="F1545" i="1"/>
  <c r="C1545" i="1"/>
  <c r="B1545" i="1"/>
  <c r="F1544" i="1"/>
  <c r="C1544" i="1"/>
  <c r="B1544" i="1"/>
  <c r="F1543" i="1"/>
  <c r="C1543" i="1"/>
  <c r="B1543" i="1"/>
  <c r="F1542" i="1"/>
  <c r="C1542" i="1"/>
  <c r="B1542" i="1"/>
  <c r="F1541" i="1"/>
  <c r="C1541" i="1"/>
  <c r="B1541" i="1"/>
  <c r="F1540" i="1"/>
  <c r="B1540" i="1"/>
  <c r="F1539" i="1"/>
  <c r="B1539" i="1"/>
  <c r="F1538" i="1"/>
  <c r="B1538" i="1"/>
  <c r="F1537" i="1"/>
  <c r="C1537" i="1"/>
  <c r="B1537" i="1"/>
  <c r="F1536" i="1"/>
  <c r="B1536" i="1"/>
  <c r="F1535" i="1"/>
  <c r="C1535" i="1"/>
  <c r="B1535" i="1"/>
  <c r="F1534" i="1"/>
  <c r="B1534" i="1"/>
  <c r="F1533" i="1"/>
  <c r="B1533" i="1"/>
  <c r="F1532" i="1"/>
  <c r="C1532" i="1"/>
  <c r="B1532" i="1"/>
  <c r="F1531" i="1"/>
  <c r="C1531" i="1"/>
  <c r="B1531" i="1"/>
  <c r="F1530" i="1"/>
  <c r="C1530" i="1"/>
  <c r="B1530" i="1"/>
  <c r="F1529" i="1"/>
  <c r="C1529" i="1"/>
  <c r="B1529" i="1"/>
  <c r="F1528" i="1"/>
  <c r="C1528" i="1"/>
  <c r="B1528" i="1"/>
  <c r="F1527" i="1"/>
  <c r="C1527" i="1"/>
  <c r="B1527" i="1"/>
  <c r="F1526" i="1"/>
  <c r="C1526" i="1"/>
  <c r="B1526" i="1"/>
  <c r="F1525" i="1"/>
  <c r="C1525" i="1"/>
  <c r="B1525" i="1"/>
  <c r="F1524" i="1"/>
  <c r="C1524" i="1"/>
  <c r="B1524" i="1"/>
  <c r="F1523" i="1"/>
  <c r="C1523" i="1"/>
  <c r="B1523" i="1"/>
  <c r="F1522" i="1"/>
  <c r="C1522" i="1"/>
  <c r="B1522" i="1"/>
  <c r="F1521" i="1"/>
  <c r="C1521" i="1"/>
  <c r="B1521" i="1"/>
  <c r="F1520" i="1"/>
  <c r="C1520" i="1"/>
  <c r="B1520" i="1"/>
  <c r="F1519" i="1"/>
  <c r="C1519" i="1"/>
  <c r="B1519" i="1"/>
  <c r="F1518" i="1"/>
  <c r="B1518" i="1"/>
  <c r="F1517" i="1"/>
  <c r="C1517" i="1"/>
  <c r="B1517" i="1"/>
  <c r="F1516" i="1"/>
  <c r="B1516" i="1"/>
  <c r="F1515" i="1"/>
  <c r="B1515" i="1"/>
  <c r="F1514" i="1"/>
  <c r="C1514" i="1"/>
  <c r="B1514" i="1"/>
  <c r="F1513" i="1"/>
  <c r="C1513" i="1"/>
  <c r="B1513" i="1"/>
  <c r="F1512" i="1"/>
  <c r="B1512" i="1"/>
  <c r="F1511" i="1"/>
  <c r="B1511" i="1"/>
  <c r="F1510" i="1"/>
  <c r="C1510" i="1"/>
  <c r="B1510" i="1"/>
  <c r="F1509" i="1"/>
  <c r="C1509" i="1"/>
  <c r="B1509" i="1"/>
  <c r="F1508" i="1"/>
  <c r="C1508" i="1"/>
  <c r="B1508" i="1"/>
  <c r="F1507" i="1"/>
  <c r="C1507" i="1"/>
  <c r="B1507" i="1"/>
  <c r="F1506" i="1"/>
  <c r="B1506" i="1"/>
  <c r="F1505" i="1"/>
  <c r="B1505" i="1"/>
  <c r="F1504" i="1"/>
  <c r="B1504" i="1"/>
  <c r="F1503" i="1"/>
  <c r="C1503" i="1"/>
  <c r="B1503" i="1"/>
  <c r="F1502" i="1"/>
  <c r="B1502" i="1"/>
  <c r="F1501" i="1"/>
  <c r="B1501" i="1"/>
  <c r="F1500" i="1"/>
  <c r="B1500" i="1"/>
  <c r="F1499" i="1"/>
  <c r="B1499" i="1"/>
  <c r="F1498" i="1"/>
  <c r="C1498" i="1"/>
  <c r="B1498" i="1"/>
  <c r="F1497" i="1"/>
  <c r="C1497" i="1"/>
  <c r="B1497" i="1"/>
  <c r="F1496" i="1"/>
  <c r="C1496" i="1"/>
  <c r="B1496" i="1"/>
  <c r="F1495" i="1"/>
  <c r="C1495" i="1"/>
  <c r="B1495" i="1"/>
  <c r="F1494" i="1"/>
  <c r="B1494" i="1"/>
  <c r="F1493" i="1"/>
  <c r="C1493" i="1"/>
  <c r="B1493" i="1"/>
  <c r="F1492" i="1"/>
  <c r="C1492" i="1"/>
  <c r="B1492" i="1"/>
  <c r="F1491" i="1"/>
  <c r="B1491" i="1"/>
  <c r="F1490" i="1"/>
  <c r="C1490" i="1"/>
  <c r="B1490" i="1"/>
  <c r="F1489" i="1"/>
  <c r="C1489" i="1"/>
  <c r="B1489" i="1"/>
  <c r="F1488" i="1"/>
  <c r="B1488" i="1"/>
  <c r="F1487" i="1"/>
  <c r="C1487" i="1"/>
  <c r="B1487" i="1"/>
  <c r="F1486" i="1"/>
  <c r="C1486" i="1"/>
  <c r="B1486" i="1"/>
  <c r="F1485" i="1"/>
  <c r="C1485" i="1"/>
  <c r="B1485" i="1"/>
  <c r="F1484" i="1"/>
  <c r="C1484" i="1"/>
  <c r="B1484" i="1"/>
  <c r="F1483" i="1"/>
  <c r="C1483" i="1"/>
  <c r="B1483" i="1"/>
  <c r="F1482" i="1"/>
  <c r="C1482" i="1"/>
  <c r="B1482" i="1"/>
  <c r="F1481" i="1"/>
  <c r="B1481" i="1"/>
  <c r="F1480" i="1"/>
  <c r="C1480" i="1"/>
  <c r="B1480" i="1"/>
  <c r="F1479" i="1"/>
  <c r="C1479" i="1"/>
  <c r="B1479" i="1"/>
  <c r="F1478" i="1"/>
  <c r="B1478" i="1"/>
  <c r="F1477" i="1"/>
  <c r="B1477" i="1"/>
  <c r="F1476" i="1"/>
  <c r="C1476" i="1"/>
  <c r="B1476" i="1"/>
  <c r="F1475" i="1"/>
  <c r="C1475" i="1"/>
  <c r="B1475" i="1"/>
  <c r="F1474" i="1"/>
  <c r="B1474" i="1"/>
  <c r="F1473" i="1"/>
  <c r="C1473" i="1"/>
  <c r="B1473" i="1"/>
  <c r="F1472" i="1"/>
  <c r="B1472" i="1"/>
  <c r="F1471" i="1"/>
  <c r="C1471" i="1"/>
  <c r="B1471" i="1"/>
  <c r="F1470" i="1"/>
  <c r="C1470" i="1"/>
  <c r="B1470" i="1"/>
  <c r="F1469" i="1"/>
  <c r="B1469" i="1"/>
  <c r="F1468" i="1"/>
  <c r="C1468" i="1"/>
  <c r="B1468" i="1"/>
  <c r="F1467" i="1"/>
  <c r="B1467" i="1"/>
  <c r="F1466" i="1"/>
  <c r="C1466" i="1"/>
  <c r="B1466" i="1"/>
  <c r="F1465" i="1"/>
  <c r="B1465" i="1"/>
  <c r="F1464" i="1"/>
  <c r="C1464" i="1"/>
  <c r="B1464" i="1"/>
  <c r="F1463" i="1"/>
  <c r="B1463" i="1"/>
  <c r="F1462" i="1"/>
  <c r="C1462" i="1"/>
  <c r="B1462" i="1"/>
  <c r="F1461" i="1"/>
  <c r="C1461" i="1"/>
  <c r="B1461" i="1"/>
  <c r="F1460" i="1"/>
  <c r="C1460" i="1"/>
  <c r="B1460" i="1"/>
  <c r="F1459" i="1"/>
  <c r="C1459" i="1"/>
  <c r="B1459" i="1"/>
  <c r="F1458" i="1"/>
  <c r="C1458" i="1"/>
  <c r="B1458" i="1"/>
  <c r="F1457" i="1"/>
  <c r="B1457" i="1"/>
  <c r="F1456" i="1"/>
  <c r="B1456" i="1"/>
  <c r="F1455" i="1"/>
  <c r="B1455" i="1"/>
  <c r="F1454" i="1"/>
  <c r="C1454" i="1"/>
  <c r="B1454" i="1"/>
  <c r="F1453" i="1"/>
  <c r="C1453" i="1"/>
  <c r="B1453" i="1"/>
  <c r="F1452" i="1"/>
  <c r="C1452" i="1"/>
  <c r="B1452" i="1"/>
  <c r="F1451" i="1"/>
  <c r="C1451" i="1"/>
  <c r="B1451" i="1"/>
  <c r="F1450" i="1"/>
  <c r="B1450" i="1"/>
  <c r="F1449" i="1"/>
  <c r="B1449" i="1"/>
  <c r="F1448" i="1"/>
  <c r="C1448" i="1"/>
  <c r="B1448" i="1"/>
  <c r="F1447" i="1"/>
  <c r="B1447" i="1"/>
  <c r="F1446" i="1"/>
  <c r="C1446" i="1"/>
  <c r="B1446" i="1"/>
  <c r="F1445" i="1"/>
  <c r="C1445" i="1"/>
  <c r="B1445" i="1"/>
  <c r="F1444" i="1"/>
  <c r="B1444" i="1"/>
  <c r="F1443" i="1"/>
  <c r="C1443" i="1"/>
  <c r="B1443" i="1"/>
  <c r="F1442" i="1"/>
  <c r="C1442" i="1"/>
  <c r="B1442" i="1"/>
  <c r="F1441" i="1"/>
  <c r="C1441" i="1"/>
  <c r="B1441" i="1"/>
  <c r="F1440" i="1"/>
  <c r="C1440" i="1"/>
  <c r="B1440" i="1"/>
  <c r="F1439" i="1"/>
  <c r="C1439" i="1"/>
  <c r="B1439" i="1"/>
  <c r="F1438" i="1"/>
  <c r="C1438" i="1"/>
  <c r="B1438" i="1"/>
  <c r="F1437" i="1"/>
  <c r="B1437" i="1"/>
  <c r="F1436" i="1"/>
  <c r="B1436" i="1"/>
  <c r="F1435" i="1"/>
  <c r="B1435" i="1"/>
  <c r="F1434" i="1"/>
  <c r="C1434" i="1"/>
  <c r="B1434" i="1"/>
  <c r="F1433" i="1"/>
  <c r="C1433" i="1"/>
  <c r="B1433" i="1"/>
  <c r="F1432" i="1"/>
  <c r="C1432" i="1"/>
  <c r="B1432" i="1"/>
  <c r="F1431" i="1"/>
  <c r="C1431" i="1"/>
  <c r="B1431" i="1"/>
  <c r="F1430" i="1"/>
  <c r="C1430" i="1"/>
  <c r="B1430" i="1"/>
  <c r="F1429" i="1"/>
  <c r="C1429" i="1"/>
  <c r="B1429" i="1"/>
  <c r="F1428" i="1"/>
  <c r="C1428" i="1"/>
  <c r="B1428" i="1"/>
  <c r="F1427" i="1"/>
  <c r="C1427" i="1"/>
  <c r="B1427" i="1"/>
  <c r="F1426" i="1"/>
  <c r="C1426" i="1"/>
  <c r="B1426" i="1"/>
  <c r="F1425" i="1"/>
  <c r="C1425" i="1"/>
  <c r="B1425" i="1"/>
  <c r="F1424" i="1"/>
  <c r="C1424" i="1"/>
  <c r="B1424" i="1"/>
  <c r="F1423" i="1"/>
  <c r="B1423" i="1"/>
  <c r="F1422" i="1"/>
  <c r="C1422" i="1"/>
  <c r="B1422" i="1"/>
  <c r="F1421" i="1"/>
  <c r="C1421" i="1"/>
  <c r="B1421" i="1"/>
  <c r="F1420" i="1"/>
  <c r="B1420" i="1"/>
  <c r="F1419" i="1"/>
  <c r="B1419" i="1"/>
  <c r="F1418" i="1"/>
  <c r="C1418" i="1"/>
  <c r="B1418" i="1"/>
  <c r="F1417" i="1"/>
  <c r="C1417" i="1"/>
  <c r="B1417" i="1"/>
  <c r="F1416" i="1"/>
  <c r="C1416" i="1"/>
  <c r="B1416" i="1"/>
  <c r="F1415" i="1"/>
  <c r="C1415" i="1"/>
  <c r="B1415" i="1"/>
  <c r="F1414" i="1"/>
  <c r="C1414" i="1"/>
  <c r="B1414" i="1"/>
  <c r="F1413" i="1"/>
  <c r="B1413" i="1"/>
  <c r="F1412" i="1"/>
  <c r="C1412" i="1"/>
  <c r="B1412" i="1"/>
  <c r="F1411" i="1"/>
  <c r="C1411" i="1"/>
  <c r="B1411" i="1"/>
  <c r="F1410" i="1"/>
  <c r="C1410" i="1"/>
  <c r="B1410" i="1"/>
  <c r="F1409" i="1"/>
  <c r="C1409" i="1"/>
  <c r="B1409" i="1"/>
  <c r="F1408" i="1"/>
  <c r="C1408" i="1"/>
  <c r="B1408" i="1"/>
  <c r="F1407" i="1"/>
  <c r="C1407" i="1"/>
  <c r="B1407" i="1"/>
  <c r="F1406" i="1"/>
  <c r="C1406" i="1"/>
  <c r="B1406" i="1"/>
  <c r="F1405" i="1"/>
  <c r="C1405" i="1"/>
  <c r="B1405" i="1"/>
  <c r="F1404" i="1"/>
  <c r="C1404" i="1"/>
  <c r="B1404" i="1"/>
  <c r="F1403" i="1"/>
  <c r="C1403" i="1"/>
  <c r="B1403" i="1"/>
  <c r="F1402" i="1"/>
  <c r="C1402" i="1"/>
  <c r="B1402" i="1"/>
  <c r="F1401" i="1"/>
  <c r="C1401" i="1"/>
  <c r="B1401" i="1"/>
  <c r="F1400" i="1"/>
  <c r="C1400" i="1"/>
  <c r="B1400" i="1"/>
  <c r="F1399" i="1"/>
  <c r="C1399" i="1"/>
  <c r="B1399" i="1"/>
  <c r="F1398" i="1"/>
  <c r="B1398" i="1"/>
  <c r="F1397" i="1"/>
  <c r="C1397" i="1"/>
  <c r="B1397" i="1"/>
  <c r="F1396" i="1"/>
  <c r="C1396" i="1"/>
  <c r="B1396" i="1"/>
  <c r="F1395" i="1"/>
  <c r="C1395" i="1"/>
  <c r="B1395" i="1"/>
  <c r="F1394" i="1"/>
  <c r="C1394" i="1"/>
  <c r="B1394" i="1"/>
  <c r="F1393" i="1"/>
  <c r="C1393" i="1"/>
  <c r="B1393" i="1"/>
  <c r="F1392" i="1"/>
  <c r="B1392" i="1"/>
  <c r="F1391" i="1"/>
  <c r="B1391" i="1"/>
  <c r="F1390" i="1"/>
  <c r="C1390" i="1"/>
  <c r="B1390" i="1"/>
  <c r="F1389" i="1"/>
  <c r="C1389" i="1"/>
  <c r="B1389" i="1"/>
  <c r="F1388" i="1"/>
  <c r="C1388" i="1"/>
  <c r="B1388" i="1"/>
  <c r="F1387" i="1"/>
  <c r="C1387" i="1"/>
  <c r="B1387" i="1"/>
  <c r="F1386" i="1"/>
  <c r="C1386" i="1"/>
  <c r="B1386" i="1"/>
  <c r="F1385" i="1"/>
  <c r="C1385" i="1"/>
  <c r="B1385" i="1"/>
  <c r="F1384" i="1"/>
  <c r="C1384" i="1"/>
  <c r="B1384" i="1"/>
  <c r="F1383" i="1"/>
  <c r="C1383" i="1"/>
  <c r="B1383" i="1"/>
  <c r="F1382" i="1"/>
  <c r="C1382" i="1"/>
  <c r="B1382" i="1"/>
  <c r="F1381" i="1"/>
  <c r="C1381" i="1"/>
  <c r="B1381" i="1"/>
  <c r="F1380" i="1"/>
  <c r="B1380" i="1"/>
  <c r="F1379" i="1"/>
  <c r="C1379" i="1"/>
  <c r="B1379" i="1"/>
  <c r="F1378" i="1"/>
  <c r="C1378" i="1"/>
  <c r="B1378" i="1"/>
  <c r="F1377" i="1"/>
  <c r="C1377" i="1"/>
  <c r="B1377" i="1"/>
  <c r="F1376" i="1"/>
  <c r="C1376" i="1"/>
  <c r="B1376" i="1"/>
  <c r="F1375" i="1"/>
  <c r="C1375" i="1"/>
  <c r="B1375" i="1"/>
  <c r="F1374" i="1"/>
  <c r="B1374" i="1"/>
  <c r="F1373" i="1"/>
  <c r="C1373" i="1"/>
  <c r="B1373" i="1"/>
  <c r="F1372" i="1"/>
  <c r="C1372" i="1"/>
  <c r="B1372" i="1"/>
  <c r="F1371" i="1"/>
  <c r="C1371" i="1"/>
  <c r="B1371" i="1"/>
  <c r="F1370" i="1"/>
  <c r="B1370" i="1"/>
  <c r="F1369" i="1"/>
  <c r="C1369" i="1"/>
  <c r="B1369" i="1"/>
  <c r="F1368" i="1"/>
  <c r="C1368" i="1"/>
  <c r="B1368" i="1"/>
  <c r="F1367" i="1"/>
  <c r="C1367" i="1"/>
  <c r="B1367" i="1"/>
  <c r="F1366" i="1"/>
  <c r="C1366" i="1"/>
  <c r="B1366" i="1"/>
  <c r="F1365" i="1"/>
  <c r="C1365" i="1"/>
  <c r="B1365" i="1"/>
  <c r="F1364" i="1"/>
  <c r="C1364" i="1"/>
  <c r="B1364" i="1"/>
  <c r="F1363" i="1"/>
  <c r="C1363" i="1"/>
  <c r="B1363" i="1"/>
  <c r="F1362" i="1"/>
  <c r="C1362" i="1"/>
  <c r="B1362" i="1"/>
  <c r="F1361" i="1"/>
  <c r="C1361" i="1"/>
  <c r="B1361" i="1"/>
  <c r="F1360" i="1"/>
  <c r="B1360" i="1"/>
  <c r="F1359" i="1"/>
  <c r="C1359" i="1"/>
  <c r="B1359" i="1"/>
  <c r="F1358" i="1"/>
  <c r="C1358" i="1"/>
  <c r="B1358" i="1"/>
  <c r="F1357" i="1"/>
  <c r="C1357" i="1"/>
  <c r="B1357" i="1"/>
  <c r="F1356" i="1"/>
  <c r="C1356" i="1"/>
  <c r="B1356" i="1"/>
  <c r="F1355" i="1"/>
  <c r="C1355" i="1"/>
  <c r="B1355" i="1"/>
  <c r="F1354" i="1"/>
  <c r="B1354" i="1"/>
  <c r="F1353" i="1"/>
  <c r="B1353" i="1"/>
  <c r="F1352" i="1"/>
  <c r="C1352" i="1"/>
  <c r="B1352" i="1"/>
  <c r="F1351" i="1"/>
  <c r="C1351" i="1"/>
  <c r="B1351" i="1"/>
  <c r="F1350" i="1"/>
  <c r="C1350" i="1"/>
  <c r="B1350" i="1"/>
  <c r="F1349" i="1"/>
  <c r="C1349" i="1"/>
  <c r="B1349" i="1"/>
  <c r="F1348" i="1"/>
  <c r="B1348" i="1"/>
  <c r="F1347" i="1"/>
  <c r="C1347" i="1"/>
  <c r="B1347" i="1"/>
  <c r="F1346" i="1"/>
  <c r="C1346" i="1"/>
  <c r="B1346" i="1"/>
  <c r="F1345" i="1"/>
  <c r="C1345" i="1"/>
  <c r="B1345" i="1"/>
  <c r="F1344" i="1"/>
  <c r="C1344" i="1"/>
  <c r="B1344" i="1"/>
  <c r="F1343" i="1"/>
  <c r="B1343" i="1"/>
  <c r="F1342" i="1"/>
  <c r="C1342" i="1"/>
  <c r="B1342" i="1"/>
  <c r="F1341" i="1"/>
  <c r="C1341" i="1"/>
  <c r="B1341" i="1"/>
  <c r="F1340" i="1"/>
  <c r="C1340" i="1"/>
  <c r="B1340" i="1"/>
  <c r="F1339" i="1"/>
  <c r="B1339" i="1"/>
  <c r="F1338" i="1"/>
  <c r="C1338" i="1"/>
  <c r="B1338" i="1"/>
  <c r="F1337" i="1"/>
  <c r="C1337" i="1"/>
  <c r="B1337" i="1"/>
  <c r="F1336" i="1"/>
  <c r="C1336" i="1"/>
  <c r="B1336" i="1"/>
  <c r="F1335" i="1"/>
  <c r="C1335" i="1"/>
  <c r="B1335" i="1"/>
  <c r="F1334" i="1"/>
  <c r="C1334" i="1"/>
  <c r="B1334" i="1"/>
  <c r="F1333" i="1"/>
  <c r="B1333" i="1"/>
  <c r="F1332" i="1"/>
  <c r="C1332" i="1"/>
  <c r="B1332" i="1"/>
  <c r="F1331" i="1"/>
  <c r="B1331" i="1"/>
  <c r="F1330" i="1"/>
  <c r="B1330" i="1"/>
  <c r="F1329" i="1"/>
  <c r="C1329" i="1"/>
  <c r="B1329" i="1"/>
  <c r="F1328" i="1"/>
  <c r="B1328" i="1"/>
  <c r="F1327" i="1"/>
  <c r="C1327" i="1"/>
  <c r="B1327" i="1"/>
  <c r="F1326" i="1"/>
  <c r="C1326" i="1"/>
  <c r="B1326" i="1"/>
  <c r="F1325" i="1"/>
  <c r="C1325" i="1"/>
  <c r="B1325" i="1"/>
  <c r="F1324" i="1"/>
  <c r="B1324" i="1"/>
  <c r="F1323" i="1"/>
  <c r="C1323" i="1"/>
  <c r="B1323" i="1"/>
  <c r="F1322" i="1"/>
  <c r="C1322" i="1"/>
  <c r="B1322" i="1"/>
  <c r="F1321" i="1"/>
  <c r="C1321" i="1"/>
  <c r="B1321" i="1"/>
  <c r="F1320" i="1"/>
  <c r="C1320" i="1"/>
  <c r="B1320" i="1"/>
  <c r="F1319" i="1"/>
  <c r="B1319" i="1"/>
  <c r="F1318" i="1"/>
  <c r="C1318" i="1"/>
  <c r="B1318" i="1"/>
  <c r="F1317" i="1"/>
  <c r="B1317" i="1"/>
  <c r="F1316" i="1"/>
  <c r="C1316" i="1"/>
  <c r="B1316" i="1"/>
  <c r="F1315" i="1"/>
  <c r="C1315" i="1"/>
  <c r="B1315" i="1"/>
  <c r="F1314" i="1"/>
  <c r="C1314" i="1"/>
  <c r="B1314" i="1"/>
  <c r="F1313" i="1"/>
  <c r="C1313" i="1"/>
  <c r="B1313" i="1"/>
  <c r="F1312" i="1"/>
  <c r="C1312" i="1"/>
  <c r="B1312" i="1"/>
  <c r="F1311" i="1"/>
  <c r="B1311" i="1"/>
  <c r="F1310" i="1"/>
  <c r="C1310" i="1"/>
  <c r="B1310" i="1"/>
  <c r="F1309" i="1"/>
  <c r="C1309" i="1"/>
  <c r="B1309" i="1"/>
  <c r="F1308" i="1"/>
  <c r="C1308" i="1"/>
  <c r="B1308" i="1"/>
  <c r="F1307" i="1"/>
  <c r="B1307" i="1"/>
  <c r="F1306" i="1"/>
  <c r="C1306" i="1"/>
  <c r="B1306" i="1"/>
  <c r="F1305" i="1"/>
  <c r="C1305" i="1"/>
  <c r="B1305" i="1"/>
  <c r="F1304" i="1"/>
  <c r="C1304" i="1"/>
  <c r="B1304" i="1"/>
  <c r="F1303" i="1"/>
  <c r="C1303" i="1"/>
  <c r="B1303" i="1"/>
  <c r="F1302" i="1"/>
  <c r="C1302" i="1"/>
  <c r="B1302" i="1"/>
  <c r="F1301" i="1"/>
  <c r="C1301" i="1"/>
  <c r="B1301" i="1"/>
  <c r="F1300" i="1"/>
  <c r="C1300" i="1"/>
  <c r="B1300" i="1"/>
  <c r="F1299" i="1"/>
  <c r="C1299" i="1"/>
  <c r="B1299" i="1"/>
  <c r="F1298" i="1"/>
  <c r="C1298" i="1"/>
  <c r="B1298" i="1"/>
  <c r="F1297" i="1"/>
  <c r="B1297" i="1"/>
  <c r="F1296" i="1"/>
  <c r="C1296" i="1"/>
  <c r="B1296" i="1"/>
  <c r="F1295" i="1"/>
  <c r="C1295" i="1"/>
  <c r="B1295" i="1"/>
  <c r="F1294" i="1"/>
  <c r="C1294" i="1"/>
  <c r="B1294" i="1"/>
  <c r="F1293" i="1"/>
  <c r="C1293" i="1"/>
  <c r="B1293" i="1"/>
  <c r="F1292" i="1"/>
  <c r="B1292" i="1"/>
  <c r="F1291" i="1"/>
  <c r="B1291" i="1"/>
  <c r="F1290" i="1"/>
  <c r="C1290" i="1"/>
  <c r="B1290" i="1"/>
  <c r="F1289" i="1"/>
  <c r="C1289" i="1"/>
  <c r="B1289" i="1"/>
  <c r="F1288" i="1"/>
  <c r="B1288" i="1"/>
  <c r="F1287" i="1"/>
  <c r="C1287" i="1"/>
  <c r="B1287" i="1"/>
  <c r="F1286" i="1"/>
  <c r="C1286" i="1"/>
  <c r="B1286" i="1"/>
  <c r="F1285" i="1"/>
  <c r="C1285" i="1"/>
  <c r="B1285" i="1"/>
  <c r="F1284" i="1"/>
  <c r="B1284" i="1"/>
  <c r="F1283" i="1"/>
  <c r="C1283" i="1"/>
  <c r="B1283" i="1"/>
  <c r="F1282" i="1"/>
  <c r="B1282" i="1"/>
  <c r="F1281" i="1"/>
  <c r="C1281" i="1"/>
  <c r="B1281" i="1"/>
  <c r="F1280" i="1"/>
  <c r="B1280" i="1"/>
  <c r="F1279" i="1"/>
  <c r="C1279" i="1"/>
  <c r="B1279" i="1"/>
  <c r="F1278" i="1"/>
  <c r="C1278" i="1"/>
  <c r="B1278" i="1"/>
  <c r="F1277" i="1"/>
  <c r="C1277" i="1"/>
  <c r="B1277" i="1"/>
  <c r="F1276" i="1"/>
  <c r="C1276" i="1"/>
  <c r="B1276" i="1"/>
  <c r="F1275" i="1"/>
  <c r="C1275" i="1"/>
  <c r="B1275" i="1"/>
  <c r="F1274" i="1"/>
  <c r="B1274" i="1"/>
  <c r="F1273" i="1"/>
  <c r="C1273" i="1"/>
  <c r="B1273" i="1"/>
  <c r="F1272" i="1"/>
  <c r="B1272" i="1"/>
  <c r="F1271" i="1"/>
  <c r="B1271" i="1"/>
  <c r="F1270" i="1"/>
  <c r="C1270" i="1"/>
  <c r="B1270" i="1"/>
  <c r="F1269" i="1"/>
  <c r="B1269" i="1"/>
  <c r="F1268" i="1"/>
  <c r="C1268" i="1"/>
  <c r="B1268" i="1"/>
  <c r="F1267" i="1"/>
  <c r="C1267" i="1"/>
  <c r="B1267" i="1"/>
  <c r="F1266" i="1"/>
  <c r="C1266" i="1"/>
  <c r="B1266" i="1"/>
  <c r="F1265" i="1"/>
  <c r="C1265" i="1"/>
  <c r="B1265" i="1"/>
  <c r="F1264" i="1"/>
  <c r="B1264" i="1"/>
  <c r="F1263" i="1"/>
  <c r="C1263" i="1"/>
  <c r="B1263" i="1"/>
  <c r="F1262" i="1"/>
  <c r="B1262" i="1"/>
  <c r="F1261" i="1"/>
  <c r="C1261" i="1"/>
  <c r="B1261" i="1"/>
  <c r="F1260" i="1"/>
  <c r="C1260" i="1"/>
  <c r="B1260" i="1"/>
  <c r="F1259" i="1"/>
  <c r="C1259" i="1"/>
  <c r="B1259" i="1"/>
  <c r="F1258" i="1"/>
  <c r="C1258" i="1"/>
  <c r="B1258" i="1"/>
  <c r="F1257" i="1"/>
  <c r="C1257" i="1"/>
  <c r="B1257" i="1"/>
  <c r="F1256" i="1"/>
  <c r="C1256" i="1"/>
  <c r="B1256" i="1"/>
  <c r="F1255" i="1"/>
  <c r="C1255" i="1"/>
  <c r="B1255" i="1"/>
  <c r="F1254" i="1"/>
  <c r="C1254" i="1"/>
  <c r="B1254" i="1"/>
  <c r="F1253" i="1"/>
  <c r="B1253" i="1"/>
  <c r="F1252" i="1"/>
  <c r="B1252" i="1"/>
  <c r="F1251" i="1"/>
  <c r="B1251" i="1"/>
  <c r="F1250" i="1"/>
  <c r="C1250" i="1"/>
  <c r="B1250" i="1"/>
  <c r="F1249" i="1"/>
  <c r="C1249" i="1"/>
  <c r="B1249" i="1"/>
  <c r="F1248" i="1"/>
  <c r="C1248" i="1"/>
  <c r="B1248" i="1"/>
  <c r="F1247" i="1"/>
  <c r="C1247" i="1"/>
  <c r="B1247" i="1"/>
  <c r="F1246" i="1"/>
  <c r="C1246" i="1"/>
  <c r="B1246" i="1"/>
  <c r="F1245" i="1"/>
  <c r="C1245" i="1"/>
  <c r="B1245" i="1"/>
  <c r="F1244" i="1"/>
  <c r="C1244" i="1"/>
  <c r="B1244" i="1"/>
  <c r="F1243" i="1"/>
  <c r="C1243" i="1"/>
  <c r="B1243" i="1"/>
  <c r="F1242" i="1"/>
  <c r="C1242" i="1"/>
  <c r="B1242" i="1"/>
  <c r="F1241" i="1"/>
  <c r="B1241" i="1"/>
  <c r="F1240" i="1"/>
  <c r="C1240" i="1"/>
  <c r="B1240" i="1"/>
  <c r="F1239" i="1"/>
  <c r="C1239" i="1"/>
  <c r="B1239" i="1"/>
  <c r="F1238" i="1"/>
  <c r="B1238" i="1"/>
  <c r="F1237" i="1"/>
  <c r="C1237" i="1"/>
  <c r="B1237" i="1"/>
  <c r="F1236" i="1"/>
  <c r="C1236" i="1"/>
  <c r="B1236" i="1"/>
  <c r="F1235" i="1"/>
  <c r="C1235" i="1"/>
  <c r="B1235" i="1"/>
  <c r="F1234" i="1"/>
  <c r="C1234" i="1"/>
  <c r="B1234" i="1"/>
  <c r="F1233" i="1"/>
  <c r="C1233" i="1"/>
  <c r="B1233" i="1"/>
  <c r="F1232" i="1"/>
  <c r="B1232" i="1"/>
  <c r="F1231" i="1"/>
  <c r="C1231" i="1"/>
  <c r="B1231" i="1"/>
  <c r="F1230" i="1"/>
  <c r="C1230" i="1"/>
  <c r="B1230" i="1"/>
  <c r="F1229" i="1"/>
  <c r="C1229" i="1"/>
  <c r="B1229" i="1"/>
  <c r="F1228" i="1"/>
  <c r="C1228" i="1"/>
  <c r="B1228" i="1"/>
  <c r="F1227" i="1"/>
  <c r="C1227" i="1"/>
  <c r="B1227" i="1"/>
  <c r="F1226" i="1"/>
  <c r="C1226" i="1"/>
  <c r="B1226" i="1"/>
  <c r="F1225" i="1"/>
  <c r="C1225" i="1"/>
  <c r="B1225" i="1"/>
  <c r="F1224" i="1"/>
  <c r="B1224" i="1"/>
  <c r="F1223" i="1"/>
  <c r="B1223" i="1"/>
  <c r="F1222" i="1"/>
  <c r="C1222" i="1"/>
  <c r="B1222" i="1"/>
  <c r="F1221" i="1"/>
  <c r="C1221" i="1"/>
  <c r="B1221" i="1"/>
  <c r="F1220" i="1"/>
  <c r="C1220" i="1"/>
  <c r="B1220" i="1"/>
  <c r="F1219" i="1"/>
  <c r="B1219" i="1"/>
  <c r="F1218" i="1"/>
  <c r="B1218" i="1"/>
  <c r="F1217" i="1"/>
  <c r="C1217" i="1"/>
  <c r="B1217" i="1"/>
  <c r="F1216" i="1"/>
  <c r="B1216" i="1"/>
  <c r="F1215" i="1"/>
  <c r="C1215" i="1"/>
  <c r="B1215" i="1"/>
  <c r="F1214" i="1"/>
  <c r="C1214" i="1"/>
  <c r="B1214" i="1"/>
  <c r="F1213" i="1"/>
  <c r="C1213" i="1"/>
  <c r="B1213" i="1"/>
  <c r="F1212" i="1"/>
  <c r="C1212" i="1"/>
  <c r="B1212" i="1"/>
  <c r="F1211" i="1"/>
  <c r="C1211" i="1"/>
  <c r="B1211" i="1"/>
  <c r="F1210" i="1"/>
  <c r="C1210" i="1"/>
  <c r="B1210" i="1"/>
  <c r="F1209" i="1"/>
  <c r="C1209" i="1"/>
  <c r="B1209" i="1"/>
  <c r="F1208" i="1"/>
  <c r="C1208" i="1"/>
  <c r="B1208" i="1"/>
  <c r="F1207" i="1"/>
  <c r="B1207" i="1"/>
  <c r="F1206" i="1"/>
  <c r="C1206" i="1"/>
  <c r="B1206" i="1"/>
  <c r="F1205" i="1"/>
  <c r="C1205" i="1"/>
  <c r="B1205" i="1"/>
  <c r="F1204" i="1"/>
  <c r="C1204" i="1"/>
  <c r="B1204" i="1"/>
  <c r="F1203" i="1"/>
  <c r="B1203" i="1"/>
  <c r="F1202" i="1"/>
  <c r="C1202" i="1"/>
  <c r="B1202" i="1"/>
  <c r="F1201" i="1"/>
  <c r="C1201" i="1"/>
  <c r="B1201" i="1"/>
  <c r="F1200" i="1"/>
  <c r="B1200" i="1"/>
  <c r="F1199" i="1"/>
  <c r="C1199" i="1"/>
  <c r="B1199" i="1"/>
  <c r="F1198" i="1"/>
  <c r="C1198" i="1"/>
  <c r="B1198" i="1"/>
  <c r="F1197" i="1"/>
  <c r="C1197" i="1"/>
  <c r="B1197" i="1"/>
  <c r="F1196" i="1"/>
  <c r="C1196" i="1"/>
  <c r="B1196" i="1"/>
  <c r="F1195" i="1"/>
  <c r="C1195" i="1"/>
  <c r="B1195" i="1"/>
  <c r="F1194" i="1"/>
  <c r="C1194" i="1"/>
  <c r="B1194" i="1"/>
  <c r="F1193" i="1"/>
  <c r="C1193" i="1"/>
  <c r="B1193" i="1"/>
  <c r="F1192" i="1"/>
  <c r="C1192" i="1"/>
  <c r="B1192" i="1"/>
  <c r="F1191" i="1"/>
  <c r="B1191" i="1"/>
  <c r="F1190" i="1"/>
  <c r="C1190" i="1"/>
  <c r="B1190" i="1"/>
  <c r="F1189" i="1"/>
  <c r="C1189" i="1"/>
  <c r="B1189" i="1"/>
  <c r="F1188" i="1"/>
  <c r="B1188" i="1"/>
  <c r="F1187" i="1"/>
  <c r="B1187" i="1"/>
  <c r="F1186" i="1"/>
  <c r="C1186" i="1"/>
  <c r="B1186" i="1"/>
  <c r="F1185" i="1"/>
  <c r="C1185" i="1"/>
  <c r="B1185" i="1"/>
  <c r="F1184" i="1"/>
  <c r="C1184" i="1"/>
  <c r="B1184" i="1"/>
  <c r="F1183" i="1"/>
  <c r="C1183" i="1"/>
  <c r="B1183" i="1"/>
  <c r="F1182" i="1"/>
  <c r="B1182" i="1"/>
  <c r="F1181" i="1"/>
  <c r="C1181" i="1"/>
  <c r="B1181" i="1"/>
  <c r="F1180" i="1"/>
  <c r="B1180" i="1"/>
  <c r="F1179" i="1"/>
  <c r="C1179" i="1"/>
  <c r="B1179" i="1"/>
  <c r="F1178" i="1"/>
  <c r="B1178" i="1"/>
  <c r="F1177" i="1"/>
  <c r="B1177" i="1"/>
  <c r="F1176" i="1"/>
  <c r="C1176" i="1"/>
  <c r="B1176" i="1"/>
  <c r="F1175" i="1"/>
  <c r="C1175" i="1"/>
  <c r="B1175" i="1"/>
  <c r="F1174" i="1"/>
  <c r="C1174" i="1"/>
  <c r="B1174" i="1"/>
  <c r="F1173" i="1"/>
  <c r="C1173" i="1"/>
  <c r="B1173" i="1"/>
  <c r="F1172" i="1"/>
  <c r="C1172" i="1"/>
  <c r="B1172" i="1"/>
  <c r="F1171" i="1"/>
  <c r="C1171" i="1"/>
  <c r="B1171" i="1"/>
  <c r="F1170" i="1"/>
  <c r="C1170" i="1"/>
  <c r="B1170" i="1"/>
  <c r="F1169" i="1"/>
  <c r="B1169" i="1"/>
  <c r="F1168" i="1"/>
  <c r="C1168" i="1"/>
  <c r="B1168" i="1"/>
  <c r="F1167" i="1"/>
  <c r="B1167" i="1"/>
  <c r="F1166" i="1"/>
  <c r="C1166" i="1"/>
  <c r="B1166" i="1"/>
  <c r="F1165" i="1"/>
  <c r="B1165" i="1"/>
  <c r="F1164" i="1"/>
  <c r="C1164" i="1"/>
  <c r="B1164" i="1"/>
  <c r="F1163" i="1"/>
  <c r="C1163" i="1"/>
  <c r="B1163" i="1"/>
  <c r="F1162" i="1"/>
  <c r="C1162" i="1"/>
  <c r="B1162" i="1"/>
  <c r="F1161" i="1"/>
  <c r="C1161" i="1"/>
  <c r="B1161" i="1"/>
  <c r="F1160" i="1"/>
  <c r="C1160" i="1"/>
  <c r="B1160" i="1"/>
  <c r="F1159" i="1"/>
  <c r="B1159" i="1"/>
  <c r="F1158" i="1"/>
  <c r="C1158" i="1"/>
  <c r="B1158" i="1"/>
  <c r="F1157" i="1"/>
  <c r="B1157" i="1"/>
  <c r="F1156" i="1"/>
  <c r="C1156" i="1"/>
  <c r="B1156" i="1"/>
  <c r="F1155" i="1"/>
  <c r="B1155" i="1"/>
  <c r="F1154" i="1"/>
  <c r="C1154" i="1"/>
  <c r="B1154" i="1"/>
  <c r="F1153" i="1"/>
  <c r="C1153" i="1"/>
  <c r="B1153" i="1"/>
  <c r="F1152" i="1"/>
  <c r="C1152" i="1"/>
  <c r="B1152" i="1"/>
  <c r="F1151" i="1"/>
  <c r="B1151" i="1"/>
  <c r="F1150" i="1"/>
  <c r="B1150" i="1"/>
  <c r="F1149" i="1"/>
  <c r="B1149" i="1"/>
  <c r="F1148" i="1"/>
  <c r="C1148" i="1"/>
  <c r="B1148" i="1"/>
  <c r="F1147" i="1"/>
  <c r="C1147" i="1"/>
  <c r="B1147" i="1"/>
  <c r="F1146" i="1"/>
  <c r="B1146" i="1"/>
  <c r="F1145" i="1"/>
  <c r="B1145" i="1"/>
  <c r="F1144" i="1"/>
  <c r="C1144" i="1"/>
  <c r="B1144" i="1"/>
  <c r="F1143" i="1"/>
  <c r="C1143" i="1"/>
  <c r="B1143" i="1"/>
  <c r="F1142" i="1"/>
  <c r="C1142" i="1"/>
  <c r="B1142" i="1"/>
  <c r="F1141" i="1"/>
  <c r="B1141" i="1"/>
  <c r="F1140" i="1"/>
  <c r="C1140" i="1"/>
  <c r="B1140" i="1"/>
  <c r="F1139" i="1"/>
  <c r="B1139" i="1"/>
  <c r="F1138" i="1"/>
  <c r="C1138" i="1"/>
  <c r="B1138" i="1"/>
  <c r="F1137" i="1"/>
  <c r="B1137" i="1"/>
  <c r="F1136" i="1"/>
  <c r="C1136" i="1"/>
  <c r="B1136" i="1"/>
  <c r="F1135" i="1"/>
  <c r="B1135" i="1"/>
  <c r="F1134" i="1"/>
  <c r="C1134" i="1"/>
  <c r="B1134" i="1"/>
  <c r="F1133" i="1"/>
  <c r="B1133" i="1"/>
  <c r="F1132" i="1"/>
  <c r="C1132" i="1"/>
  <c r="B1132" i="1"/>
  <c r="F1131" i="1"/>
  <c r="C1131" i="1"/>
  <c r="B1131" i="1"/>
  <c r="F1130" i="1"/>
  <c r="C1130" i="1"/>
  <c r="B1130" i="1"/>
  <c r="F1129" i="1"/>
  <c r="C1129" i="1"/>
  <c r="B1129" i="1"/>
  <c r="F1128" i="1"/>
  <c r="C1128" i="1"/>
  <c r="B1128" i="1"/>
  <c r="F1127" i="1"/>
  <c r="B1127" i="1"/>
  <c r="F1126" i="1"/>
  <c r="C1126" i="1"/>
  <c r="B1126" i="1"/>
  <c r="F1125" i="1"/>
  <c r="C1125" i="1"/>
  <c r="B1125" i="1"/>
  <c r="F1124" i="1"/>
  <c r="C1124" i="1"/>
  <c r="B1124" i="1"/>
  <c r="F1123" i="1"/>
  <c r="B1123" i="1"/>
  <c r="F1122" i="1"/>
  <c r="B1122" i="1"/>
  <c r="F1121" i="1"/>
  <c r="C1121" i="1"/>
  <c r="B1121" i="1"/>
  <c r="F1120" i="1"/>
  <c r="C1120" i="1"/>
  <c r="B1120" i="1"/>
  <c r="F1119" i="1"/>
  <c r="C1119" i="1"/>
  <c r="B1119" i="1"/>
  <c r="F1118" i="1"/>
  <c r="C1118" i="1"/>
  <c r="B1118" i="1"/>
  <c r="F1117" i="1"/>
  <c r="C1117" i="1"/>
  <c r="B1117" i="1"/>
  <c r="F1116" i="1"/>
  <c r="C1116" i="1"/>
  <c r="B1116" i="1"/>
  <c r="F1115" i="1"/>
  <c r="C1115" i="1"/>
  <c r="B1115" i="1"/>
  <c r="F1114" i="1"/>
  <c r="C1114" i="1"/>
  <c r="B1114" i="1"/>
  <c r="F1113" i="1"/>
  <c r="C1113" i="1"/>
  <c r="B1113" i="1"/>
  <c r="F1112" i="1"/>
  <c r="C1112" i="1"/>
  <c r="B1112" i="1"/>
  <c r="F1111" i="1"/>
  <c r="C1111" i="1"/>
  <c r="B1111" i="1"/>
  <c r="F1110" i="1"/>
  <c r="C1110" i="1"/>
  <c r="B1110" i="1"/>
  <c r="F1109" i="1"/>
  <c r="C1109" i="1"/>
  <c r="B1109" i="1"/>
  <c r="F1108" i="1"/>
  <c r="C1108" i="1"/>
  <c r="B1108" i="1"/>
  <c r="F1107" i="1"/>
  <c r="B1107" i="1"/>
  <c r="F1106" i="1"/>
  <c r="B1106" i="1"/>
  <c r="F1105" i="1"/>
  <c r="C1105" i="1"/>
  <c r="B1105" i="1"/>
  <c r="F1104" i="1"/>
  <c r="C1104" i="1"/>
  <c r="B1104" i="1"/>
  <c r="F1103" i="1"/>
  <c r="C1103" i="1"/>
  <c r="B1103" i="1"/>
  <c r="F1102" i="1"/>
  <c r="C1102" i="1"/>
  <c r="B1102" i="1"/>
  <c r="F1101" i="1"/>
  <c r="C1101" i="1"/>
  <c r="B1101" i="1"/>
  <c r="F1100" i="1"/>
  <c r="C1100" i="1"/>
  <c r="B1100" i="1"/>
  <c r="F1099" i="1"/>
  <c r="B1099" i="1"/>
  <c r="F1098" i="1"/>
  <c r="B1098" i="1"/>
  <c r="F1097" i="1"/>
  <c r="C1097" i="1"/>
  <c r="B1097" i="1"/>
  <c r="F1096" i="1"/>
  <c r="C1096" i="1"/>
  <c r="B1096" i="1"/>
  <c r="F1095" i="1"/>
  <c r="B1095" i="1"/>
  <c r="F1094" i="1"/>
  <c r="C1094" i="1"/>
  <c r="B1094" i="1"/>
  <c r="F1093" i="1"/>
  <c r="C1093" i="1"/>
  <c r="B1093" i="1"/>
  <c r="F1092" i="1"/>
  <c r="C1092" i="1"/>
  <c r="B1092" i="1"/>
  <c r="F1091" i="1"/>
  <c r="B1091" i="1"/>
  <c r="F1090" i="1"/>
  <c r="C1090" i="1"/>
  <c r="B1090" i="1"/>
  <c r="F1089" i="1"/>
  <c r="C1089" i="1"/>
  <c r="B1089" i="1"/>
  <c r="F1088" i="1"/>
  <c r="B1088" i="1"/>
  <c r="F1087" i="1"/>
  <c r="B1087" i="1"/>
  <c r="F1086" i="1"/>
  <c r="C1086" i="1"/>
  <c r="B1086" i="1"/>
  <c r="F1085" i="1"/>
  <c r="B1085" i="1"/>
  <c r="F1084" i="1"/>
  <c r="B1084" i="1"/>
  <c r="F1083" i="1"/>
  <c r="C1083" i="1"/>
  <c r="B1083" i="1"/>
  <c r="F1082" i="1"/>
  <c r="B1082" i="1"/>
  <c r="F1081" i="1"/>
  <c r="B1081" i="1"/>
  <c r="F1080" i="1"/>
  <c r="C1080" i="1"/>
  <c r="B1080" i="1"/>
  <c r="F1079" i="1"/>
  <c r="C1079" i="1"/>
  <c r="B1079" i="1"/>
  <c r="F1078" i="1"/>
  <c r="C1078" i="1"/>
  <c r="B1078" i="1"/>
  <c r="F1077" i="1"/>
  <c r="C1077" i="1"/>
  <c r="B1077" i="1"/>
  <c r="F1076" i="1"/>
  <c r="C1076" i="1"/>
  <c r="B1076" i="1"/>
  <c r="F1075" i="1"/>
  <c r="C1075" i="1"/>
  <c r="B1075" i="1"/>
  <c r="F1074" i="1"/>
  <c r="C1074" i="1"/>
  <c r="B1074" i="1"/>
  <c r="F1073" i="1"/>
  <c r="C1073" i="1"/>
  <c r="B1073" i="1"/>
  <c r="F1072" i="1"/>
  <c r="B1072" i="1"/>
  <c r="F1071" i="1"/>
  <c r="C1071" i="1"/>
  <c r="B1071" i="1"/>
  <c r="F1070" i="1"/>
  <c r="B1070" i="1"/>
  <c r="F1069" i="1"/>
  <c r="B1069" i="1"/>
  <c r="F1068" i="1"/>
  <c r="C1068" i="1"/>
  <c r="B1068" i="1"/>
  <c r="F1067" i="1"/>
  <c r="B1067" i="1"/>
  <c r="F1066" i="1"/>
  <c r="B1066" i="1"/>
  <c r="F1065" i="1"/>
  <c r="C1065" i="1"/>
  <c r="B1065" i="1"/>
  <c r="F1064" i="1"/>
  <c r="C1064" i="1"/>
  <c r="B1064" i="1"/>
  <c r="F1063" i="1"/>
  <c r="C1063" i="1"/>
  <c r="B1063" i="1"/>
  <c r="F1062" i="1"/>
  <c r="C1062" i="1"/>
  <c r="B1062" i="1"/>
  <c r="F1061" i="1"/>
  <c r="C1061" i="1"/>
  <c r="B1061" i="1"/>
  <c r="F1060" i="1"/>
  <c r="B1060" i="1"/>
  <c r="F1059" i="1"/>
  <c r="C1059" i="1"/>
  <c r="B1059" i="1"/>
  <c r="F1058" i="1"/>
  <c r="C1058" i="1"/>
  <c r="B1058" i="1"/>
  <c r="F1057" i="1"/>
  <c r="B1057" i="1"/>
  <c r="F1056" i="1"/>
  <c r="C1056" i="1"/>
  <c r="B1056" i="1"/>
  <c r="F1055" i="1"/>
  <c r="C1055" i="1"/>
  <c r="B1055" i="1"/>
  <c r="F1054" i="1"/>
  <c r="C1054" i="1"/>
  <c r="B1054" i="1"/>
  <c r="F1053" i="1"/>
  <c r="C1053" i="1"/>
  <c r="B1053" i="1"/>
  <c r="F1052" i="1"/>
  <c r="C1052" i="1"/>
  <c r="B1052" i="1"/>
  <c r="F1051" i="1"/>
  <c r="C1051" i="1"/>
  <c r="B1051" i="1"/>
  <c r="F1050" i="1"/>
  <c r="C1050" i="1"/>
  <c r="B1050" i="1"/>
  <c r="F1049" i="1"/>
  <c r="C1049" i="1"/>
  <c r="B1049" i="1"/>
  <c r="F1048" i="1"/>
  <c r="C1048" i="1"/>
  <c r="B1048" i="1"/>
  <c r="F1047" i="1"/>
  <c r="C1047" i="1"/>
  <c r="B1047" i="1"/>
  <c r="F1046" i="1"/>
  <c r="C1046" i="1"/>
  <c r="B1046" i="1"/>
  <c r="F1045" i="1"/>
  <c r="C1045" i="1"/>
  <c r="B1045" i="1"/>
  <c r="F1044" i="1"/>
  <c r="C1044" i="1"/>
  <c r="B1044" i="1"/>
  <c r="F1043" i="1"/>
  <c r="C1043" i="1"/>
  <c r="B1043" i="1"/>
  <c r="F1042" i="1"/>
  <c r="C1042" i="1"/>
  <c r="B1042" i="1"/>
  <c r="F1041" i="1"/>
  <c r="C1041" i="1"/>
  <c r="B1041" i="1"/>
  <c r="F1040" i="1"/>
  <c r="B1040" i="1"/>
  <c r="F1039" i="1"/>
  <c r="C1039" i="1"/>
  <c r="B1039" i="1"/>
  <c r="F1038" i="1"/>
  <c r="C1038" i="1"/>
  <c r="B1038" i="1"/>
  <c r="F1037" i="1"/>
  <c r="C1037" i="1"/>
  <c r="B1037" i="1"/>
  <c r="F1036" i="1"/>
  <c r="C1036" i="1"/>
  <c r="B1036" i="1"/>
  <c r="F1035" i="1"/>
  <c r="C1035" i="1"/>
  <c r="B1035" i="1"/>
  <c r="F1034" i="1"/>
  <c r="C1034" i="1"/>
  <c r="B1034" i="1"/>
  <c r="F1033" i="1"/>
  <c r="C1033" i="1"/>
  <c r="B1033" i="1"/>
  <c r="F1032" i="1"/>
  <c r="C1032" i="1"/>
  <c r="B1032" i="1"/>
  <c r="F1031" i="1"/>
  <c r="C1031" i="1"/>
  <c r="B1031" i="1"/>
  <c r="F1030" i="1"/>
  <c r="C1030" i="1"/>
  <c r="B1030" i="1"/>
  <c r="F1029" i="1"/>
  <c r="C1029" i="1"/>
  <c r="B1029" i="1"/>
  <c r="F1028" i="1"/>
  <c r="C1028" i="1"/>
  <c r="B1028" i="1"/>
  <c r="F1027" i="1"/>
  <c r="C1027" i="1"/>
  <c r="B1027" i="1"/>
  <c r="F1026" i="1"/>
  <c r="C1026" i="1"/>
  <c r="B1026" i="1"/>
  <c r="F1025" i="1"/>
  <c r="C1025" i="1"/>
  <c r="B1025" i="1"/>
  <c r="F1024" i="1"/>
  <c r="B1024" i="1"/>
  <c r="F1023" i="1"/>
  <c r="C1023" i="1"/>
  <c r="B1023" i="1"/>
  <c r="F1022" i="1"/>
  <c r="C1022" i="1"/>
  <c r="B1022" i="1"/>
  <c r="F1021" i="1"/>
  <c r="C1021" i="1"/>
  <c r="B1021" i="1"/>
  <c r="F1020" i="1"/>
  <c r="C1020" i="1"/>
  <c r="B1020" i="1"/>
  <c r="F1019" i="1"/>
  <c r="C1019" i="1"/>
  <c r="B1019" i="1"/>
  <c r="F1018" i="1"/>
  <c r="C1018" i="1"/>
  <c r="B1018" i="1"/>
  <c r="F1017" i="1"/>
  <c r="B1017" i="1"/>
  <c r="F1016" i="1"/>
  <c r="C1016" i="1"/>
  <c r="B1016" i="1"/>
  <c r="F1015" i="1"/>
  <c r="C1015" i="1"/>
  <c r="B1015" i="1"/>
  <c r="F1014" i="1"/>
  <c r="C1014" i="1"/>
  <c r="B1014" i="1"/>
  <c r="F1013" i="1"/>
  <c r="C1013" i="1"/>
  <c r="B1013" i="1"/>
  <c r="F1012" i="1"/>
  <c r="C1012" i="1"/>
  <c r="B1012" i="1"/>
  <c r="F1011" i="1"/>
  <c r="C1011" i="1"/>
  <c r="B1011" i="1"/>
  <c r="F1010" i="1"/>
  <c r="C1010" i="1"/>
  <c r="B1010" i="1"/>
  <c r="F1009" i="1"/>
  <c r="C1009" i="1"/>
  <c r="B1009" i="1"/>
  <c r="F1008" i="1"/>
  <c r="C1008" i="1"/>
  <c r="B1008" i="1"/>
  <c r="F1007" i="1"/>
  <c r="C1007" i="1"/>
  <c r="B1007" i="1"/>
  <c r="F1006" i="1"/>
  <c r="C1006" i="1"/>
  <c r="B1006" i="1"/>
  <c r="F1005" i="1"/>
  <c r="C1005" i="1"/>
  <c r="B1005" i="1"/>
  <c r="F1004" i="1"/>
  <c r="C1004" i="1"/>
  <c r="B1004" i="1"/>
  <c r="F1003" i="1"/>
  <c r="C1003" i="1"/>
  <c r="B1003" i="1"/>
  <c r="F1002" i="1"/>
  <c r="C1002" i="1"/>
  <c r="B1002" i="1"/>
  <c r="F1001" i="1"/>
  <c r="C1001" i="1"/>
  <c r="B1001" i="1"/>
  <c r="F1000" i="1"/>
  <c r="C1000" i="1"/>
  <c r="B1000" i="1"/>
  <c r="F999" i="1"/>
  <c r="C999" i="1"/>
  <c r="B999" i="1"/>
  <c r="F998" i="1"/>
  <c r="C998" i="1"/>
  <c r="B998" i="1"/>
  <c r="F997" i="1"/>
  <c r="C997" i="1"/>
  <c r="B997" i="1"/>
  <c r="F996" i="1"/>
  <c r="C996" i="1"/>
  <c r="B996" i="1"/>
  <c r="F995" i="1"/>
  <c r="C995" i="1"/>
  <c r="B995" i="1"/>
  <c r="F994" i="1"/>
  <c r="C994" i="1"/>
  <c r="B994" i="1"/>
  <c r="F993" i="1"/>
  <c r="B993" i="1"/>
  <c r="F992" i="1"/>
  <c r="B992" i="1"/>
  <c r="F991" i="1"/>
  <c r="C991" i="1"/>
  <c r="B991" i="1"/>
  <c r="F990" i="1"/>
  <c r="C990" i="1"/>
  <c r="B990" i="1"/>
  <c r="F989" i="1"/>
  <c r="C989" i="1"/>
  <c r="B989" i="1"/>
  <c r="F988" i="1"/>
  <c r="C988" i="1"/>
  <c r="B988" i="1"/>
  <c r="F987" i="1"/>
  <c r="C987" i="1"/>
  <c r="B987" i="1"/>
  <c r="F986" i="1"/>
  <c r="C986" i="1"/>
  <c r="B986" i="1"/>
  <c r="F985" i="1"/>
  <c r="C985" i="1"/>
  <c r="B985" i="1"/>
  <c r="F984" i="1"/>
  <c r="C984" i="1"/>
  <c r="B984" i="1"/>
  <c r="F983" i="1"/>
  <c r="B983" i="1"/>
  <c r="F982" i="1"/>
  <c r="C982" i="1"/>
  <c r="B982" i="1"/>
  <c r="F981" i="1"/>
  <c r="C981" i="1"/>
  <c r="B981" i="1"/>
  <c r="F980" i="1"/>
  <c r="C980" i="1"/>
  <c r="B980" i="1"/>
  <c r="F979" i="1"/>
  <c r="C979" i="1"/>
  <c r="B979" i="1"/>
  <c r="F978" i="1"/>
  <c r="C978" i="1"/>
  <c r="B978" i="1"/>
  <c r="F977" i="1"/>
  <c r="C977" i="1"/>
  <c r="B977" i="1"/>
  <c r="F976" i="1"/>
  <c r="C976" i="1"/>
  <c r="B976" i="1"/>
  <c r="F975" i="1"/>
  <c r="C975" i="1"/>
  <c r="B975" i="1"/>
  <c r="F974" i="1"/>
  <c r="C974" i="1"/>
  <c r="B974" i="1"/>
  <c r="F973" i="1"/>
  <c r="C973" i="1"/>
  <c r="B973" i="1"/>
  <c r="F972" i="1"/>
  <c r="C972" i="1"/>
  <c r="B972" i="1"/>
  <c r="F971" i="1"/>
  <c r="C971" i="1"/>
  <c r="B971" i="1"/>
  <c r="F970" i="1"/>
  <c r="C970" i="1"/>
  <c r="B970" i="1"/>
  <c r="F969" i="1"/>
  <c r="C969" i="1"/>
  <c r="B969" i="1"/>
  <c r="F968" i="1"/>
  <c r="C968" i="1"/>
  <c r="B968" i="1"/>
  <c r="F967" i="1"/>
  <c r="C967" i="1"/>
  <c r="B967" i="1"/>
  <c r="F966" i="1"/>
  <c r="C966" i="1"/>
  <c r="B966" i="1"/>
  <c r="F965" i="1"/>
  <c r="C965" i="1"/>
  <c r="B965" i="1"/>
  <c r="F964" i="1"/>
  <c r="B964" i="1"/>
  <c r="F963" i="1"/>
  <c r="C963" i="1"/>
  <c r="B963" i="1"/>
  <c r="F962" i="1"/>
  <c r="C962" i="1"/>
  <c r="B962" i="1"/>
  <c r="F961" i="1"/>
  <c r="C961" i="1"/>
  <c r="B961" i="1"/>
  <c r="F960" i="1"/>
  <c r="C960" i="1"/>
  <c r="B960" i="1"/>
  <c r="F959" i="1"/>
  <c r="C959" i="1"/>
  <c r="B959" i="1"/>
  <c r="F958" i="1"/>
  <c r="C958" i="1"/>
  <c r="B958" i="1"/>
  <c r="F957" i="1"/>
  <c r="C957" i="1"/>
  <c r="B957" i="1"/>
  <c r="F956" i="1"/>
  <c r="C956" i="1"/>
  <c r="B956" i="1"/>
  <c r="F955" i="1"/>
  <c r="C955" i="1"/>
  <c r="B955" i="1"/>
  <c r="F954" i="1"/>
  <c r="C954" i="1"/>
  <c r="B954" i="1"/>
  <c r="F953" i="1"/>
  <c r="C953" i="1"/>
  <c r="B953" i="1"/>
  <c r="F952" i="1"/>
  <c r="C952" i="1"/>
  <c r="B952" i="1"/>
  <c r="F951" i="1"/>
  <c r="C951" i="1"/>
  <c r="B951" i="1"/>
  <c r="F950" i="1"/>
  <c r="C950" i="1"/>
  <c r="B950" i="1"/>
  <c r="F949" i="1"/>
  <c r="C949" i="1"/>
  <c r="B949" i="1"/>
  <c r="F948" i="1"/>
  <c r="C948" i="1"/>
  <c r="B948" i="1"/>
  <c r="F947" i="1"/>
  <c r="C947" i="1"/>
  <c r="B947" i="1"/>
  <c r="F946" i="1"/>
  <c r="C946" i="1"/>
  <c r="B946" i="1"/>
  <c r="F945" i="1"/>
  <c r="C945" i="1"/>
  <c r="B945" i="1"/>
  <c r="F944" i="1"/>
  <c r="C944" i="1"/>
  <c r="B944" i="1"/>
  <c r="F943" i="1"/>
  <c r="B943" i="1"/>
  <c r="F942" i="1"/>
  <c r="B942" i="1"/>
  <c r="F941" i="1"/>
  <c r="B941" i="1"/>
  <c r="F940" i="1"/>
  <c r="B940" i="1"/>
  <c r="F939" i="1"/>
  <c r="B939" i="1"/>
  <c r="F938" i="1"/>
  <c r="B938" i="1"/>
  <c r="F937" i="1"/>
  <c r="B937" i="1"/>
  <c r="F936" i="1"/>
  <c r="B936" i="1"/>
  <c r="F935" i="1"/>
  <c r="B935" i="1"/>
  <c r="F934" i="1"/>
  <c r="B934" i="1"/>
  <c r="F933" i="1"/>
  <c r="B933" i="1"/>
  <c r="F932" i="1"/>
  <c r="B932" i="1"/>
  <c r="F931" i="1"/>
  <c r="B931" i="1"/>
  <c r="F930" i="1"/>
  <c r="B930" i="1"/>
  <c r="F929" i="1"/>
  <c r="B929" i="1"/>
  <c r="F928" i="1"/>
  <c r="B928" i="1"/>
  <c r="F927" i="1"/>
  <c r="B927" i="1"/>
  <c r="F926" i="1"/>
  <c r="B926" i="1"/>
  <c r="F925" i="1"/>
  <c r="B925" i="1"/>
  <c r="F924" i="1"/>
  <c r="B924" i="1"/>
  <c r="F923" i="1"/>
  <c r="B923" i="1"/>
  <c r="F922" i="1"/>
  <c r="B922" i="1"/>
  <c r="F921" i="1"/>
  <c r="B921" i="1"/>
  <c r="F920" i="1"/>
  <c r="B920" i="1"/>
  <c r="F919" i="1"/>
  <c r="B919" i="1"/>
  <c r="F918" i="1"/>
  <c r="B918" i="1"/>
  <c r="F917" i="1"/>
  <c r="B917" i="1"/>
  <c r="F916" i="1"/>
  <c r="B916" i="1"/>
  <c r="F915" i="1"/>
  <c r="B915" i="1"/>
  <c r="F914" i="1"/>
  <c r="B914" i="1"/>
  <c r="F913" i="1"/>
  <c r="B913" i="1"/>
  <c r="F912" i="1"/>
  <c r="B912" i="1"/>
  <c r="F911" i="1"/>
  <c r="B911" i="1"/>
  <c r="F910" i="1"/>
  <c r="B910" i="1"/>
  <c r="F909" i="1"/>
  <c r="B909" i="1"/>
  <c r="F908" i="1"/>
  <c r="B908" i="1"/>
  <c r="F907" i="1"/>
  <c r="B907" i="1"/>
  <c r="F906" i="1"/>
  <c r="B906" i="1"/>
  <c r="F905" i="1"/>
  <c r="B905" i="1"/>
  <c r="F904" i="1"/>
  <c r="B904" i="1"/>
  <c r="F903" i="1"/>
  <c r="B903" i="1"/>
  <c r="F902" i="1"/>
  <c r="B902" i="1"/>
  <c r="F901" i="1"/>
  <c r="B901" i="1"/>
  <c r="F900" i="1"/>
  <c r="B900" i="1"/>
  <c r="F899" i="1"/>
  <c r="B899" i="1"/>
  <c r="F898" i="1"/>
  <c r="B898" i="1"/>
  <c r="F897" i="1"/>
  <c r="B897" i="1"/>
  <c r="F896" i="1"/>
  <c r="B896" i="1"/>
  <c r="F895" i="1"/>
  <c r="B895" i="1"/>
  <c r="F894" i="1"/>
  <c r="B894" i="1"/>
  <c r="F893" i="1"/>
  <c r="B893" i="1"/>
  <c r="F892" i="1"/>
  <c r="B892" i="1"/>
  <c r="F891" i="1"/>
  <c r="B891" i="1"/>
  <c r="F890" i="1"/>
  <c r="B890" i="1"/>
  <c r="F889" i="1"/>
  <c r="B889" i="1"/>
  <c r="F888" i="1"/>
  <c r="B888" i="1"/>
  <c r="F887" i="1"/>
  <c r="B887" i="1"/>
  <c r="F886" i="1"/>
  <c r="B886" i="1"/>
  <c r="F885" i="1"/>
  <c r="B885" i="1"/>
  <c r="F884" i="1"/>
  <c r="B884" i="1"/>
  <c r="F883" i="1"/>
  <c r="B883" i="1"/>
  <c r="F882" i="1"/>
  <c r="B882" i="1"/>
  <c r="F881" i="1"/>
  <c r="B881" i="1"/>
  <c r="F880" i="1"/>
  <c r="B880" i="1"/>
  <c r="F879" i="1"/>
  <c r="B879" i="1"/>
  <c r="F878" i="1"/>
  <c r="B878" i="1"/>
  <c r="F877" i="1"/>
  <c r="B877" i="1"/>
  <c r="F876" i="1"/>
  <c r="B876" i="1"/>
  <c r="F875" i="1"/>
  <c r="B875" i="1"/>
  <c r="F874" i="1"/>
  <c r="B874" i="1"/>
  <c r="F873" i="1"/>
  <c r="B873" i="1"/>
  <c r="F872" i="1"/>
  <c r="B872" i="1"/>
  <c r="F871" i="1"/>
  <c r="B871" i="1"/>
  <c r="F870" i="1"/>
  <c r="B870" i="1"/>
  <c r="F869" i="1"/>
  <c r="B869" i="1"/>
  <c r="F868" i="1"/>
  <c r="B868" i="1"/>
  <c r="F867" i="1"/>
  <c r="B867" i="1"/>
  <c r="F866" i="1"/>
  <c r="B866" i="1"/>
  <c r="F865" i="1"/>
  <c r="B865" i="1"/>
  <c r="F864" i="1"/>
  <c r="B864" i="1"/>
  <c r="F863" i="1"/>
  <c r="B863" i="1"/>
  <c r="F862" i="1"/>
  <c r="B862" i="1"/>
  <c r="F861" i="1"/>
  <c r="B861" i="1"/>
  <c r="F860" i="1"/>
  <c r="B860" i="1"/>
  <c r="F859" i="1"/>
  <c r="B859" i="1"/>
  <c r="F858" i="1"/>
  <c r="C858" i="1"/>
  <c r="B858" i="1"/>
  <c r="F857" i="1"/>
  <c r="B857" i="1"/>
  <c r="F856" i="1"/>
  <c r="B856" i="1"/>
  <c r="F855" i="1"/>
  <c r="B855" i="1"/>
  <c r="F854" i="1"/>
  <c r="B854" i="1"/>
  <c r="F853" i="1"/>
  <c r="B853" i="1"/>
  <c r="F852" i="1"/>
  <c r="B852" i="1"/>
  <c r="F851" i="1"/>
  <c r="B851" i="1"/>
  <c r="F850" i="1"/>
  <c r="B850" i="1"/>
  <c r="F849" i="1"/>
  <c r="B849" i="1"/>
  <c r="F848" i="1"/>
  <c r="B848" i="1"/>
  <c r="F847" i="1"/>
  <c r="B847" i="1"/>
  <c r="F846" i="1"/>
  <c r="B846" i="1"/>
  <c r="F845" i="1"/>
  <c r="B845" i="1"/>
  <c r="F844" i="1"/>
  <c r="B844" i="1"/>
  <c r="F843" i="1"/>
  <c r="B843" i="1"/>
  <c r="F842" i="1"/>
  <c r="B842" i="1"/>
  <c r="F841" i="1"/>
  <c r="B841" i="1"/>
  <c r="F840" i="1"/>
  <c r="B840" i="1"/>
  <c r="F839" i="1"/>
  <c r="B839" i="1"/>
  <c r="F838" i="1"/>
  <c r="B838" i="1"/>
  <c r="F837" i="1"/>
  <c r="B837" i="1"/>
  <c r="F836" i="1"/>
  <c r="B836" i="1"/>
  <c r="F835" i="1"/>
  <c r="B835" i="1"/>
  <c r="F834" i="1"/>
  <c r="B834" i="1"/>
  <c r="F833" i="1"/>
  <c r="B833" i="1"/>
  <c r="F832" i="1"/>
  <c r="B832" i="1"/>
  <c r="F831" i="1"/>
  <c r="B831" i="1"/>
  <c r="F830" i="1"/>
  <c r="B830" i="1"/>
  <c r="F829" i="1"/>
  <c r="B829" i="1"/>
  <c r="F828" i="1"/>
  <c r="C828" i="1"/>
  <c r="B828" i="1"/>
  <c r="F827" i="1"/>
  <c r="C827" i="1"/>
  <c r="B827" i="1"/>
  <c r="F826" i="1"/>
  <c r="C826" i="1"/>
  <c r="B826" i="1"/>
  <c r="F825" i="1"/>
  <c r="C825" i="1"/>
  <c r="B825" i="1"/>
  <c r="F824" i="1"/>
  <c r="C824" i="1"/>
  <c r="B824" i="1"/>
  <c r="F823" i="1"/>
  <c r="C823" i="1"/>
  <c r="B823" i="1"/>
  <c r="F822" i="1"/>
  <c r="C822" i="1"/>
  <c r="B822" i="1"/>
  <c r="F821" i="1"/>
  <c r="C821" i="1"/>
  <c r="B821" i="1"/>
  <c r="F820" i="1"/>
  <c r="B820" i="1"/>
  <c r="F819" i="1"/>
  <c r="C819" i="1"/>
  <c r="B819" i="1"/>
  <c r="F818" i="1"/>
  <c r="C818" i="1"/>
  <c r="B818" i="1"/>
  <c r="F817" i="1"/>
  <c r="B817" i="1"/>
  <c r="F816" i="1"/>
  <c r="B816" i="1"/>
  <c r="F815" i="1"/>
  <c r="C815" i="1"/>
  <c r="B815" i="1"/>
  <c r="F814" i="1"/>
  <c r="C814" i="1"/>
  <c r="B814" i="1"/>
  <c r="F813" i="1"/>
  <c r="C813" i="1"/>
  <c r="B813" i="1"/>
  <c r="F812" i="1"/>
  <c r="C812" i="1"/>
  <c r="B812" i="1"/>
  <c r="F811" i="1"/>
  <c r="B811" i="1"/>
  <c r="F810" i="1"/>
  <c r="C810" i="1"/>
  <c r="B810" i="1"/>
  <c r="F809" i="1"/>
  <c r="C809" i="1"/>
  <c r="B809" i="1"/>
  <c r="F808" i="1"/>
  <c r="C808" i="1"/>
  <c r="B808" i="1"/>
  <c r="F807" i="1"/>
  <c r="C807" i="1"/>
  <c r="B807" i="1"/>
  <c r="F806" i="1"/>
  <c r="C806" i="1"/>
  <c r="B806" i="1"/>
  <c r="F805" i="1"/>
  <c r="C805" i="1"/>
  <c r="B805" i="1"/>
  <c r="F804" i="1"/>
  <c r="B804" i="1"/>
  <c r="F803" i="1"/>
  <c r="C803" i="1"/>
  <c r="B803" i="1"/>
  <c r="F802" i="1"/>
  <c r="C802" i="1"/>
  <c r="B802" i="1"/>
  <c r="F801" i="1"/>
  <c r="C801" i="1"/>
  <c r="B801" i="1"/>
  <c r="F800" i="1"/>
  <c r="B800" i="1"/>
  <c r="F799" i="1"/>
  <c r="C799" i="1"/>
  <c r="B799" i="1"/>
  <c r="F798" i="1"/>
  <c r="C798" i="1"/>
  <c r="B798" i="1"/>
  <c r="F797" i="1"/>
  <c r="C797" i="1"/>
  <c r="B797" i="1"/>
  <c r="F796" i="1"/>
  <c r="C796" i="1"/>
  <c r="B796" i="1"/>
  <c r="F795" i="1"/>
  <c r="C795" i="1"/>
  <c r="B795" i="1"/>
  <c r="F794" i="1"/>
  <c r="C794" i="1"/>
  <c r="B794" i="1"/>
  <c r="F793" i="1"/>
  <c r="C793" i="1"/>
  <c r="B793" i="1"/>
  <c r="F792" i="1"/>
  <c r="B792" i="1"/>
  <c r="F791" i="1"/>
  <c r="C791" i="1"/>
  <c r="B791" i="1"/>
  <c r="F790" i="1"/>
  <c r="C790" i="1"/>
  <c r="B790" i="1"/>
  <c r="F789" i="1"/>
  <c r="C789" i="1"/>
  <c r="B789" i="1"/>
  <c r="F788" i="1"/>
  <c r="C788" i="1"/>
  <c r="B788" i="1"/>
  <c r="F787" i="1"/>
  <c r="C787" i="1"/>
  <c r="B787" i="1"/>
  <c r="F786" i="1"/>
  <c r="C786" i="1"/>
  <c r="B786" i="1"/>
  <c r="F785" i="1"/>
  <c r="C785" i="1"/>
  <c r="B785" i="1"/>
  <c r="F784" i="1"/>
  <c r="C784" i="1"/>
  <c r="B784" i="1"/>
  <c r="F783" i="1"/>
  <c r="B783" i="1"/>
  <c r="F782" i="1"/>
  <c r="C782" i="1"/>
  <c r="B782" i="1"/>
  <c r="F781" i="1"/>
  <c r="C781" i="1"/>
  <c r="B781" i="1"/>
  <c r="F780" i="1"/>
  <c r="B780" i="1"/>
  <c r="F779" i="1"/>
  <c r="B779" i="1"/>
  <c r="F778" i="1"/>
  <c r="B778" i="1"/>
  <c r="F777" i="1"/>
  <c r="C777" i="1"/>
  <c r="B777" i="1"/>
  <c r="F776" i="1"/>
  <c r="B776" i="1"/>
  <c r="F775" i="1"/>
  <c r="C775" i="1"/>
  <c r="B775" i="1"/>
  <c r="F774" i="1"/>
  <c r="B774" i="1"/>
  <c r="F773" i="1"/>
  <c r="C773" i="1"/>
  <c r="B773" i="1"/>
  <c r="F772" i="1"/>
  <c r="C772" i="1"/>
  <c r="B772" i="1"/>
  <c r="F771" i="1"/>
  <c r="C771" i="1"/>
  <c r="B771" i="1"/>
  <c r="F770" i="1"/>
  <c r="C770" i="1"/>
  <c r="B770" i="1"/>
  <c r="F769" i="1"/>
  <c r="C769" i="1"/>
  <c r="B769" i="1"/>
  <c r="F768" i="1"/>
  <c r="C768" i="1"/>
  <c r="B768" i="1"/>
  <c r="F767" i="1"/>
  <c r="C767" i="1"/>
  <c r="B767" i="1"/>
  <c r="F766" i="1"/>
  <c r="C766" i="1"/>
  <c r="B766" i="1"/>
  <c r="F765" i="1"/>
  <c r="C765" i="1"/>
  <c r="B765" i="1"/>
  <c r="F764" i="1"/>
  <c r="B764" i="1"/>
  <c r="F763" i="1"/>
  <c r="C763" i="1"/>
  <c r="B763" i="1"/>
  <c r="F762" i="1"/>
  <c r="C762" i="1"/>
  <c r="B762" i="1"/>
  <c r="F761" i="1"/>
  <c r="C761" i="1"/>
  <c r="B761" i="1"/>
  <c r="F760" i="1"/>
  <c r="C760" i="1"/>
  <c r="B760" i="1"/>
  <c r="F759" i="1"/>
  <c r="C759" i="1"/>
  <c r="B759" i="1"/>
  <c r="F758" i="1"/>
  <c r="C758" i="1"/>
  <c r="B758" i="1"/>
  <c r="F757" i="1"/>
  <c r="C757" i="1"/>
  <c r="B757" i="1"/>
  <c r="F756" i="1"/>
  <c r="C756" i="1"/>
  <c r="B756" i="1"/>
  <c r="F755" i="1"/>
  <c r="B755" i="1"/>
  <c r="F754" i="1"/>
  <c r="C754" i="1"/>
  <c r="B754" i="1"/>
  <c r="F753" i="1"/>
  <c r="C753" i="1"/>
  <c r="B753" i="1"/>
  <c r="F752" i="1"/>
  <c r="C752" i="1"/>
  <c r="B752" i="1"/>
  <c r="F751" i="1"/>
  <c r="B751" i="1"/>
  <c r="F750" i="1"/>
  <c r="C750" i="1"/>
  <c r="B750" i="1"/>
  <c r="F749" i="1"/>
  <c r="C749" i="1"/>
  <c r="B749" i="1"/>
  <c r="F748" i="1"/>
  <c r="B748" i="1"/>
  <c r="F747" i="1"/>
  <c r="B747" i="1"/>
  <c r="F746" i="1"/>
  <c r="C746" i="1"/>
  <c r="B746" i="1"/>
  <c r="F745" i="1"/>
  <c r="C745" i="1"/>
  <c r="B745" i="1"/>
  <c r="F744" i="1"/>
  <c r="C744" i="1"/>
  <c r="B744" i="1"/>
  <c r="F743" i="1"/>
  <c r="C743" i="1"/>
  <c r="B743" i="1"/>
  <c r="F742" i="1"/>
  <c r="C742" i="1"/>
  <c r="B742" i="1"/>
  <c r="F741" i="1"/>
  <c r="C741" i="1"/>
  <c r="B741" i="1"/>
  <c r="F740" i="1"/>
  <c r="C740" i="1"/>
  <c r="B740" i="1"/>
  <c r="F739" i="1"/>
  <c r="C739" i="1"/>
  <c r="B739" i="1"/>
  <c r="F738" i="1"/>
  <c r="C738" i="1"/>
  <c r="B738" i="1"/>
  <c r="F737" i="1"/>
  <c r="B737" i="1"/>
  <c r="F736" i="1"/>
  <c r="C736" i="1"/>
  <c r="B736" i="1"/>
  <c r="F735" i="1"/>
  <c r="C735" i="1"/>
  <c r="B735" i="1"/>
  <c r="F734" i="1"/>
  <c r="C734" i="1"/>
  <c r="B734" i="1"/>
  <c r="F733" i="1"/>
  <c r="C733" i="1"/>
  <c r="B733" i="1"/>
  <c r="F732" i="1"/>
  <c r="C732" i="1"/>
  <c r="B732" i="1"/>
  <c r="F731" i="1"/>
  <c r="B731" i="1"/>
  <c r="F730" i="1"/>
  <c r="C730" i="1"/>
  <c r="B730" i="1"/>
  <c r="F729" i="1"/>
  <c r="C729" i="1"/>
  <c r="B729" i="1"/>
  <c r="F728" i="1"/>
  <c r="B728" i="1"/>
  <c r="F727" i="1"/>
  <c r="C727" i="1"/>
  <c r="B727" i="1"/>
  <c r="F726" i="1"/>
  <c r="C726" i="1"/>
  <c r="B726" i="1"/>
  <c r="F725" i="1"/>
  <c r="C725" i="1"/>
  <c r="B725" i="1"/>
  <c r="F724" i="1"/>
  <c r="C724" i="1"/>
  <c r="B724" i="1"/>
  <c r="F723" i="1"/>
  <c r="C723" i="1"/>
  <c r="B723" i="1"/>
  <c r="F722" i="1"/>
  <c r="B722" i="1"/>
  <c r="F721" i="1"/>
  <c r="C721" i="1"/>
  <c r="B721" i="1"/>
  <c r="F720" i="1"/>
  <c r="B720" i="1"/>
  <c r="F719" i="1"/>
  <c r="C719" i="1"/>
  <c r="B719" i="1"/>
  <c r="F718" i="1"/>
  <c r="C718" i="1"/>
  <c r="B718" i="1"/>
  <c r="F717" i="1"/>
  <c r="C717" i="1"/>
  <c r="B717" i="1"/>
  <c r="F716" i="1"/>
  <c r="C716" i="1"/>
  <c r="B716" i="1"/>
  <c r="F715" i="1"/>
  <c r="C715" i="1"/>
  <c r="B715" i="1"/>
  <c r="F714" i="1"/>
  <c r="C714" i="1"/>
  <c r="B714" i="1"/>
  <c r="F713" i="1"/>
  <c r="C713" i="1"/>
  <c r="B713" i="1"/>
  <c r="F712" i="1"/>
  <c r="C712" i="1"/>
  <c r="B712" i="1"/>
  <c r="F711" i="1"/>
  <c r="C711" i="1"/>
  <c r="B711" i="1"/>
  <c r="F710" i="1"/>
  <c r="C710" i="1"/>
  <c r="B710" i="1"/>
  <c r="F709" i="1"/>
  <c r="C709" i="1"/>
  <c r="B709" i="1"/>
  <c r="F708" i="1"/>
  <c r="C708" i="1"/>
  <c r="B708" i="1"/>
  <c r="F707" i="1"/>
  <c r="C707" i="1"/>
  <c r="B707" i="1"/>
  <c r="F706" i="1"/>
  <c r="B706" i="1"/>
  <c r="F705" i="1"/>
  <c r="C705" i="1"/>
  <c r="B705" i="1"/>
  <c r="F704" i="1"/>
  <c r="C704" i="1"/>
  <c r="B704" i="1"/>
  <c r="F703" i="1"/>
  <c r="C703" i="1"/>
  <c r="B703" i="1"/>
  <c r="F702" i="1"/>
  <c r="C702" i="1"/>
  <c r="B702" i="1"/>
  <c r="F701" i="1"/>
  <c r="C701" i="1"/>
  <c r="B701" i="1"/>
  <c r="F700" i="1"/>
  <c r="C700" i="1"/>
  <c r="B700" i="1"/>
  <c r="F699" i="1"/>
  <c r="C699" i="1"/>
  <c r="B699" i="1"/>
  <c r="F698" i="1"/>
  <c r="B698" i="1"/>
  <c r="F697" i="1"/>
  <c r="C697" i="1"/>
  <c r="B697" i="1"/>
  <c r="F696" i="1"/>
  <c r="B696" i="1"/>
  <c r="F695" i="1"/>
  <c r="C695" i="1"/>
  <c r="B695" i="1"/>
  <c r="F694" i="1"/>
  <c r="B694" i="1"/>
  <c r="F693" i="1"/>
  <c r="C693" i="1"/>
  <c r="B693" i="1"/>
  <c r="F692" i="1"/>
  <c r="C692" i="1"/>
  <c r="B692" i="1"/>
  <c r="F691" i="1"/>
  <c r="C691" i="1"/>
  <c r="B691" i="1"/>
  <c r="F690" i="1"/>
  <c r="C690" i="1"/>
  <c r="B690" i="1"/>
  <c r="F689" i="1"/>
  <c r="C689" i="1"/>
  <c r="B689" i="1"/>
  <c r="F688" i="1"/>
  <c r="C688" i="1"/>
  <c r="B688" i="1"/>
  <c r="F687" i="1"/>
  <c r="B687" i="1"/>
  <c r="F686" i="1"/>
  <c r="C686" i="1"/>
  <c r="B686" i="1"/>
  <c r="F685" i="1"/>
  <c r="C685" i="1"/>
  <c r="B685" i="1"/>
  <c r="F684" i="1"/>
  <c r="C684" i="1"/>
  <c r="B684" i="1"/>
  <c r="F683" i="1"/>
  <c r="C683" i="1"/>
  <c r="B683" i="1"/>
  <c r="F682" i="1"/>
  <c r="C682" i="1"/>
  <c r="B682" i="1"/>
  <c r="F681" i="1"/>
  <c r="C681" i="1"/>
  <c r="B681" i="1"/>
  <c r="F680" i="1"/>
  <c r="C680" i="1"/>
  <c r="B680" i="1"/>
  <c r="F679" i="1"/>
  <c r="B679" i="1"/>
  <c r="F678" i="1"/>
  <c r="C678" i="1"/>
  <c r="B678" i="1"/>
  <c r="F677" i="1"/>
  <c r="C677" i="1"/>
  <c r="B677" i="1"/>
  <c r="F676" i="1"/>
  <c r="C676" i="1"/>
  <c r="B676" i="1"/>
  <c r="F675" i="1"/>
  <c r="B675" i="1"/>
  <c r="F674" i="1"/>
  <c r="C674" i="1"/>
  <c r="B674" i="1"/>
  <c r="F673" i="1"/>
  <c r="B673" i="1"/>
  <c r="F672" i="1"/>
  <c r="C672" i="1"/>
  <c r="B672" i="1"/>
  <c r="F671" i="1"/>
  <c r="C671" i="1"/>
  <c r="B671" i="1"/>
  <c r="F670" i="1"/>
  <c r="C670" i="1"/>
  <c r="B670" i="1"/>
  <c r="F669" i="1"/>
  <c r="C669" i="1"/>
  <c r="B669" i="1"/>
  <c r="F668" i="1"/>
  <c r="B668" i="1"/>
  <c r="F667" i="1"/>
  <c r="C667" i="1"/>
  <c r="B667" i="1"/>
  <c r="F666" i="1"/>
  <c r="C666" i="1"/>
  <c r="B666" i="1"/>
  <c r="F665" i="1"/>
  <c r="C665" i="1"/>
  <c r="B665" i="1"/>
  <c r="F664" i="1"/>
  <c r="C664" i="1"/>
  <c r="B664" i="1"/>
  <c r="F663" i="1"/>
  <c r="C663" i="1"/>
  <c r="B663" i="1"/>
  <c r="F662" i="1"/>
  <c r="C662" i="1"/>
  <c r="B662" i="1"/>
  <c r="F661" i="1"/>
  <c r="C661" i="1"/>
  <c r="B661" i="1"/>
  <c r="F660" i="1"/>
  <c r="C660" i="1"/>
  <c r="B660" i="1"/>
  <c r="F659" i="1"/>
  <c r="C659" i="1"/>
  <c r="B659" i="1"/>
  <c r="F658" i="1"/>
  <c r="C658" i="1"/>
  <c r="B658" i="1"/>
  <c r="F657" i="1"/>
  <c r="C657" i="1"/>
  <c r="B657" i="1"/>
  <c r="F656" i="1"/>
  <c r="B656" i="1"/>
  <c r="F655" i="1"/>
  <c r="C655" i="1"/>
  <c r="B655" i="1"/>
  <c r="F654" i="1"/>
  <c r="B654" i="1"/>
  <c r="F653" i="1"/>
  <c r="B653" i="1"/>
  <c r="F652" i="1"/>
  <c r="C652" i="1"/>
  <c r="B652" i="1"/>
  <c r="F651" i="1"/>
  <c r="C651" i="1"/>
  <c r="B651" i="1"/>
  <c r="F650" i="1"/>
  <c r="B650" i="1"/>
  <c r="F649" i="1"/>
  <c r="C649" i="1"/>
  <c r="B649" i="1"/>
  <c r="F648" i="1"/>
  <c r="C648" i="1"/>
  <c r="B648" i="1"/>
  <c r="F647" i="1"/>
  <c r="C647" i="1"/>
  <c r="B647" i="1"/>
  <c r="F646" i="1"/>
  <c r="C646" i="1"/>
  <c r="B646" i="1"/>
  <c r="F645" i="1"/>
  <c r="C645" i="1"/>
  <c r="B645" i="1"/>
  <c r="F644" i="1"/>
  <c r="C644" i="1"/>
  <c r="B644" i="1"/>
  <c r="F643" i="1"/>
  <c r="C643" i="1"/>
  <c r="B643" i="1"/>
  <c r="F642" i="1"/>
  <c r="B642" i="1"/>
  <c r="F641" i="1"/>
  <c r="C641" i="1"/>
  <c r="B641" i="1"/>
  <c r="F640" i="1"/>
  <c r="C640" i="1"/>
  <c r="B640" i="1"/>
  <c r="F639" i="1"/>
  <c r="B639" i="1"/>
  <c r="F638" i="1"/>
  <c r="C638" i="1"/>
  <c r="B638" i="1"/>
  <c r="F637" i="1"/>
  <c r="C637" i="1"/>
  <c r="B637" i="1"/>
  <c r="F636" i="1"/>
  <c r="C636" i="1"/>
  <c r="B636" i="1"/>
  <c r="F635" i="1"/>
  <c r="C635" i="1"/>
  <c r="B635" i="1"/>
  <c r="F634" i="1"/>
  <c r="C634" i="1"/>
  <c r="B634" i="1"/>
  <c r="F633" i="1"/>
  <c r="B633" i="1"/>
  <c r="F632" i="1"/>
  <c r="C632" i="1"/>
  <c r="B632" i="1"/>
  <c r="F631" i="1"/>
  <c r="C631" i="1"/>
  <c r="B631" i="1"/>
  <c r="F630" i="1"/>
  <c r="C630" i="1"/>
  <c r="B630" i="1"/>
  <c r="F629" i="1"/>
  <c r="C629" i="1"/>
  <c r="B629" i="1"/>
  <c r="F628" i="1"/>
  <c r="C628" i="1"/>
  <c r="B628" i="1"/>
  <c r="F627" i="1"/>
  <c r="C627" i="1"/>
  <c r="B627" i="1"/>
  <c r="F626" i="1"/>
  <c r="C626" i="1"/>
  <c r="B626" i="1"/>
  <c r="F625" i="1"/>
  <c r="B625" i="1"/>
  <c r="F624" i="1"/>
  <c r="B624" i="1"/>
  <c r="F623" i="1"/>
  <c r="C623" i="1"/>
  <c r="B623" i="1"/>
  <c r="F622" i="1"/>
  <c r="B622" i="1"/>
  <c r="F621" i="1"/>
  <c r="C621" i="1"/>
  <c r="B621" i="1"/>
  <c r="F620" i="1"/>
  <c r="C620" i="1"/>
  <c r="B620" i="1"/>
  <c r="F619" i="1"/>
  <c r="C619" i="1"/>
  <c r="B619" i="1"/>
  <c r="F618" i="1"/>
  <c r="C618" i="1"/>
  <c r="B618" i="1"/>
  <c r="F617" i="1"/>
  <c r="C617" i="1"/>
  <c r="B617" i="1"/>
  <c r="F616" i="1"/>
  <c r="C616" i="1"/>
  <c r="B616" i="1"/>
  <c r="F615" i="1"/>
  <c r="B615" i="1"/>
  <c r="F614" i="1"/>
  <c r="C614" i="1"/>
  <c r="B614" i="1"/>
  <c r="F613" i="1"/>
  <c r="C613" i="1"/>
  <c r="B613" i="1"/>
  <c r="F612" i="1"/>
  <c r="C612" i="1"/>
  <c r="B612" i="1"/>
  <c r="F611" i="1"/>
  <c r="C611" i="1"/>
  <c r="B611" i="1"/>
  <c r="F610" i="1"/>
  <c r="C610" i="1"/>
  <c r="B610" i="1"/>
  <c r="F609" i="1"/>
  <c r="C609" i="1"/>
  <c r="B609" i="1"/>
  <c r="F608" i="1"/>
  <c r="B608" i="1"/>
  <c r="F607" i="1"/>
  <c r="C607" i="1"/>
  <c r="B607" i="1"/>
  <c r="F606" i="1"/>
  <c r="C606" i="1"/>
  <c r="B606" i="1"/>
  <c r="F605" i="1"/>
  <c r="C605" i="1"/>
  <c r="B605" i="1"/>
  <c r="F604" i="1"/>
  <c r="C604" i="1"/>
  <c r="B604" i="1"/>
  <c r="F603" i="1"/>
  <c r="C603" i="1"/>
  <c r="B603" i="1"/>
  <c r="F602" i="1"/>
  <c r="B602" i="1"/>
  <c r="F601" i="1"/>
  <c r="C601" i="1"/>
  <c r="B601" i="1"/>
  <c r="F600" i="1"/>
  <c r="C600" i="1"/>
  <c r="B600" i="1"/>
  <c r="F599" i="1"/>
  <c r="C599" i="1"/>
  <c r="B599" i="1"/>
  <c r="F598" i="1"/>
  <c r="C598" i="1"/>
  <c r="B598" i="1"/>
  <c r="F597" i="1"/>
  <c r="C597" i="1"/>
  <c r="B597" i="1"/>
  <c r="F596" i="1"/>
  <c r="C596" i="1"/>
  <c r="B596" i="1"/>
  <c r="F595" i="1"/>
  <c r="B595" i="1"/>
  <c r="F594" i="1"/>
  <c r="B594" i="1"/>
  <c r="F593" i="1"/>
  <c r="C593" i="1"/>
  <c r="B593" i="1"/>
  <c r="F592" i="1"/>
  <c r="B592" i="1"/>
  <c r="F591" i="1"/>
  <c r="B591" i="1"/>
  <c r="F590" i="1"/>
  <c r="B590" i="1"/>
  <c r="F589" i="1"/>
  <c r="B589" i="1"/>
  <c r="F588" i="1"/>
  <c r="B588" i="1"/>
  <c r="F587" i="1"/>
  <c r="C587" i="1"/>
  <c r="B587" i="1"/>
  <c r="F586" i="1"/>
  <c r="B586" i="1"/>
  <c r="F585" i="1"/>
  <c r="C585" i="1"/>
  <c r="B585" i="1"/>
  <c r="F584" i="1"/>
  <c r="C584" i="1"/>
  <c r="B584" i="1"/>
  <c r="F583" i="1"/>
  <c r="C583" i="1"/>
  <c r="B583" i="1"/>
  <c r="F582" i="1"/>
  <c r="C582" i="1"/>
  <c r="B582" i="1"/>
  <c r="F581" i="1"/>
  <c r="C581" i="1"/>
  <c r="B581" i="1"/>
  <c r="F580" i="1"/>
  <c r="C580" i="1"/>
  <c r="B580" i="1"/>
  <c r="F579" i="1"/>
  <c r="C579" i="1"/>
  <c r="B579" i="1"/>
  <c r="F578" i="1"/>
  <c r="C578" i="1"/>
  <c r="B578" i="1"/>
  <c r="F577" i="1"/>
  <c r="B577" i="1"/>
  <c r="F576" i="1"/>
  <c r="C576" i="1"/>
  <c r="B576" i="1"/>
  <c r="F575" i="1"/>
  <c r="C575" i="1"/>
  <c r="B575" i="1"/>
  <c r="F574" i="1"/>
  <c r="C574" i="1"/>
  <c r="B574" i="1"/>
  <c r="F573" i="1"/>
  <c r="C573" i="1"/>
  <c r="B573" i="1"/>
  <c r="F572" i="1"/>
  <c r="C572" i="1"/>
  <c r="B572" i="1"/>
  <c r="F571" i="1"/>
  <c r="B571" i="1"/>
  <c r="F570" i="1"/>
  <c r="B570" i="1"/>
  <c r="F569" i="1"/>
  <c r="B569" i="1"/>
  <c r="F568" i="1"/>
  <c r="B568" i="1"/>
  <c r="F567" i="1"/>
  <c r="C567" i="1"/>
  <c r="B567" i="1"/>
  <c r="F566" i="1"/>
  <c r="C566" i="1"/>
  <c r="B566" i="1"/>
  <c r="F565" i="1"/>
  <c r="C565" i="1"/>
  <c r="B565" i="1"/>
  <c r="F564" i="1"/>
  <c r="C564" i="1"/>
  <c r="B564" i="1"/>
  <c r="F563" i="1"/>
  <c r="C563" i="1"/>
  <c r="B563" i="1"/>
  <c r="F562" i="1"/>
  <c r="B562" i="1"/>
  <c r="F561" i="1"/>
  <c r="C561" i="1"/>
  <c r="B561" i="1"/>
  <c r="F560" i="1"/>
  <c r="C560" i="1"/>
  <c r="B560" i="1"/>
  <c r="F559" i="1"/>
  <c r="B559" i="1"/>
  <c r="F558" i="1"/>
  <c r="C558" i="1"/>
  <c r="B558" i="1"/>
  <c r="F557" i="1"/>
  <c r="B557" i="1"/>
  <c r="F556" i="1"/>
  <c r="C556" i="1"/>
  <c r="B556" i="1"/>
  <c r="F555" i="1"/>
  <c r="C555" i="1"/>
  <c r="B555" i="1"/>
  <c r="F554" i="1"/>
  <c r="B554" i="1"/>
  <c r="F553" i="1"/>
  <c r="C553" i="1"/>
  <c r="B553" i="1"/>
  <c r="F552" i="1"/>
  <c r="C552" i="1"/>
  <c r="B552" i="1"/>
  <c r="F551" i="1"/>
  <c r="C551" i="1"/>
  <c r="B551" i="1"/>
  <c r="F550" i="1"/>
  <c r="C550" i="1"/>
  <c r="B550" i="1"/>
  <c r="F549" i="1"/>
  <c r="B549" i="1"/>
  <c r="F548" i="1"/>
  <c r="B548" i="1"/>
  <c r="F547" i="1"/>
  <c r="B547" i="1"/>
  <c r="F546" i="1"/>
  <c r="B546" i="1"/>
  <c r="F545" i="1"/>
  <c r="B545" i="1"/>
  <c r="F544" i="1"/>
  <c r="C544" i="1"/>
  <c r="B544" i="1"/>
  <c r="F543" i="1"/>
  <c r="B543" i="1"/>
  <c r="F542" i="1"/>
  <c r="B542" i="1"/>
  <c r="F541" i="1"/>
  <c r="C541" i="1"/>
  <c r="B541" i="1"/>
  <c r="F540" i="1"/>
  <c r="C540" i="1"/>
  <c r="B540" i="1"/>
  <c r="F539" i="1"/>
  <c r="B539" i="1"/>
  <c r="F538" i="1"/>
  <c r="B538" i="1"/>
  <c r="F537" i="1"/>
  <c r="B537" i="1"/>
  <c r="F536" i="1"/>
  <c r="C536" i="1"/>
  <c r="B536" i="1"/>
  <c r="F535" i="1"/>
  <c r="C535" i="1"/>
  <c r="B535" i="1"/>
  <c r="F534" i="1"/>
  <c r="C534" i="1"/>
  <c r="B534" i="1"/>
  <c r="F533" i="1"/>
  <c r="C533" i="1"/>
  <c r="B533" i="1"/>
  <c r="F532" i="1"/>
  <c r="C532" i="1"/>
  <c r="B532" i="1"/>
  <c r="F531" i="1"/>
  <c r="B531" i="1"/>
  <c r="F530" i="1"/>
  <c r="C530" i="1"/>
  <c r="B530" i="1"/>
  <c r="F529" i="1"/>
  <c r="B529" i="1"/>
  <c r="F528" i="1"/>
  <c r="C528" i="1"/>
  <c r="B528" i="1"/>
  <c r="F527" i="1"/>
  <c r="C527" i="1"/>
  <c r="B527" i="1"/>
  <c r="F526" i="1"/>
  <c r="C526" i="1"/>
  <c r="B526" i="1"/>
  <c r="F525" i="1"/>
  <c r="C525" i="1"/>
  <c r="B525" i="1"/>
  <c r="F524" i="1"/>
  <c r="C524" i="1"/>
  <c r="B524" i="1"/>
  <c r="F523" i="1"/>
  <c r="C523" i="1"/>
  <c r="B523" i="1"/>
  <c r="F522" i="1"/>
  <c r="C522" i="1"/>
  <c r="B522" i="1"/>
  <c r="F521" i="1"/>
  <c r="C521" i="1"/>
  <c r="B521" i="1"/>
  <c r="F520" i="1"/>
  <c r="B520" i="1"/>
  <c r="F519" i="1"/>
  <c r="C519" i="1"/>
  <c r="B519" i="1"/>
  <c r="F518" i="1"/>
  <c r="C518" i="1"/>
  <c r="B518" i="1"/>
  <c r="F517" i="1"/>
  <c r="B517" i="1"/>
  <c r="F516" i="1"/>
  <c r="C516" i="1"/>
  <c r="B516" i="1"/>
  <c r="F515" i="1"/>
  <c r="C515" i="1"/>
  <c r="B515" i="1"/>
  <c r="F514" i="1"/>
  <c r="B514" i="1"/>
  <c r="F513" i="1"/>
  <c r="B513" i="1"/>
  <c r="F512" i="1"/>
  <c r="C512" i="1"/>
  <c r="B512" i="1"/>
  <c r="F511" i="1"/>
  <c r="B511" i="1"/>
  <c r="F510" i="1"/>
  <c r="C510" i="1"/>
  <c r="B510" i="1"/>
  <c r="F509" i="1"/>
  <c r="C509" i="1"/>
  <c r="B509" i="1"/>
  <c r="F508" i="1"/>
  <c r="C508" i="1"/>
  <c r="B508" i="1"/>
  <c r="F507" i="1"/>
  <c r="C507" i="1"/>
  <c r="B507" i="1"/>
  <c r="F506" i="1"/>
  <c r="B506" i="1"/>
  <c r="F505" i="1"/>
  <c r="C505" i="1"/>
  <c r="B505" i="1"/>
  <c r="F504" i="1"/>
  <c r="B504" i="1"/>
  <c r="F503" i="1"/>
  <c r="B503" i="1"/>
  <c r="F502" i="1"/>
  <c r="C502" i="1"/>
  <c r="B502" i="1"/>
  <c r="F501" i="1"/>
  <c r="B501" i="1"/>
  <c r="F500" i="1"/>
  <c r="C500" i="1"/>
  <c r="B500" i="1"/>
  <c r="F499" i="1"/>
  <c r="B499" i="1"/>
  <c r="F498" i="1"/>
  <c r="B498" i="1"/>
  <c r="F497" i="1"/>
  <c r="C497" i="1"/>
  <c r="B497" i="1"/>
  <c r="F496" i="1"/>
  <c r="C496" i="1"/>
  <c r="B496" i="1"/>
  <c r="F495" i="1"/>
  <c r="C495" i="1"/>
  <c r="B495" i="1"/>
  <c r="F494" i="1"/>
  <c r="C494" i="1"/>
  <c r="B494" i="1"/>
  <c r="F493" i="1"/>
  <c r="B493" i="1"/>
  <c r="F492" i="1"/>
  <c r="C492" i="1"/>
  <c r="B492" i="1"/>
  <c r="F491" i="1"/>
  <c r="C491" i="1"/>
  <c r="B491" i="1"/>
  <c r="F490" i="1"/>
  <c r="C490" i="1"/>
  <c r="B490" i="1"/>
  <c r="F489" i="1"/>
  <c r="B489" i="1"/>
  <c r="F488" i="1"/>
  <c r="B488" i="1"/>
  <c r="F487" i="1"/>
  <c r="B487" i="1"/>
  <c r="F486" i="1"/>
  <c r="C486" i="1"/>
  <c r="B486" i="1"/>
  <c r="F485" i="1"/>
  <c r="B485" i="1"/>
  <c r="F484" i="1"/>
  <c r="B484" i="1"/>
  <c r="F483" i="1"/>
  <c r="B483" i="1"/>
  <c r="F482" i="1"/>
  <c r="C482" i="1"/>
  <c r="B482" i="1"/>
  <c r="F481" i="1"/>
  <c r="B481" i="1"/>
  <c r="F480" i="1"/>
  <c r="C480" i="1"/>
  <c r="B480" i="1"/>
  <c r="F479" i="1"/>
  <c r="C479" i="1"/>
  <c r="B479" i="1"/>
  <c r="F478" i="1"/>
  <c r="C478" i="1"/>
  <c r="B478" i="1"/>
  <c r="F477" i="1"/>
  <c r="B477" i="1"/>
  <c r="F476" i="1"/>
  <c r="B476" i="1"/>
  <c r="F475" i="1"/>
  <c r="C475" i="1"/>
  <c r="B475" i="1"/>
  <c r="F474" i="1"/>
  <c r="C474" i="1"/>
  <c r="B474" i="1"/>
  <c r="F473" i="1"/>
  <c r="C473" i="1"/>
  <c r="B473" i="1"/>
  <c r="F472" i="1"/>
  <c r="B472" i="1"/>
  <c r="F471" i="1"/>
  <c r="C471" i="1"/>
  <c r="B471" i="1"/>
  <c r="F470" i="1"/>
  <c r="B470" i="1"/>
  <c r="F469" i="1"/>
  <c r="B469" i="1"/>
  <c r="F468" i="1"/>
  <c r="C468" i="1"/>
  <c r="B468" i="1"/>
  <c r="F467" i="1"/>
  <c r="C467" i="1"/>
  <c r="B467" i="1"/>
  <c r="F466" i="1"/>
  <c r="B466" i="1"/>
  <c r="F465" i="1"/>
  <c r="B465" i="1"/>
  <c r="F464" i="1"/>
  <c r="C464" i="1"/>
  <c r="B464" i="1"/>
  <c r="F463" i="1"/>
  <c r="C463" i="1"/>
  <c r="B463" i="1"/>
  <c r="F462" i="1"/>
  <c r="C462" i="1"/>
  <c r="B462" i="1"/>
  <c r="F461" i="1"/>
  <c r="B461" i="1"/>
  <c r="F460" i="1"/>
  <c r="B460" i="1"/>
  <c r="F459" i="1"/>
  <c r="C459" i="1"/>
  <c r="B459" i="1"/>
  <c r="F458" i="1"/>
  <c r="C458" i="1"/>
  <c r="B458" i="1"/>
  <c r="F457" i="1"/>
  <c r="C457" i="1"/>
  <c r="B457" i="1"/>
  <c r="F456" i="1"/>
  <c r="C456" i="1"/>
  <c r="B456" i="1"/>
  <c r="F455" i="1"/>
  <c r="C455" i="1"/>
  <c r="B455" i="1"/>
  <c r="F454" i="1"/>
  <c r="C454" i="1"/>
  <c r="B454" i="1"/>
  <c r="F453" i="1"/>
  <c r="C453" i="1"/>
  <c r="B453" i="1"/>
  <c r="F452" i="1"/>
  <c r="B452" i="1"/>
  <c r="F451" i="1"/>
  <c r="B451" i="1"/>
  <c r="F450" i="1"/>
  <c r="C450" i="1"/>
  <c r="B450" i="1"/>
  <c r="F449" i="1"/>
  <c r="B449" i="1"/>
  <c r="F448" i="1"/>
  <c r="B448" i="1"/>
  <c r="F447" i="1"/>
  <c r="C447" i="1"/>
  <c r="B447" i="1"/>
  <c r="F446" i="1"/>
  <c r="B446" i="1"/>
  <c r="F445" i="1"/>
  <c r="C445" i="1"/>
  <c r="B445" i="1"/>
  <c r="F444" i="1"/>
  <c r="B444" i="1"/>
  <c r="F443" i="1"/>
  <c r="B443" i="1"/>
  <c r="F442" i="1"/>
  <c r="C442" i="1"/>
  <c r="B442" i="1"/>
  <c r="F441" i="1"/>
  <c r="C441" i="1"/>
  <c r="B441" i="1"/>
  <c r="F440" i="1"/>
  <c r="C440" i="1"/>
  <c r="B440" i="1"/>
  <c r="F439" i="1"/>
  <c r="C439" i="1"/>
  <c r="B439" i="1"/>
  <c r="F438" i="1"/>
  <c r="C438" i="1"/>
  <c r="B438" i="1"/>
  <c r="F437" i="1"/>
  <c r="C437" i="1"/>
  <c r="B437" i="1"/>
  <c r="F436" i="1"/>
  <c r="C436" i="1"/>
  <c r="B436" i="1"/>
  <c r="F435" i="1"/>
  <c r="C435" i="1"/>
  <c r="B435" i="1"/>
  <c r="F434" i="1"/>
  <c r="C434" i="1"/>
  <c r="B434" i="1"/>
  <c r="F433" i="1"/>
  <c r="C433" i="1"/>
  <c r="B433" i="1"/>
  <c r="F432" i="1"/>
  <c r="B432" i="1"/>
  <c r="F431" i="1"/>
  <c r="B431" i="1"/>
  <c r="F430" i="1"/>
  <c r="C430" i="1"/>
  <c r="B430" i="1"/>
  <c r="F429" i="1"/>
  <c r="C429" i="1"/>
  <c r="B429" i="1"/>
  <c r="F428" i="1"/>
  <c r="B428" i="1"/>
  <c r="F427" i="1"/>
  <c r="B427" i="1"/>
  <c r="F426" i="1"/>
  <c r="C426" i="1"/>
  <c r="B426" i="1"/>
  <c r="F425" i="1"/>
  <c r="C425" i="1"/>
  <c r="B425" i="1"/>
  <c r="F424" i="1"/>
  <c r="C424" i="1"/>
  <c r="B424" i="1"/>
  <c r="F423" i="1"/>
  <c r="C423" i="1"/>
  <c r="B423" i="1"/>
  <c r="F422" i="1"/>
  <c r="C422" i="1"/>
  <c r="B422" i="1"/>
  <c r="F421" i="1"/>
  <c r="C421" i="1"/>
  <c r="B421" i="1"/>
  <c r="F420" i="1"/>
  <c r="C420" i="1"/>
  <c r="B420" i="1"/>
  <c r="F419" i="1"/>
  <c r="C419" i="1"/>
  <c r="B419" i="1"/>
  <c r="F418" i="1"/>
  <c r="B418" i="1"/>
  <c r="F417" i="1"/>
  <c r="B417" i="1"/>
  <c r="F416" i="1"/>
  <c r="C416" i="1"/>
  <c r="B416" i="1"/>
  <c r="F415" i="1"/>
  <c r="B415" i="1"/>
  <c r="F414" i="1"/>
  <c r="C414" i="1"/>
  <c r="B414" i="1"/>
  <c r="F413" i="1"/>
  <c r="C413" i="1"/>
  <c r="B413" i="1"/>
  <c r="F412" i="1"/>
  <c r="C412" i="1"/>
  <c r="B412" i="1"/>
  <c r="F411" i="1"/>
  <c r="B411" i="1"/>
  <c r="F410" i="1"/>
  <c r="B410" i="1"/>
  <c r="F409" i="1"/>
  <c r="C409" i="1"/>
  <c r="B409" i="1"/>
  <c r="F408" i="1"/>
  <c r="B408" i="1"/>
  <c r="F407" i="1"/>
  <c r="B407" i="1"/>
  <c r="F406" i="1"/>
  <c r="C406" i="1"/>
  <c r="B406" i="1"/>
  <c r="F405" i="1"/>
  <c r="C405" i="1"/>
  <c r="B405" i="1"/>
  <c r="F404" i="1"/>
  <c r="C404" i="1"/>
  <c r="B404" i="1"/>
  <c r="F403" i="1"/>
  <c r="C403" i="1"/>
  <c r="B403" i="1"/>
  <c r="F402" i="1"/>
  <c r="B402" i="1"/>
  <c r="F401" i="1"/>
  <c r="C401" i="1"/>
  <c r="B401" i="1"/>
  <c r="F400" i="1"/>
  <c r="B400" i="1"/>
  <c r="F399" i="1"/>
  <c r="C399" i="1"/>
  <c r="B399" i="1"/>
  <c r="F398" i="1"/>
  <c r="C398" i="1"/>
  <c r="B398" i="1"/>
  <c r="F397" i="1"/>
  <c r="C397" i="1"/>
  <c r="B397" i="1"/>
  <c r="F396" i="1"/>
  <c r="C396" i="1"/>
  <c r="B396" i="1"/>
  <c r="F395" i="1"/>
  <c r="B395" i="1"/>
  <c r="F394" i="1"/>
  <c r="C394" i="1"/>
  <c r="B394" i="1"/>
  <c r="F393" i="1"/>
  <c r="C393" i="1"/>
  <c r="B393" i="1"/>
  <c r="F392" i="1"/>
  <c r="C392" i="1"/>
  <c r="B392" i="1"/>
  <c r="F391" i="1"/>
  <c r="C391" i="1"/>
  <c r="B391" i="1"/>
  <c r="F390" i="1"/>
  <c r="C390" i="1"/>
  <c r="B390" i="1"/>
  <c r="F389" i="1"/>
  <c r="C389" i="1"/>
  <c r="B389" i="1"/>
  <c r="F388" i="1"/>
  <c r="C388" i="1"/>
  <c r="B388" i="1"/>
  <c r="F387" i="1"/>
  <c r="C387" i="1"/>
  <c r="B387" i="1"/>
  <c r="F386" i="1"/>
  <c r="B386" i="1"/>
  <c r="F385" i="1"/>
  <c r="C385" i="1"/>
  <c r="B385" i="1"/>
  <c r="F384" i="1"/>
  <c r="C384" i="1"/>
  <c r="B384" i="1"/>
  <c r="F383" i="1"/>
  <c r="B383" i="1"/>
  <c r="F382" i="1"/>
  <c r="C382" i="1"/>
  <c r="B382" i="1"/>
  <c r="F381" i="1"/>
  <c r="C381" i="1"/>
  <c r="B381" i="1"/>
  <c r="F380" i="1"/>
  <c r="C380" i="1"/>
  <c r="B380" i="1"/>
  <c r="F379" i="1"/>
  <c r="C379" i="1"/>
  <c r="B379" i="1"/>
  <c r="F378" i="1"/>
  <c r="B378" i="1"/>
  <c r="F377" i="1"/>
  <c r="C377" i="1"/>
  <c r="B377" i="1"/>
  <c r="F376" i="1"/>
  <c r="C376" i="1"/>
  <c r="B376" i="1"/>
  <c r="F375" i="1"/>
  <c r="B375" i="1"/>
  <c r="F374" i="1"/>
  <c r="B374" i="1"/>
  <c r="F373" i="1"/>
  <c r="B373" i="1"/>
  <c r="F372" i="1"/>
  <c r="C372" i="1"/>
  <c r="B372" i="1"/>
  <c r="F371" i="1"/>
  <c r="C371" i="1"/>
  <c r="B371" i="1"/>
  <c r="F370" i="1"/>
  <c r="B370" i="1"/>
  <c r="F369" i="1"/>
  <c r="B369" i="1"/>
  <c r="F368" i="1"/>
  <c r="C368" i="1"/>
  <c r="B368" i="1"/>
  <c r="F367" i="1"/>
  <c r="C367" i="1"/>
  <c r="B367" i="1"/>
  <c r="F366" i="1"/>
  <c r="C366" i="1"/>
  <c r="B366" i="1"/>
  <c r="F365" i="1"/>
  <c r="C365" i="1"/>
  <c r="B365" i="1"/>
  <c r="F364" i="1"/>
  <c r="C364" i="1"/>
  <c r="B364" i="1"/>
  <c r="F363" i="1"/>
  <c r="B363" i="1"/>
  <c r="F362" i="1"/>
  <c r="C362" i="1"/>
  <c r="B362" i="1"/>
  <c r="F361" i="1"/>
  <c r="B361" i="1"/>
  <c r="F360" i="1"/>
  <c r="C360" i="1"/>
  <c r="B360" i="1"/>
  <c r="F359" i="1"/>
  <c r="B359" i="1"/>
  <c r="F358" i="1"/>
  <c r="B358" i="1"/>
  <c r="F357" i="1"/>
  <c r="B357" i="1"/>
  <c r="F356" i="1"/>
  <c r="B356" i="1"/>
  <c r="F355" i="1"/>
  <c r="B355" i="1"/>
  <c r="F354" i="1"/>
  <c r="C354" i="1"/>
  <c r="B354" i="1"/>
  <c r="F353" i="1"/>
  <c r="B353" i="1"/>
  <c r="F352" i="1"/>
  <c r="B352" i="1"/>
  <c r="F351" i="1"/>
  <c r="B351" i="1"/>
  <c r="F350" i="1"/>
  <c r="C350" i="1"/>
  <c r="B350" i="1"/>
  <c r="F349" i="1"/>
  <c r="C349" i="1"/>
  <c r="B349" i="1"/>
  <c r="F348" i="1"/>
  <c r="B348" i="1"/>
  <c r="F347" i="1"/>
  <c r="C347" i="1"/>
  <c r="B347" i="1"/>
  <c r="F346" i="1"/>
  <c r="B346" i="1"/>
  <c r="F345" i="1"/>
  <c r="C345" i="1"/>
  <c r="B345" i="1"/>
  <c r="F344" i="1"/>
  <c r="B344" i="1"/>
  <c r="F343" i="1"/>
  <c r="B343" i="1"/>
  <c r="F342" i="1"/>
  <c r="B342" i="1"/>
  <c r="F341" i="1"/>
  <c r="C341" i="1"/>
  <c r="B341" i="1"/>
  <c r="F340" i="1"/>
  <c r="C340" i="1"/>
  <c r="B340" i="1"/>
  <c r="F339" i="1"/>
  <c r="C339" i="1"/>
  <c r="B339" i="1"/>
  <c r="F338" i="1"/>
  <c r="C338" i="1"/>
  <c r="B338" i="1"/>
  <c r="F337" i="1"/>
  <c r="B337" i="1"/>
  <c r="F336" i="1"/>
  <c r="C336" i="1"/>
  <c r="B336" i="1"/>
  <c r="F335" i="1"/>
  <c r="B335" i="1"/>
  <c r="F334" i="1"/>
  <c r="C334" i="1"/>
  <c r="B334" i="1"/>
  <c r="F333" i="1"/>
  <c r="B333" i="1"/>
  <c r="F332" i="1"/>
  <c r="C332" i="1"/>
  <c r="B332" i="1"/>
  <c r="F331" i="1"/>
  <c r="B331" i="1"/>
  <c r="F330" i="1"/>
  <c r="C330" i="1"/>
  <c r="B330" i="1"/>
  <c r="F329" i="1"/>
  <c r="B329" i="1"/>
  <c r="F328" i="1"/>
  <c r="C328" i="1"/>
  <c r="B328" i="1"/>
  <c r="F327" i="1"/>
  <c r="B327" i="1"/>
  <c r="F326" i="1"/>
  <c r="B326" i="1"/>
  <c r="F325" i="1"/>
  <c r="B325" i="1"/>
  <c r="F324" i="1"/>
  <c r="C324" i="1"/>
  <c r="B324" i="1"/>
  <c r="F323" i="1"/>
  <c r="B323" i="1"/>
  <c r="F322" i="1"/>
  <c r="C322" i="1"/>
  <c r="B322" i="1"/>
  <c r="F321" i="1"/>
  <c r="B321" i="1"/>
  <c r="F320" i="1"/>
  <c r="B320" i="1"/>
  <c r="F319" i="1"/>
  <c r="B319" i="1"/>
  <c r="F318" i="1"/>
  <c r="B318" i="1"/>
  <c r="F317" i="1"/>
  <c r="C317" i="1"/>
  <c r="B317" i="1"/>
  <c r="F316" i="1"/>
  <c r="C316" i="1"/>
  <c r="B316" i="1"/>
  <c r="F315" i="1"/>
  <c r="C315" i="1"/>
  <c r="B315" i="1"/>
  <c r="F314" i="1"/>
  <c r="B314" i="1"/>
  <c r="F313" i="1"/>
  <c r="C313" i="1"/>
  <c r="B313" i="1"/>
  <c r="F312" i="1"/>
  <c r="C312" i="1"/>
  <c r="B312" i="1"/>
  <c r="F311" i="1"/>
  <c r="C311" i="1"/>
  <c r="B311" i="1"/>
  <c r="F310" i="1"/>
  <c r="C310" i="1"/>
  <c r="B310" i="1"/>
  <c r="F309" i="1"/>
  <c r="B309" i="1"/>
  <c r="F308" i="1"/>
  <c r="B308" i="1"/>
  <c r="F307" i="1"/>
  <c r="B307" i="1"/>
  <c r="F306" i="1"/>
  <c r="B306" i="1"/>
  <c r="F305" i="1"/>
  <c r="C305" i="1"/>
  <c r="B305" i="1"/>
  <c r="F304" i="1"/>
  <c r="C304" i="1"/>
  <c r="B304" i="1"/>
  <c r="F303" i="1"/>
  <c r="B303" i="1"/>
  <c r="F302" i="1"/>
  <c r="C302" i="1"/>
  <c r="B302" i="1"/>
  <c r="F301" i="1"/>
  <c r="C301" i="1"/>
  <c r="B301" i="1"/>
  <c r="F300" i="1"/>
  <c r="B300" i="1"/>
  <c r="F299" i="1"/>
  <c r="C299" i="1"/>
  <c r="B299" i="1"/>
  <c r="F298" i="1"/>
  <c r="B298" i="1"/>
  <c r="F297" i="1"/>
  <c r="B297" i="1"/>
  <c r="F296" i="1"/>
  <c r="C296" i="1"/>
  <c r="B296" i="1"/>
  <c r="F295" i="1"/>
  <c r="C295" i="1"/>
  <c r="B295" i="1"/>
  <c r="F294" i="1"/>
  <c r="C294" i="1"/>
  <c r="B294" i="1"/>
  <c r="F293" i="1"/>
  <c r="C293" i="1"/>
  <c r="B293" i="1"/>
  <c r="F292" i="1"/>
  <c r="B292" i="1"/>
  <c r="F291" i="1"/>
  <c r="B291" i="1"/>
  <c r="F290" i="1"/>
  <c r="C290" i="1"/>
  <c r="B290" i="1"/>
  <c r="F289" i="1"/>
  <c r="B289" i="1"/>
  <c r="F288" i="1"/>
  <c r="B288" i="1"/>
  <c r="F287" i="1"/>
  <c r="B287" i="1"/>
  <c r="F286" i="1"/>
  <c r="B286" i="1"/>
  <c r="F285" i="1"/>
  <c r="C285" i="1"/>
  <c r="B285" i="1"/>
  <c r="F284" i="1"/>
  <c r="B284" i="1"/>
  <c r="F283" i="1"/>
  <c r="B283" i="1"/>
  <c r="F282" i="1"/>
  <c r="B282" i="1"/>
  <c r="F281" i="1"/>
  <c r="C281" i="1"/>
  <c r="B281" i="1"/>
  <c r="F280" i="1"/>
  <c r="C280" i="1"/>
  <c r="B280" i="1"/>
  <c r="F279" i="1"/>
  <c r="C279" i="1"/>
  <c r="B279" i="1"/>
  <c r="F278" i="1"/>
  <c r="C278" i="1"/>
  <c r="B278" i="1"/>
  <c r="F277" i="1"/>
  <c r="C277" i="1"/>
  <c r="B277" i="1"/>
  <c r="F276" i="1"/>
  <c r="C276" i="1"/>
  <c r="B276" i="1"/>
  <c r="F275" i="1"/>
  <c r="B275" i="1"/>
  <c r="F274" i="1"/>
  <c r="C274" i="1"/>
  <c r="B274" i="1"/>
  <c r="F273" i="1"/>
  <c r="C273" i="1"/>
  <c r="B273" i="1"/>
  <c r="F272" i="1"/>
  <c r="C272" i="1"/>
  <c r="B272" i="1"/>
  <c r="F271" i="1"/>
  <c r="B271" i="1"/>
  <c r="F270" i="1"/>
  <c r="B270" i="1"/>
  <c r="F269" i="1"/>
  <c r="C269" i="1"/>
  <c r="B269" i="1"/>
  <c r="F268" i="1"/>
  <c r="C268" i="1"/>
  <c r="B268" i="1"/>
  <c r="F267" i="1"/>
  <c r="C267" i="1"/>
  <c r="B267" i="1"/>
  <c r="F266" i="1"/>
  <c r="C266" i="1"/>
  <c r="B266" i="1"/>
  <c r="F265" i="1"/>
  <c r="C265" i="1"/>
  <c r="B265" i="1"/>
  <c r="F264" i="1"/>
  <c r="C264" i="1"/>
  <c r="B264" i="1"/>
  <c r="F263" i="1"/>
  <c r="C263" i="1"/>
  <c r="B263" i="1"/>
  <c r="F262" i="1"/>
  <c r="C262" i="1"/>
  <c r="B262" i="1"/>
  <c r="F261" i="1"/>
  <c r="B261" i="1"/>
  <c r="F260" i="1"/>
  <c r="B260" i="1"/>
  <c r="F259" i="1"/>
  <c r="C259" i="1"/>
  <c r="B259" i="1"/>
  <c r="F258" i="1"/>
  <c r="C258" i="1"/>
  <c r="B258" i="1"/>
  <c r="F257" i="1"/>
  <c r="C257" i="1"/>
  <c r="B257" i="1"/>
  <c r="F256" i="1"/>
  <c r="C256" i="1"/>
  <c r="B256" i="1"/>
  <c r="F255" i="1"/>
  <c r="B255" i="1"/>
  <c r="F254" i="1"/>
  <c r="C254" i="1"/>
  <c r="B254" i="1"/>
  <c r="F253" i="1"/>
  <c r="C253" i="1"/>
  <c r="B253" i="1"/>
  <c r="F252" i="1"/>
  <c r="B252" i="1"/>
  <c r="F251" i="1"/>
  <c r="B251" i="1"/>
  <c r="F250" i="1"/>
  <c r="C250" i="1"/>
  <c r="B250" i="1"/>
  <c r="F249" i="1"/>
  <c r="C249" i="1"/>
  <c r="B249" i="1"/>
  <c r="F248" i="1"/>
  <c r="C248" i="1"/>
  <c r="B248" i="1"/>
  <c r="F247" i="1"/>
  <c r="C247" i="1"/>
  <c r="B247" i="1"/>
  <c r="F246" i="1"/>
  <c r="B246" i="1"/>
  <c r="F245" i="1"/>
  <c r="C245" i="1"/>
  <c r="B245" i="1"/>
  <c r="F244" i="1"/>
  <c r="C244" i="1"/>
  <c r="B244" i="1"/>
  <c r="F243" i="1"/>
  <c r="C243" i="1"/>
  <c r="B243" i="1"/>
  <c r="F242" i="1"/>
  <c r="C242" i="1"/>
  <c r="B242" i="1"/>
  <c r="F241" i="1"/>
  <c r="B241" i="1"/>
  <c r="F240" i="1"/>
  <c r="C240" i="1"/>
  <c r="B240" i="1"/>
  <c r="F239" i="1"/>
  <c r="B239" i="1"/>
  <c r="F238" i="1"/>
  <c r="C238" i="1"/>
  <c r="B238" i="1"/>
  <c r="F237" i="1"/>
  <c r="B237" i="1"/>
  <c r="F236" i="1"/>
  <c r="B236" i="1"/>
  <c r="F235" i="1"/>
  <c r="B235" i="1"/>
  <c r="F234" i="1"/>
  <c r="C234" i="1"/>
  <c r="B234" i="1"/>
  <c r="F233" i="1"/>
  <c r="B233" i="1"/>
  <c r="F232" i="1"/>
  <c r="B232" i="1"/>
  <c r="F231" i="1"/>
  <c r="B231" i="1"/>
  <c r="F230" i="1"/>
  <c r="C230" i="1"/>
  <c r="B230" i="1"/>
  <c r="F229" i="1"/>
  <c r="C229" i="1"/>
  <c r="B229" i="1"/>
  <c r="F228" i="1"/>
  <c r="B228" i="1"/>
  <c r="F227" i="1"/>
  <c r="B227" i="1"/>
  <c r="F226" i="1"/>
  <c r="B226" i="1"/>
  <c r="F225" i="1"/>
  <c r="C225" i="1"/>
  <c r="B225" i="1"/>
  <c r="F224" i="1"/>
  <c r="C224" i="1"/>
  <c r="B224" i="1"/>
  <c r="F223" i="1"/>
  <c r="C223" i="1"/>
  <c r="B223" i="1"/>
  <c r="F222" i="1"/>
  <c r="B222" i="1"/>
  <c r="F221" i="1"/>
  <c r="B221" i="1"/>
  <c r="F220" i="1"/>
  <c r="C220" i="1"/>
  <c r="B220" i="1"/>
  <c r="F219" i="1"/>
  <c r="C219" i="1"/>
  <c r="B219" i="1"/>
  <c r="F218" i="1"/>
  <c r="C218" i="1"/>
  <c r="B218" i="1"/>
  <c r="F217" i="1"/>
  <c r="B217" i="1"/>
  <c r="F216" i="1"/>
  <c r="C216" i="1"/>
  <c r="B216" i="1"/>
  <c r="F215" i="1"/>
  <c r="C215" i="1"/>
  <c r="B215" i="1"/>
  <c r="F214" i="1"/>
  <c r="C214" i="1"/>
  <c r="B214" i="1"/>
  <c r="F213" i="1"/>
  <c r="C213" i="1"/>
  <c r="B213" i="1"/>
  <c r="F212" i="1"/>
  <c r="C212" i="1"/>
  <c r="B212" i="1"/>
  <c r="F211" i="1"/>
  <c r="C211" i="1"/>
  <c r="B211" i="1"/>
  <c r="F210" i="1"/>
  <c r="C210" i="1"/>
  <c r="B210" i="1"/>
  <c r="F209" i="1"/>
  <c r="C209" i="1"/>
  <c r="B209" i="1"/>
  <c r="F208" i="1"/>
  <c r="C208" i="1"/>
  <c r="B208" i="1"/>
  <c r="F207" i="1"/>
  <c r="B207" i="1"/>
  <c r="F206" i="1"/>
  <c r="B206" i="1"/>
  <c r="F205" i="1"/>
  <c r="C205" i="1"/>
  <c r="B205" i="1"/>
  <c r="F204" i="1"/>
  <c r="B204" i="1"/>
  <c r="F203" i="1"/>
  <c r="C203" i="1"/>
  <c r="B203" i="1"/>
  <c r="F202" i="1"/>
  <c r="C202" i="1"/>
  <c r="B202" i="1"/>
  <c r="F201" i="1"/>
  <c r="C201" i="1"/>
  <c r="B201" i="1"/>
  <c r="F200" i="1"/>
  <c r="C200" i="1"/>
  <c r="B200" i="1"/>
  <c r="F199" i="1"/>
  <c r="B199" i="1"/>
  <c r="F198" i="1"/>
  <c r="C198" i="1"/>
  <c r="B198" i="1"/>
  <c r="F197" i="1"/>
  <c r="C197" i="1"/>
  <c r="B197" i="1"/>
  <c r="F196" i="1"/>
  <c r="B196" i="1"/>
  <c r="F195" i="1"/>
  <c r="C195" i="1"/>
  <c r="B195" i="1"/>
  <c r="F194" i="1"/>
  <c r="B194" i="1"/>
  <c r="F193" i="1"/>
  <c r="B193" i="1"/>
  <c r="F192" i="1"/>
  <c r="C192" i="1"/>
  <c r="B192" i="1"/>
  <c r="F191" i="1"/>
  <c r="C191" i="1"/>
  <c r="B191" i="1"/>
  <c r="F190" i="1"/>
  <c r="C190" i="1"/>
  <c r="B190" i="1"/>
  <c r="F189" i="1"/>
  <c r="C189" i="1"/>
  <c r="B189" i="1"/>
  <c r="F188" i="1"/>
  <c r="C188" i="1"/>
  <c r="B188" i="1"/>
  <c r="F187" i="1"/>
  <c r="C187" i="1"/>
  <c r="B187" i="1"/>
  <c r="F186" i="1"/>
  <c r="C186" i="1"/>
  <c r="B186" i="1"/>
  <c r="F185" i="1"/>
  <c r="C185" i="1"/>
  <c r="B185" i="1"/>
  <c r="F184" i="1"/>
  <c r="B184" i="1"/>
  <c r="F183" i="1"/>
  <c r="B183" i="1"/>
  <c r="F182" i="1"/>
  <c r="B182" i="1"/>
  <c r="F181" i="1"/>
  <c r="C181" i="1"/>
  <c r="B181" i="1"/>
  <c r="F180" i="1"/>
  <c r="C180" i="1"/>
  <c r="B180" i="1"/>
  <c r="F179" i="1"/>
  <c r="C179" i="1"/>
  <c r="B179" i="1"/>
  <c r="F178" i="1"/>
  <c r="C178" i="1"/>
  <c r="B178" i="1"/>
  <c r="F177" i="1"/>
  <c r="C177" i="1"/>
  <c r="B177" i="1"/>
  <c r="F176" i="1"/>
  <c r="C176" i="1"/>
  <c r="B176" i="1"/>
  <c r="F175" i="1"/>
  <c r="B175" i="1"/>
  <c r="F174" i="1"/>
  <c r="C174" i="1"/>
  <c r="B174" i="1"/>
  <c r="F173" i="1"/>
  <c r="C173" i="1"/>
  <c r="B173" i="1"/>
  <c r="F172" i="1"/>
  <c r="C172" i="1"/>
  <c r="B172" i="1"/>
  <c r="F171" i="1"/>
  <c r="C171" i="1"/>
  <c r="B171" i="1"/>
  <c r="F170" i="1"/>
  <c r="C170" i="1"/>
  <c r="B170" i="1"/>
  <c r="F169" i="1"/>
  <c r="B169" i="1"/>
  <c r="F168" i="1"/>
  <c r="C168" i="1"/>
  <c r="B168" i="1"/>
  <c r="F167" i="1"/>
  <c r="C167" i="1"/>
  <c r="B167" i="1"/>
  <c r="F166" i="1"/>
  <c r="C166" i="1"/>
  <c r="B166" i="1"/>
  <c r="F165" i="1"/>
  <c r="C165" i="1"/>
  <c r="B165" i="1"/>
  <c r="F164" i="1"/>
  <c r="C164" i="1"/>
  <c r="B164" i="1"/>
  <c r="F163" i="1"/>
  <c r="C163" i="1"/>
  <c r="B163" i="1"/>
  <c r="F162" i="1"/>
  <c r="C162" i="1"/>
  <c r="B162" i="1"/>
  <c r="F161" i="1"/>
  <c r="B161" i="1"/>
  <c r="F160" i="1"/>
  <c r="B160" i="1"/>
  <c r="F159" i="1"/>
  <c r="C159" i="1"/>
  <c r="B159" i="1"/>
  <c r="F158" i="1"/>
  <c r="B158" i="1"/>
  <c r="F157" i="1"/>
  <c r="C157" i="1"/>
  <c r="B157" i="1"/>
  <c r="F156" i="1"/>
  <c r="C156" i="1"/>
  <c r="B156" i="1"/>
  <c r="F155" i="1"/>
  <c r="C155" i="1"/>
  <c r="B155" i="1"/>
  <c r="F154" i="1"/>
  <c r="C154" i="1"/>
  <c r="B154" i="1"/>
  <c r="F153" i="1"/>
  <c r="C153" i="1"/>
  <c r="B153" i="1"/>
  <c r="F152" i="1"/>
  <c r="C152" i="1"/>
  <c r="B152" i="1"/>
  <c r="F151" i="1"/>
  <c r="C151" i="1"/>
  <c r="B151" i="1"/>
  <c r="F150" i="1"/>
  <c r="B150" i="1"/>
  <c r="F149" i="1"/>
  <c r="C149" i="1"/>
  <c r="B149" i="1"/>
  <c r="F148" i="1"/>
  <c r="C148" i="1"/>
  <c r="B148" i="1"/>
  <c r="F147" i="1"/>
  <c r="C147" i="1"/>
  <c r="B147" i="1"/>
  <c r="F146" i="1"/>
  <c r="B146" i="1"/>
  <c r="F145" i="1"/>
  <c r="C145" i="1"/>
  <c r="B145" i="1"/>
  <c r="F144" i="1"/>
  <c r="C144" i="1"/>
  <c r="B144" i="1"/>
  <c r="F143" i="1"/>
  <c r="C143" i="1"/>
  <c r="B143" i="1"/>
  <c r="F142" i="1"/>
  <c r="C142" i="1"/>
  <c r="B142" i="1"/>
  <c r="F141" i="1"/>
  <c r="C141" i="1"/>
  <c r="B141" i="1"/>
  <c r="F140" i="1"/>
  <c r="B140" i="1"/>
  <c r="F139" i="1"/>
  <c r="B139" i="1"/>
  <c r="F138" i="1"/>
  <c r="C138" i="1"/>
  <c r="B138" i="1"/>
  <c r="F137" i="1"/>
  <c r="C137" i="1"/>
  <c r="B137" i="1"/>
  <c r="F136" i="1"/>
  <c r="C136" i="1"/>
  <c r="B136" i="1"/>
  <c r="F135" i="1"/>
  <c r="C135" i="1"/>
  <c r="B135" i="1"/>
  <c r="F134" i="1"/>
  <c r="C134" i="1"/>
  <c r="B134" i="1"/>
  <c r="F133" i="1"/>
  <c r="C133" i="1"/>
  <c r="B133" i="1"/>
  <c r="F132" i="1"/>
  <c r="C132" i="1"/>
  <c r="B132" i="1"/>
  <c r="F131" i="1"/>
  <c r="B131" i="1"/>
  <c r="F130" i="1"/>
  <c r="C130" i="1"/>
  <c r="B130" i="1"/>
  <c r="F129" i="1"/>
  <c r="B129" i="1"/>
  <c r="F128" i="1"/>
  <c r="C128" i="1"/>
  <c r="B128" i="1"/>
  <c r="F127" i="1"/>
  <c r="C127" i="1"/>
  <c r="B127" i="1"/>
  <c r="F126" i="1"/>
  <c r="C126" i="1"/>
  <c r="B126" i="1"/>
  <c r="F125" i="1"/>
  <c r="C125" i="1"/>
  <c r="B125" i="1"/>
  <c r="F124" i="1"/>
  <c r="B124" i="1"/>
  <c r="F123" i="1"/>
  <c r="C123" i="1"/>
  <c r="B123" i="1"/>
  <c r="F122" i="1"/>
  <c r="C122" i="1"/>
  <c r="B122" i="1"/>
  <c r="F121" i="1"/>
  <c r="C121" i="1"/>
  <c r="B121" i="1"/>
  <c r="F120" i="1"/>
  <c r="C120" i="1"/>
  <c r="B120" i="1"/>
  <c r="F119" i="1"/>
  <c r="C119" i="1"/>
  <c r="B119" i="1"/>
  <c r="F118" i="1"/>
  <c r="C118" i="1"/>
  <c r="B118" i="1"/>
  <c r="F117" i="1"/>
  <c r="C117" i="1"/>
  <c r="B117" i="1"/>
  <c r="F116" i="1"/>
  <c r="B116" i="1"/>
  <c r="F115" i="1"/>
  <c r="C115" i="1"/>
  <c r="B115" i="1"/>
  <c r="F114" i="1"/>
  <c r="B114" i="1"/>
  <c r="F113" i="1"/>
  <c r="C113" i="1"/>
  <c r="B113" i="1"/>
  <c r="F112" i="1"/>
  <c r="B112" i="1"/>
  <c r="F111" i="1"/>
  <c r="B111" i="1"/>
  <c r="F110" i="1"/>
  <c r="C110" i="1"/>
  <c r="B110" i="1"/>
  <c r="F109" i="1"/>
  <c r="C109" i="1"/>
  <c r="B109" i="1"/>
  <c r="F108" i="1"/>
  <c r="C108" i="1"/>
  <c r="B108" i="1"/>
  <c r="F107" i="1"/>
  <c r="B107" i="1"/>
  <c r="F106" i="1"/>
  <c r="C106" i="1"/>
  <c r="B106" i="1"/>
  <c r="F105" i="1"/>
  <c r="B105" i="1"/>
  <c r="F104" i="1"/>
  <c r="C104" i="1"/>
  <c r="B104" i="1"/>
  <c r="F103" i="1"/>
  <c r="B103" i="1"/>
  <c r="F102" i="1"/>
  <c r="C102" i="1"/>
  <c r="B102" i="1"/>
  <c r="F101" i="1"/>
  <c r="C101" i="1"/>
  <c r="B101" i="1"/>
  <c r="F100" i="1"/>
  <c r="B100" i="1"/>
  <c r="F99" i="1"/>
  <c r="B99" i="1"/>
  <c r="F98" i="1"/>
  <c r="C98" i="1"/>
  <c r="B98" i="1"/>
  <c r="F97" i="1"/>
  <c r="C97" i="1"/>
  <c r="B97" i="1"/>
  <c r="F96" i="1"/>
  <c r="C96" i="1"/>
  <c r="B96" i="1"/>
  <c r="F95" i="1"/>
  <c r="B95" i="1"/>
  <c r="F94" i="1"/>
  <c r="B94" i="1"/>
  <c r="F93" i="1"/>
  <c r="C93" i="1"/>
  <c r="B93" i="1"/>
  <c r="F92" i="1"/>
  <c r="B92" i="1"/>
  <c r="F91" i="1"/>
  <c r="C91" i="1"/>
  <c r="B91" i="1"/>
  <c r="F90" i="1"/>
  <c r="B90" i="1"/>
  <c r="F89" i="1"/>
  <c r="C89" i="1"/>
  <c r="B89" i="1"/>
  <c r="F88" i="1"/>
  <c r="B88" i="1"/>
  <c r="F87" i="1"/>
  <c r="C87" i="1"/>
  <c r="B87" i="1"/>
  <c r="F86" i="1"/>
  <c r="C86" i="1"/>
  <c r="B86" i="1"/>
  <c r="F85" i="1"/>
  <c r="C85" i="1"/>
  <c r="B85" i="1"/>
  <c r="F84" i="1"/>
  <c r="B84" i="1"/>
  <c r="F83" i="1"/>
  <c r="C83" i="1"/>
  <c r="B83" i="1"/>
  <c r="F82" i="1"/>
  <c r="C82" i="1"/>
  <c r="B82" i="1"/>
  <c r="F81" i="1"/>
  <c r="C81" i="1"/>
  <c r="B81" i="1"/>
  <c r="F80" i="1"/>
  <c r="C80" i="1"/>
  <c r="B80" i="1"/>
  <c r="F79" i="1"/>
  <c r="C79" i="1"/>
  <c r="B79" i="1"/>
  <c r="F78" i="1"/>
  <c r="C78" i="1"/>
  <c r="B78" i="1"/>
  <c r="F77" i="1"/>
  <c r="C77" i="1"/>
  <c r="B77" i="1"/>
  <c r="F76" i="1"/>
  <c r="C76" i="1"/>
  <c r="B76" i="1"/>
  <c r="F75" i="1"/>
  <c r="C75" i="1"/>
  <c r="B75" i="1"/>
  <c r="F74" i="1"/>
  <c r="C74" i="1"/>
  <c r="B74" i="1"/>
  <c r="F73" i="1"/>
  <c r="C73" i="1"/>
  <c r="B73" i="1"/>
  <c r="F72" i="1"/>
  <c r="C72" i="1"/>
  <c r="B72" i="1"/>
  <c r="F71" i="1"/>
  <c r="C71" i="1"/>
  <c r="B71" i="1"/>
  <c r="F70" i="1"/>
  <c r="B70" i="1"/>
  <c r="F69" i="1"/>
  <c r="B69" i="1"/>
  <c r="F68" i="1"/>
  <c r="B68" i="1"/>
  <c r="F67" i="1"/>
  <c r="B67" i="1"/>
  <c r="F66" i="1"/>
  <c r="B66" i="1"/>
  <c r="F65" i="1"/>
  <c r="C65" i="1"/>
  <c r="B65" i="1"/>
  <c r="F64" i="1"/>
  <c r="C64" i="1"/>
  <c r="B64" i="1"/>
  <c r="F63" i="1"/>
  <c r="C63" i="1"/>
  <c r="B63" i="1"/>
  <c r="F62" i="1"/>
  <c r="C62" i="1"/>
  <c r="B62" i="1"/>
  <c r="F61" i="1"/>
  <c r="C61" i="1"/>
  <c r="B61" i="1"/>
  <c r="F60" i="1"/>
  <c r="B60" i="1"/>
  <c r="F59" i="1"/>
  <c r="C59" i="1"/>
  <c r="B59" i="1"/>
  <c r="F58" i="1"/>
  <c r="C58" i="1"/>
  <c r="B58" i="1"/>
  <c r="F57" i="1"/>
  <c r="C57" i="1"/>
  <c r="B57" i="1"/>
  <c r="F56" i="1"/>
  <c r="C56" i="1"/>
  <c r="B56" i="1"/>
  <c r="F55" i="1"/>
  <c r="C55" i="1"/>
  <c r="B55" i="1"/>
  <c r="F54" i="1"/>
  <c r="C54" i="1"/>
  <c r="B54" i="1"/>
  <c r="F53" i="1"/>
  <c r="C53" i="1"/>
  <c r="B53" i="1"/>
  <c r="F52" i="1"/>
  <c r="C52" i="1"/>
  <c r="B52" i="1"/>
  <c r="F51" i="1"/>
  <c r="B51" i="1"/>
  <c r="F50" i="1"/>
  <c r="C50" i="1"/>
  <c r="B50" i="1"/>
  <c r="F49" i="1"/>
  <c r="C49" i="1"/>
  <c r="B49" i="1"/>
  <c r="F48" i="1"/>
  <c r="C48" i="1"/>
  <c r="B48" i="1"/>
  <c r="F47" i="1"/>
  <c r="C47" i="1"/>
  <c r="B47" i="1"/>
  <c r="F46" i="1"/>
  <c r="C46" i="1"/>
  <c r="B46" i="1"/>
  <c r="F45" i="1"/>
  <c r="C45" i="1"/>
  <c r="B45" i="1"/>
  <c r="F44" i="1"/>
  <c r="C44" i="1"/>
  <c r="B44" i="1"/>
  <c r="F43" i="1"/>
  <c r="C43" i="1"/>
  <c r="B43" i="1"/>
  <c r="F42" i="1"/>
  <c r="C42" i="1"/>
  <c r="B42" i="1"/>
  <c r="F41" i="1"/>
  <c r="C41" i="1"/>
  <c r="B41" i="1"/>
  <c r="F40" i="1"/>
  <c r="C40" i="1"/>
  <c r="B40" i="1"/>
  <c r="F39" i="1"/>
  <c r="C39" i="1"/>
  <c r="B39" i="1"/>
  <c r="F38" i="1"/>
  <c r="B38" i="1"/>
  <c r="F37" i="1"/>
  <c r="C37" i="1"/>
  <c r="B37" i="1"/>
  <c r="F36" i="1"/>
  <c r="B36" i="1"/>
  <c r="F35" i="1"/>
  <c r="B35" i="1"/>
  <c r="F34" i="1"/>
  <c r="C34" i="1"/>
  <c r="B34" i="1"/>
  <c r="F33" i="1"/>
  <c r="B33" i="1"/>
  <c r="F32" i="1"/>
  <c r="C32" i="1"/>
  <c r="B32" i="1"/>
  <c r="F31" i="1"/>
  <c r="C31" i="1"/>
  <c r="B31" i="1"/>
  <c r="F30" i="1"/>
  <c r="C30" i="1"/>
  <c r="B30" i="1"/>
  <c r="F29" i="1"/>
  <c r="C29" i="1"/>
  <c r="B29" i="1"/>
  <c r="F28" i="1"/>
  <c r="B28" i="1"/>
  <c r="F27" i="1"/>
  <c r="C27" i="1"/>
  <c r="B27" i="1"/>
  <c r="F26" i="1"/>
  <c r="C26" i="1"/>
  <c r="B26" i="1"/>
  <c r="F25" i="1"/>
  <c r="C25" i="1"/>
  <c r="B25" i="1"/>
  <c r="F24" i="1"/>
  <c r="C24" i="1"/>
  <c r="B24" i="1"/>
  <c r="F23" i="1"/>
  <c r="C23" i="1"/>
  <c r="B23" i="1"/>
  <c r="F22" i="1"/>
  <c r="C22" i="1"/>
  <c r="B22" i="1"/>
  <c r="F21" i="1"/>
  <c r="C21" i="1"/>
  <c r="B21" i="1"/>
  <c r="F20" i="1"/>
  <c r="B20" i="1"/>
  <c r="F19" i="1"/>
  <c r="C19" i="1"/>
  <c r="B19" i="1"/>
  <c r="F18" i="1"/>
  <c r="C18" i="1"/>
  <c r="B18" i="1"/>
  <c r="F17" i="1"/>
  <c r="B17" i="1"/>
  <c r="F16" i="1"/>
  <c r="C16" i="1"/>
  <c r="B16" i="1"/>
  <c r="F15" i="1"/>
  <c r="C15" i="1"/>
  <c r="B15" i="1"/>
  <c r="F14" i="1"/>
  <c r="C14" i="1"/>
  <c r="B14" i="1"/>
  <c r="F13" i="1"/>
  <c r="C13" i="1"/>
  <c r="B13" i="1"/>
  <c r="F12" i="1"/>
  <c r="B12" i="1"/>
  <c r="F11" i="1"/>
  <c r="C11" i="1"/>
  <c r="B11" i="1"/>
  <c r="F10" i="1"/>
  <c r="C10" i="1"/>
  <c r="B10" i="1"/>
  <c r="F9" i="1"/>
  <c r="B9" i="1"/>
  <c r="F8" i="1"/>
  <c r="B8" i="1"/>
  <c r="F7" i="1"/>
  <c r="C7" i="1"/>
  <c r="B7" i="1"/>
  <c r="F6" i="1"/>
  <c r="C6" i="1"/>
  <c r="B6" i="1"/>
  <c r="F5" i="1"/>
  <c r="C5" i="1"/>
  <c r="B5" i="1"/>
  <c r="F4" i="1"/>
  <c r="C4" i="1"/>
  <c r="B4" i="1"/>
  <c r="F3" i="1"/>
  <c r="B3" i="1"/>
  <c r="F2" i="1"/>
  <c r="C2" i="1"/>
  <c r="B2" i="1"/>
  <c r="F1" i="1"/>
  <c r="B1" i="1"/>
</calcChain>
</file>

<file path=xl/sharedStrings.xml><?xml version="1.0" encoding="utf-8"?>
<sst xmlns="http://schemas.openxmlformats.org/spreadsheetml/2006/main" count="7920" uniqueCount="3923">
  <si>
    <t>-</t>
  </si>
  <si>
    <t>鲁正赳</t>
  </si>
  <si>
    <t>樊永平</t>
  </si>
  <si>
    <t>河北省沧州市运河区明珠商贸城公寓楼底商1-120</t>
  </si>
  <si>
    <t>河北省沧州市运河区小王庄乡李庄子村</t>
  </si>
  <si>
    <t>宋浩</t>
  </si>
  <si>
    <t>山东省烟台市牟平区北关大街637号</t>
  </si>
  <si>
    <t>山东省烟台市牟平区正阳路正七街589号</t>
  </si>
  <si>
    <t>郑天保</t>
  </si>
  <si>
    <t>广东省惠州市惠城区小金口镇乌石北路9号</t>
  </si>
  <si>
    <t>广东省惠州市惠城区江北三新大坑49号</t>
  </si>
  <si>
    <t>徐良党</t>
  </si>
  <si>
    <t>云南省曲靖市麒麟区沿江乡余家圩小学旁</t>
  </si>
  <si>
    <t>云南省曲靖市麒麟区沿江乡余家圩二组</t>
  </si>
  <si>
    <t>颜壮</t>
  </si>
  <si>
    <t>广东省深圳市龙岗区深圳市龙岗区横岗镇横坪东路869号</t>
  </si>
  <si>
    <t>广东省深圳市龙岗区深圳市龙岗区横岗镇横坪公路29栋604房</t>
  </si>
  <si>
    <t>张杰</t>
  </si>
  <si>
    <t>四川省巴中市巴州区经开区秦巴大道东段29号13栋101室</t>
  </si>
  <si>
    <t>四川省巴中市巴州区小桥河街106号3栋502室</t>
  </si>
  <si>
    <t>梁崇洋</t>
  </si>
  <si>
    <t>吴丹太</t>
  </si>
  <si>
    <t>广东省广州市天河区泰安南路121号</t>
  </si>
  <si>
    <t>广东省佛山市南海区罗芳夏西上凤大巷4号</t>
  </si>
  <si>
    <t>尹天帅</t>
  </si>
  <si>
    <t>辽宁省大连市中山区促进路周水子街道187号</t>
  </si>
  <si>
    <t>辽宁省大连市中山区促进路高云街促进小区3号楼一单元302</t>
  </si>
  <si>
    <t>颜文</t>
  </si>
  <si>
    <t>海南省三沙市文昌市文昌市会文镇边海福园村海中海</t>
  </si>
  <si>
    <t>海南省三沙市文昌市文昌市会文镇凤会白延堆村07号</t>
  </si>
  <si>
    <t>谢海江</t>
  </si>
  <si>
    <t>浙江省绍兴市绍兴县东升路针织市场B区4025</t>
  </si>
  <si>
    <t>浙江省绍兴市越城区育贤路南星公寓</t>
  </si>
  <si>
    <t>丁伟</t>
  </si>
  <si>
    <t>江苏省常州市新北区西夏墅池上村117号</t>
  </si>
  <si>
    <t>江苏省常州市新北区孟河镇双亭村委城南前渡善村28号</t>
  </si>
  <si>
    <t>邹少峰</t>
  </si>
  <si>
    <t>湖南省长沙市岳麓区雷锋大道宜居花园</t>
  </si>
  <si>
    <t>湖南省长沙市岳麓区咸嘉湖西路馨香雅苑6栋2501</t>
  </si>
  <si>
    <t>洪国庆</t>
  </si>
  <si>
    <t>安徽省蚌埠市龙子湖区曹山路东海大道962号</t>
  </si>
  <si>
    <t>安徽省安庆市桐城市水源小区41号楼402室</t>
  </si>
  <si>
    <t>殷红生</t>
  </si>
  <si>
    <t>北京市北京市海淀区西北旺镇宏丰西路一号院</t>
  </si>
  <si>
    <t>北京市海淀区西北旺镇宏丰西路一号</t>
  </si>
  <si>
    <t>贺宁</t>
  </si>
  <si>
    <t>张守魁</t>
  </si>
  <si>
    <t>安徽省合肥市包河区测试</t>
  </si>
  <si>
    <t>赵远志</t>
  </si>
  <si>
    <t>浙江省宁波市慈溪市龙山镇慈东工业区莲塘路福龙纸业</t>
  </si>
  <si>
    <t>浙江省宁波市慈溪市龙山镇慈东工业区莲塘路201号</t>
  </si>
  <si>
    <t>单立新</t>
  </si>
  <si>
    <t>王诗宇</t>
  </si>
  <si>
    <t>辽宁省沈阳市苏家屯区牡丹街48号</t>
  </si>
  <si>
    <t>辽宁省沈阳市苏家屯区银杏路5-1号3-3-2</t>
  </si>
  <si>
    <t>王敬善</t>
  </si>
  <si>
    <t>安徽省六安市金安区六安市金安区城北乡瓦屋台1</t>
  </si>
  <si>
    <t>安徽省六安市裕安区安徽六安市裕安区单王乡王楼村</t>
  </si>
  <si>
    <t>谭华金</t>
  </si>
  <si>
    <t>湖南省衡阳市蒸湘区联合新村泉塘路1号</t>
  </si>
  <si>
    <t>湖南省衡阳市衡南县三塘镇三元村菜雅塘组</t>
  </si>
  <si>
    <t>周杰</t>
  </si>
  <si>
    <t>江苏省苏州市昆山市石牌东泰丰路68号</t>
  </si>
  <si>
    <t>江苏省苏州市昆山市玉山镇美陆佳园枫苑5栋602</t>
  </si>
  <si>
    <t>王建江</t>
  </si>
  <si>
    <t>浙江省衢州市江山市双塔街道城北广场98号</t>
  </si>
  <si>
    <t>浙江省衢州市江山市双塔街道站前里7幢504室</t>
  </si>
  <si>
    <t>成勇</t>
  </si>
  <si>
    <t>湖南省长沙市芙蓉区劳动西路237号</t>
  </si>
  <si>
    <t>湖南省长沙市岳麓区梅溪湖卓越浅水湾三栋B单元606</t>
  </si>
  <si>
    <t>陈梦佳</t>
  </si>
  <si>
    <t>浙江省台州市路桥区金清镇金清大道西</t>
  </si>
  <si>
    <t>浙江省台州市温岭市滨海镇万通花园</t>
  </si>
  <si>
    <t>周青亮</t>
  </si>
  <si>
    <t>蒙金枝</t>
  </si>
  <si>
    <t>广东省佛山市南海区狮山镇罗村沿江北路1号富弘广场4楼</t>
  </si>
  <si>
    <t>广东省佛山市南海区狮山镇罗村罗盛公寓310</t>
  </si>
  <si>
    <t>李中</t>
  </si>
  <si>
    <t>江西省宜春市丰城市新城区紫云大道181号</t>
  </si>
  <si>
    <t>江西省宜春市丰城市小港镇梅岗村梅岗五坊组21号</t>
  </si>
  <si>
    <t>鲁悦英</t>
  </si>
  <si>
    <t>云南省保山市隆阳区云南省保山市泰龙建材市场B区57号贵星门业</t>
  </si>
  <si>
    <t>刘波</t>
  </si>
  <si>
    <t>浙江省宁波市北仑区沿山公路888号</t>
  </si>
  <si>
    <t>周明涛</t>
  </si>
  <si>
    <t>江苏省苏州市吴中区园区水阁路月光码头A1栋老北门饭店</t>
  </si>
  <si>
    <t>江苏省苏州市吴中区园区西沈浒路新未来花园萧邦西区70栋1506</t>
  </si>
  <si>
    <t>陈彬</t>
  </si>
  <si>
    <t>广东省广州市白云区白云机场横二路</t>
  </si>
  <si>
    <t>广东省广州市白云区人和镇东华村上华西十五巷22号</t>
  </si>
  <si>
    <t>姚清</t>
  </si>
  <si>
    <t>四川省眉山市彭山县四川省彭山区沙发厂</t>
  </si>
  <si>
    <t>四川省眉山市彭山县四川省眉山市彭山区武阳镇江渎村一组</t>
  </si>
  <si>
    <t>王建军</t>
  </si>
  <si>
    <t>包头市昆区甲尔坝建材市场板材区四排四号</t>
  </si>
  <si>
    <t>包头市昆区钢22街坊17栋一单元</t>
  </si>
  <si>
    <t>李杰</t>
  </si>
  <si>
    <t>贵州省遵义市仁怀市仁怀市长岗镇雁塘坎村</t>
  </si>
  <si>
    <t>贵州省遵义市仁怀市仁怀市鲁班镇生界村鱼秋组</t>
  </si>
  <si>
    <t>何秀奇</t>
  </si>
  <si>
    <t>罗勇</t>
  </si>
  <si>
    <t>车鹰仁</t>
  </si>
  <si>
    <t>王娟</t>
  </si>
  <si>
    <t>湖北省武汉市洪山区雄楚大道春林庭院B区2103</t>
  </si>
  <si>
    <t>湖北省武汉市江岸区幸福路鸿福花园一栋一单元205</t>
  </si>
  <si>
    <t>余龙文</t>
  </si>
  <si>
    <t>浙江省杭州市萧山区红垦路305号</t>
  </si>
  <si>
    <t>浙江省杭州市萧山区宁围镇宁税村522号</t>
  </si>
  <si>
    <t>林旭</t>
  </si>
  <si>
    <t>欧阳贵英</t>
  </si>
  <si>
    <t>湖南省衡阳市石鼓区蒸湘北路2号3楼</t>
  </si>
  <si>
    <t>湖北省黄石市黄石港区盘龙山8-40号</t>
  </si>
  <si>
    <t>和芮丞</t>
  </si>
  <si>
    <t>浙江省宁波市鄞州区清水桥路535号</t>
  </si>
  <si>
    <t>山西省太原市小店区晋阳街文锦世家</t>
  </si>
  <si>
    <t>桂思楠</t>
  </si>
  <si>
    <t>江西省南昌市西湖区安石路龙韵花园A1栋1108</t>
  </si>
  <si>
    <t>温晓玉</t>
  </si>
  <si>
    <t>山东省济南市市中区融汇城</t>
  </si>
  <si>
    <t>山东省济南市槐荫区绿地国际花都</t>
  </si>
  <si>
    <t>李键</t>
  </si>
  <si>
    <t>上海市上海市闵行区沪闵路100号天泽</t>
  </si>
  <si>
    <t>上海市上海市闵行区灯辉路501弄68号401</t>
  </si>
  <si>
    <t>张鹏飞</t>
  </si>
  <si>
    <t>广东省深圳市宝安区龙华街道 清湖东一巷八号</t>
  </si>
  <si>
    <t>广东省深圳市宝安区龙华街道玉翠新村331栋405室</t>
  </si>
  <si>
    <t>鲁小玉</t>
  </si>
  <si>
    <t>山东省潍坊市高密市夏庄镇孚园前街官庄小学东智慧园辅导中心</t>
  </si>
  <si>
    <t>山东省潍坊市高密市夏庄镇宋家泊子村219号</t>
  </si>
  <si>
    <t>张贵兵</t>
  </si>
  <si>
    <t>王永浩</t>
  </si>
  <si>
    <t>吴峥</t>
  </si>
  <si>
    <t>甘肃省陇南市武都区城关镇人民路三号楼13号</t>
  </si>
  <si>
    <t>甘肃省陇南市武都区城关镇人民路三号楼</t>
  </si>
  <si>
    <t>陈威</t>
  </si>
  <si>
    <t>江苏省常州市天宁区武进区湖塘镇人民东路菱港大桥东堍</t>
  </si>
  <si>
    <t>海南省三沙市乐东黎族自治县九所镇赤塘村十四队42号</t>
  </si>
  <si>
    <t>李鹏</t>
  </si>
  <si>
    <t>辽宁省沈阳市和平区大西路一号</t>
  </si>
  <si>
    <t>辽宁省沈阳市和平区重工街小北一路北一新村二十一甲</t>
  </si>
  <si>
    <t>刘建华</t>
  </si>
  <si>
    <t>江西省吉安市永新县高桥楼镇农贸市场2栋112号</t>
  </si>
  <si>
    <t>江西省吉安市永新县高桥楼镇龙江村口上组029号</t>
  </si>
  <si>
    <t>吴文略</t>
  </si>
  <si>
    <t>广东省惠州市惠阳区大亚湾创新科技大厦</t>
  </si>
  <si>
    <t>广东省惠州市惠阳区大亚湾石化大道灿邦国际</t>
  </si>
  <si>
    <t>周邓捷</t>
  </si>
  <si>
    <t>云南省德宏傣族景颇族自治州瑞丽市边城街11号</t>
  </si>
  <si>
    <t>云南省德宏傣族景颇族自治州瑞丽市浙江省温州市瓯海区潘桥街道潘桥东路176号</t>
  </si>
  <si>
    <t>班荣家</t>
  </si>
  <si>
    <t>李喜军</t>
  </si>
  <si>
    <t>上海市上海市黄浦区重工业园区</t>
  </si>
  <si>
    <t>上海市上海市黄浦区建设路公路小区7-2-602</t>
  </si>
  <si>
    <t>董长松</t>
  </si>
  <si>
    <t>杨君</t>
  </si>
  <si>
    <t>安徽省芜湖市镜湖区绿地新都会C座211</t>
  </si>
  <si>
    <t>安徽省芜湖市鸠江区湾里街道澳然天成47栋1单元602</t>
  </si>
  <si>
    <t>蒋先兵</t>
  </si>
  <si>
    <t>江西省上饶市弋阳县弋阳县弋江镇方志敏大道南路30号</t>
  </si>
  <si>
    <t>江西省上饶市弋阳县弋阳县漆工镇洋泥畈蒋家村25号</t>
  </si>
  <si>
    <t>李国泰</t>
  </si>
  <si>
    <t>青海省西宁市城北区建国物流市场PVC85号</t>
  </si>
  <si>
    <t>青海省西宁市城东区互助东路海亮大都汇14-1-2203</t>
  </si>
  <si>
    <t>许江忠</t>
  </si>
  <si>
    <t>浙江省金华市东阳市吴宁东路65号</t>
  </si>
  <si>
    <t>浙江省金华市东阳市巍山镇渼莎新村</t>
  </si>
  <si>
    <t>木全全</t>
  </si>
  <si>
    <t>浙江省宁波市镇海区9镇海九龙气体制造公司荣吉西路北</t>
  </si>
  <si>
    <t>浙江省宁波市慈溪市观海卫镇小团浦东路10号</t>
  </si>
  <si>
    <t>王鹏飞</t>
  </si>
  <si>
    <t>河南省郑州市二七区大学路80号华城国际中心1407</t>
  </si>
  <si>
    <t>河南省郑州市二七区铁英街五号院一号楼三号</t>
  </si>
  <si>
    <t>何志威</t>
  </si>
  <si>
    <t>梅高成</t>
  </si>
  <si>
    <t>陈子彬</t>
  </si>
  <si>
    <t>广东省汕头市龙湖区长江路与衡山路交界</t>
  </si>
  <si>
    <t>广东省汕头市龙湖区陈厝合与安和街光和六卷19号</t>
  </si>
  <si>
    <t>韩志新</t>
  </si>
  <si>
    <t>河北省承德市平泉县杨树岭镇排杖子村</t>
  </si>
  <si>
    <t>河北省承德市平泉县平泉镇金地花园8号楼二单元701</t>
  </si>
  <si>
    <t>刘斌旺</t>
  </si>
  <si>
    <t>阳朔红颈山加油站斜对面</t>
  </si>
  <si>
    <t>广西桂林阳朔县葡萄镇新街西34-116</t>
  </si>
  <si>
    <t>眭婷</t>
  </si>
  <si>
    <t>帅飞</t>
  </si>
  <si>
    <t>安徽省合肥市包河区綦江区九龙大道名扬国际二楼</t>
  </si>
  <si>
    <t>重庆市重庆市綦江区綦江区文龙街道千山美郡3栋26楼2</t>
  </si>
  <si>
    <t>付浩珍</t>
  </si>
  <si>
    <t>陕西省西安市雁塔区锦业一路熊华科技园72号</t>
  </si>
  <si>
    <t>陕西省西安市雁塔区鱼化寨八家庄77号付一号</t>
  </si>
  <si>
    <t>姚剑亮</t>
  </si>
  <si>
    <t>广东省肇庆市端州区端州八路三榕港</t>
  </si>
  <si>
    <t>广东省肇庆市端州区正西路42号</t>
  </si>
  <si>
    <t>陈亮</t>
  </si>
  <si>
    <t>天津市天津市河北区如皋路1号</t>
  </si>
  <si>
    <t>天津市天津市河北区曙光路65号</t>
  </si>
  <si>
    <t>黄名威</t>
  </si>
  <si>
    <t>湖北省武汉市汉阳区江城大道369号</t>
  </si>
  <si>
    <t>湖北省武汉市汉阳区王家湾水仙里社区119号603</t>
  </si>
  <si>
    <t>易彬</t>
  </si>
  <si>
    <t>闫晋杰</t>
  </si>
  <si>
    <t>山西省太原市小店区太原市经济开发区龙飞街一号</t>
  </si>
  <si>
    <t>山西省太原市古交市山西省古交市青山路19号11栋2单元101号</t>
  </si>
  <si>
    <t>马俊杰</t>
  </si>
  <si>
    <t>周红菲</t>
  </si>
  <si>
    <t>陕西省宝鸡市金台区金台大道66号</t>
  </si>
  <si>
    <t>陕西省宝鸡市渭滨区郭家崖七组69号</t>
  </si>
  <si>
    <t>李志鹏</t>
  </si>
  <si>
    <t>山东省聊城市东昌府区昌润路益民小区高层2号楼3单元701室</t>
  </si>
  <si>
    <t>任威妮</t>
  </si>
  <si>
    <t>上海市上海市黄浦区打浦路398弄4号</t>
  </si>
  <si>
    <t>上海市上海市青浦区华新镇新府中路1600弄5号</t>
  </si>
  <si>
    <t>戴菲</t>
  </si>
  <si>
    <t>邵齐</t>
  </si>
  <si>
    <t>北京市北京市海淀区清河街道后屯南路专家国际公馆2-273</t>
  </si>
  <si>
    <t>北京市北京市昌平区马池口镇伊舍小镇8-4-503</t>
  </si>
  <si>
    <t>刘琼林</t>
  </si>
  <si>
    <t>福建省厦门市集美区软件园三期</t>
  </si>
  <si>
    <t>福建省厦门市思明区屿后南里439号601</t>
  </si>
  <si>
    <t>张立</t>
  </si>
  <si>
    <t>黄鑫懿</t>
  </si>
  <si>
    <t>湖南省邵阳市大祥区敏州东路和盛中央公园</t>
  </si>
  <si>
    <t>湖南省邵阳市双清区东大路百寿亭社区545号</t>
  </si>
  <si>
    <t>牛继彬</t>
  </si>
  <si>
    <t>前锋农场210省路</t>
  </si>
  <si>
    <t>前锋农场</t>
  </si>
  <si>
    <t>王冠中</t>
  </si>
  <si>
    <t>黑龙江省哈尔滨市香坊区化工路123-1号</t>
  </si>
  <si>
    <t>黑龙江省哈尔滨市道里区和平小区16棟4单元501</t>
  </si>
  <si>
    <t>陈鹏</t>
  </si>
  <si>
    <t>陕西省咸阳市秦都区咸阳市秦都区文林西路</t>
  </si>
  <si>
    <t>陕西省咸阳市秦都区咸阳市秦都区文林路</t>
  </si>
  <si>
    <t>苏浩东</t>
  </si>
  <si>
    <t>广东省揭阳市榕城区广东省揭阳市榕城区东阳新苏村广东星鹏有限公司</t>
  </si>
  <si>
    <t>广东省揭阳市榕城区广东省揭阳市榕城区东阳新苏村新兴围四巷23号</t>
  </si>
  <si>
    <t>郭渝成</t>
  </si>
  <si>
    <t>重庆市重庆市涪陵区顺丰快递涪陵分公司</t>
  </si>
  <si>
    <t>重庆市重庆市涪陵区涪陵南路荔枝街道105号</t>
  </si>
  <si>
    <t>牛宏岩</t>
  </si>
  <si>
    <t>李金洁</t>
  </si>
  <si>
    <t>广西贵港市桂平市桂平市石龙镇龙山路口东安街飞越网吧隔壁112号</t>
  </si>
  <si>
    <t>广西贵港市桂平市桂平市石龙镇龙山路口东安街</t>
  </si>
  <si>
    <t>刘宾宾</t>
  </si>
  <si>
    <t>天津市天津市河西区环湖中路华昌大厦B座地下室</t>
  </si>
  <si>
    <t>天津市天津市河北区宜爽路北明新苑14号楼301</t>
  </si>
  <si>
    <t>张玉杰</t>
  </si>
  <si>
    <t>辽宁省本溪市桓仁满族自治县辽宁省本溪市桓仁满族自治县</t>
  </si>
  <si>
    <t>辽宁省本溪市桓仁满族自治县辽宁省本溪市桓仁满族自治县向阳街5组4单元1号</t>
  </si>
  <si>
    <t>韩超</t>
  </si>
  <si>
    <t>山东省烟台市龙口市芦头新兴小区临街楼东2号</t>
  </si>
  <si>
    <t>山东省烟台市龙口市东海黄金海岸星海湖畔G15楼2单元1602室</t>
  </si>
  <si>
    <t>张静</t>
  </si>
  <si>
    <t>安徽省淮南市田家庵区上品印象饕街</t>
  </si>
  <si>
    <t>安徽省淮南市田家庵区朝阳龙湖村花园小区1-2-9室</t>
  </si>
  <si>
    <t>杨斌</t>
  </si>
  <si>
    <t>甘肃省兰州市城关区南山路红山万和城9号楼201室</t>
  </si>
  <si>
    <t>甘肃省兰州市城关区大砂坪亚太嘉园6号楼3003室</t>
  </si>
  <si>
    <t>费亮</t>
  </si>
  <si>
    <t>安徽省淮南市田家庵区学院北路249号</t>
  </si>
  <si>
    <t>安徽省淮南市田家庵区田家庵区龙湖菜市新村5-3-4室</t>
  </si>
  <si>
    <t>李成</t>
  </si>
  <si>
    <t>福建省福州市台江区福建省福州市台江区达江路批发广场5A12-13号</t>
  </si>
  <si>
    <t>福建省福州市晋安区福建省福州市晋安区长福路梅园小区3座402</t>
  </si>
  <si>
    <t>郭冰玉</t>
  </si>
  <si>
    <t>陕西省渭南市临渭区朝阳路南塘商业街胭脂坊美业129号</t>
  </si>
  <si>
    <t>陕西省渭南市临渭区陕西省渭南市临渭区朝阳路渭坊小区三单元五楼中户</t>
  </si>
  <si>
    <t>江苏省苏州市太仓市城厢镇东古路20号</t>
  </si>
  <si>
    <t>江苏省苏州市太仓市陆渡镇东城花苑七园52-1</t>
  </si>
  <si>
    <t>唐廷卫</t>
  </si>
  <si>
    <t>重庆市重庆市梁平县重庆市梁平县聚奎镇大来村2组</t>
  </si>
  <si>
    <t>重庆市重庆市梁平县重庆市梁平县人民东路青云东城丽景三十栋1单元302</t>
  </si>
  <si>
    <t>王寿芳</t>
  </si>
  <si>
    <t>安徽省滁州市琅琊区南谯区花园西路科创中心</t>
  </si>
  <si>
    <t>安徽省滁州市琅琊区康乐花园8栋</t>
  </si>
  <si>
    <t>刘建兵</t>
  </si>
  <si>
    <t>山东省聊城市东昌府区新南环路东首路北</t>
  </si>
  <si>
    <t>山东省聊城市东昌府区卫育北路四建北家属院</t>
  </si>
  <si>
    <t>江家乐</t>
  </si>
  <si>
    <t>广东省汕尾市城区汕尾市红海湾区东洲街道</t>
  </si>
  <si>
    <t>广东省汕尾市城区红海湾区东洲街道西联四巷五号</t>
  </si>
  <si>
    <t>吴京京</t>
  </si>
  <si>
    <t>江开强</t>
  </si>
  <si>
    <t>贵州省贵阳市乌当区水电八局</t>
  </si>
  <si>
    <t>贵州省贵阳市乌当区世纪城龙禧苑</t>
  </si>
  <si>
    <t>黄江</t>
  </si>
  <si>
    <t>江西省宜春市高安市新街镇陶瓷产业基地</t>
  </si>
  <si>
    <t>江西省宜春市高安市新街镇喻家村</t>
  </si>
  <si>
    <t>饶旭</t>
  </si>
  <si>
    <t>湖北省宜昌市伍家岗区宜昌市伍家岗区花艳一路</t>
  </si>
  <si>
    <t>颜超</t>
  </si>
  <si>
    <t>山东省泰安市宁阳县华丰镇驻地</t>
  </si>
  <si>
    <t>山东省泰安市宁阳县华丰镇华新街华新小区2-3-502</t>
  </si>
  <si>
    <t>李小松</t>
  </si>
  <si>
    <t>广东省东莞市东莞市南城区体育路</t>
  </si>
  <si>
    <t>广东省东莞市东莞市南城区体育路5号</t>
  </si>
  <si>
    <t>朱登健</t>
  </si>
  <si>
    <t>天津市天津市河西区天津市河西区宾水道9号增1号。</t>
  </si>
  <si>
    <t>天津市河西区黑牛城道纯雅公寓4747402</t>
  </si>
  <si>
    <t>李劲</t>
  </si>
  <si>
    <t>上海市上海市闵行区双柏路1289号</t>
  </si>
  <si>
    <t>上海市上海市闵行区景联路桃苑小区18号</t>
  </si>
  <si>
    <t>吴亚东</t>
  </si>
  <si>
    <t>吕少强</t>
  </si>
  <si>
    <t>云南省红河哈尼族彝族自治州蒙自县红河建材城一区F栋23号</t>
  </si>
  <si>
    <t>云南省红河哈尼族彝族自治州蒙自县红河建材城一区F栋22号</t>
  </si>
  <si>
    <t>刘新华</t>
  </si>
  <si>
    <t>河北省唐山市路南区逸品园底商A26号</t>
  </si>
  <si>
    <t>河北省唐山市路南区燕山小区205楼2门501室</t>
  </si>
  <si>
    <t>黄大旺</t>
  </si>
  <si>
    <t>广西钦州市钦北区钦州市钦州北区百利华庭2区</t>
  </si>
  <si>
    <t>广西钦州市灵山县灵山县太平镇太平村委会竹围村</t>
  </si>
  <si>
    <t>胡琳浩</t>
  </si>
  <si>
    <t>辽宁省沈阳市皇姑区松花江街5号</t>
  </si>
  <si>
    <t>辽宁省沈阳市大东区上园路望花南街50号</t>
  </si>
  <si>
    <t>范彬</t>
  </si>
  <si>
    <t>湖北省黄石市黄石港区湖滨大道明珠花园15-17</t>
  </si>
  <si>
    <t>湖北省黄石市下陆区杭州西路206号杭州公馆d2503</t>
  </si>
  <si>
    <t>刘志岗</t>
  </si>
  <si>
    <t>皮劲松</t>
  </si>
  <si>
    <t>江苏省苏州市吴中区金枫路合景睿峰3幢199号</t>
  </si>
  <si>
    <t>江苏省苏州市吴中区金枫路大成郡24幢2单元706号</t>
  </si>
  <si>
    <t>尹庆武</t>
  </si>
  <si>
    <t>河北省秦皇岛市海港区先锋路丽水家园物业办公室</t>
  </si>
  <si>
    <t>河北省秦皇岛市海港区交建里24栋4单元19号</t>
  </si>
  <si>
    <t>赖少林</t>
  </si>
  <si>
    <t>福建省漳州市平和县漳州市平和县坂仔镇心田村下欧</t>
  </si>
  <si>
    <t>福建省漳州市平和县坂仔镇广成西路185号</t>
  </si>
  <si>
    <t>黎伯伟</t>
  </si>
  <si>
    <t>广东省东莞市南城区西平路金色华庭对面消防专职队</t>
  </si>
  <si>
    <t>广东省广州市增城市石滩镇三江桥头村湖面一马路27号</t>
  </si>
  <si>
    <t>黄辉声</t>
  </si>
  <si>
    <t>广西南宁市青秀区竹溪大道青湖中心1813号</t>
  </si>
  <si>
    <t>安徽省合肥市包河区金象三区秀和路33号</t>
  </si>
  <si>
    <t>刘潇潇</t>
  </si>
  <si>
    <t>湖南省长沙市宁乡县历经铺街道新宝塔村东城首座7栋406室</t>
  </si>
  <si>
    <t>湖南省长沙市宁乡县历经铺沙河市场中大门169号</t>
  </si>
  <si>
    <t>王长青</t>
  </si>
  <si>
    <t>辽宁省朝阳市建平县红山街道西营子</t>
  </si>
  <si>
    <t>黑龙江省绥化市肇东市向阳乡百合村冯太后屯35号</t>
  </si>
  <si>
    <t>王梁</t>
  </si>
  <si>
    <t>孔祥军</t>
  </si>
  <si>
    <t>江苏省南京市鼓楼区新模范马路5号工业大学科技楼B座17层</t>
  </si>
  <si>
    <t>江苏省南京市鼓楼区大桥南路18号3栋一单元901室</t>
  </si>
  <si>
    <t>肖文斌</t>
  </si>
  <si>
    <t>广东省深圳市宝安区公明街道马山头第三工业区第38栋楼</t>
  </si>
  <si>
    <t>广东省深圳市宝安区公明街道马山头康民居6巷18号501</t>
  </si>
  <si>
    <t>芦燕</t>
  </si>
  <si>
    <t>林铭</t>
  </si>
  <si>
    <t>福建省漳州市诏安县金都工业园区金都大道5号</t>
  </si>
  <si>
    <t>福建省漳州市诏安县南诏镇东关街永垂巷5-3号</t>
  </si>
  <si>
    <t>吴林波</t>
  </si>
  <si>
    <t>浙江省金华市永康市永康市金同大厦11楼</t>
  </si>
  <si>
    <t>浙江省金华市永康市永康市黄城里皇城十二街66号</t>
  </si>
  <si>
    <t>张斌</t>
  </si>
  <si>
    <t>吉林省长春市绿园区捷达大路1999号</t>
  </si>
  <si>
    <t>吉林省长春市绿园区青州路大禹华邦二期3栋3单元401室</t>
  </si>
  <si>
    <t>王晓利</t>
  </si>
  <si>
    <t>罗荣华</t>
  </si>
  <si>
    <t>广东省深圳市龙岗区龙岗区南湾布沙街道百门前工业区9栋</t>
  </si>
  <si>
    <t>湖南省株洲市炎陵县株洲市</t>
  </si>
  <si>
    <t>桂超</t>
  </si>
  <si>
    <t>湖北省武汉市江夏区纸坊街江夏大道132号</t>
  </si>
  <si>
    <t>湖北省武汉市江夏区纸坊街熊廷弼街96附64号1栋1单元501室</t>
  </si>
  <si>
    <t>王文东</t>
  </si>
  <si>
    <t>上海市上海市普陀区红柳路233号</t>
  </si>
  <si>
    <t>上海市上海市闸北区原平路917弄6弄6号403室</t>
  </si>
  <si>
    <t>汪宁</t>
  </si>
  <si>
    <t>陕西省商洛市镇安县迎宾路鼎立国际四号楼</t>
  </si>
  <si>
    <t>陕西省商洛市镇安县迎宾路邮政储蓄家属院一单元</t>
  </si>
  <si>
    <t>谢婷</t>
  </si>
  <si>
    <t>广西贺州市八步区星光路28号</t>
  </si>
  <si>
    <t>广西贺州市八步区绿洲家园A2区1栋1801</t>
  </si>
  <si>
    <t>邹晓冬</t>
  </si>
  <si>
    <t>邓世伟</t>
  </si>
  <si>
    <t>四川省成都市双流县中和镇新下街锦华家居建材城</t>
  </si>
  <si>
    <t>四川省成都市双流县中和应龙湾生态农庄</t>
  </si>
  <si>
    <t>张俊虎</t>
  </si>
  <si>
    <t>山西省运城市闻喜县太风东街3003号</t>
  </si>
  <si>
    <t>山西省运城市闻喜县晋丰小区6号楼3单元101</t>
  </si>
  <si>
    <t>邓海波</t>
  </si>
  <si>
    <t>上海市上海市奉贤区奉城镇卫季路80号</t>
  </si>
  <si>
    <t>上海市上海市奉贤区奉城镇塘外小区</t>
  </si>
  <si>
    <t>刘立朋</t>
  </si>
  <si>
    <t>辽宁省锦州市太和区合金里59</t>
  </si>
  <si>
    <t>辽宁省锦州市太和区佳和溪林苑</t>
  </si>
  <si>
    <t>王浩然</t>
  </si>
  <si>
    <t>上海市上海市闵行区浦江镇新骏环路158号2号楼B座201</t>
  </si>
  <si>
    <t>上海市上海市闵行区浦江镇浦航旅178弄21号1001</t>
  </si>
  <si>
    <t>江西省赣州市于都县楂林工业园雩都大道23-2号</t>
  </si>
  <si>
    <t>江西省赣州市于都县楂林工业园业俊路安置地214号601室</t>
  </si>
  <si>
    <t>岳海军</t>
  </si>
  <si>
    <t>北京市北京市东城区庞各庄镇庞安路2号</t>
  </si>
  <si>
    <t>北京市北京市大兴区黄村镇狼各庄村4号</t>
  </si>
  <si>
    <t>管泽华</t>
  </si>
  <si>
    <t>安徽省合肥市庐阳区长江中路150号</t>
  </si>
  <si>
    <t>安徽省合肥市包河区包公街道共好花园</t>
  </si>
  <si>
    <t>潘文龙</t>
  </si>
  <si>
    <t>湖北省武汉市武昌区粮道街涵三宫33号</t>
  </si>
  <si>
    <t>湖北省武汉市武昌区粮道街双柏小区5栋甲401</t>
  </si>
  <si>
    <t>孙德葳</t>
  </si>
  <si>
    <t>贵州省安顺市西秀区西高铁站负一楼</t>
  </si>
  <si>
    <t>贵州省安顺市西秀区蔡官镇蔡官村一组084号</t>
  </si>
  <si>
    <t>陈睿</t>
  </si>
  <si>
    <t>刘火</t>
  </si>
  <si>
    <t>江西省南昌市西湖区高新六路116号</t>
  </si>
  <si>
    <t>江西省南昌市西湖区西船住宅小区11栋二单元201</t>
  </si>
  <si>
    <t>张强</t>
  </si>
  <si>
    <t>天津市天津市西青区华苑产业园区环外海泰东路18号</t>
  </si>
  <si>
    <t>天津市天津市西青区中北镇云锦世家郦景园13-4-302</t>
  </si>
  <si>
    <t>郑顺国</t>
  </si>
  <si>
    <t>赵晓阳</t>
  </si>
  <si>
    <t>浙江省杭州市萧山区建设一路1728</t>
  </si>
  <si>
    <t>浙江省杭州市萧山区建设二路华瑞晴庐</t>
  </si>
  <si>
    <t>周斯文</t>
  </si>
  <si>
    <t>重庆市重庆市江北区北城一路30号</t>
  </si>
  <si>
    <t>重庆市重庆市江北区南方上格林紫薇苑一号楼8-2</t>
  </si>
  <si>
    <t>戈亮烨</t>
  </si>
  <si>
    <t>江苏省无锡市惠山区西漳工业园西漳路36号</t>
  </si>
  <si>
    <t>江苏省无锡市崇安区西漳尤旺村中巷43号</t>
  </si>
  <si>
    <t>龙永权</t>
  </si>
  <si>
    <t>广东省佛山市顺德区广东省佛山市顺德区伦教镇羊大路</t>
  </si>
  <si>
    <t>广东省佛山市顺德区伦教镇荔村南苑街51号</t>
  </si>
  <si>
    <t>卢宏俊</t>
  </si>
  <si>
    <t>陆川县温泉镇新洲南路38号</t>
  </si>
  <si>
    <t>广西玉林市陆川县陆川县温泉镇三峰东路龙腾嘉园11栋2单元901</t>
  </si>
  <si>
    <t>唐月兰</t>
  </si>
  <si>
    <t>安徽省安庆市怀宁县孔雀路四季阳光对面1到7号门面</t>
  </si>
  <si>
    <t>安徽省安庆市怀宁县经二路金碧雅苑1栋1单元602</t>
  </si>
  <si>
    <t>江雪明</t>
  </si>
  <si>
    <t>广东省惠州市惠城区水口镇惠泽大道华阳高新区A区3号楼</t>
  </si>
  <si>
    <t>广东省云浮市罗定市围底镇围底中心小学旁</t>
  </si>
  <si>
    <t>朱洪忠</t>
  </si>
  <si>
    <t>交通大道108号</t>
  </si>
  <si>
    <t>烈山大道南关口老房产局大院西楼西单元602</t>
  </si>
  <si>
    <t>刘霖</t>
  </si>
  <si>
    <t>梁俊铭</t>
  </si>
  <si>
    <t>广东省广州市白云区沙太北路沙太收费站</t>
  </si>
  <si>
    <t>广东省广州市白云区螺涌校园路60号304</t>
  </si>
  <si>
    <t>何鹏</t>
  </si>
  <si>
    <t>王赛</t>
  </si>
  <si>
    <t>江苏省南京市江宁区龙眠大道688号</t>
  </si>
  <si>
    <t>江苏省南京市江宁区文靖路377汇景新苑东门16栋1单元402</t>
  </si>
  <si>
    <t>祝安顺</t>
  </si>
  <si>
    <t>贵州省黔西南布依族苗族自治州兴义市贵州省兴义市清水河镇园区208室</t>
  </si>
  <si>
    <t>贵州省黔西南布依族苗族自治州兴仁县贵州省兴仁县回龙镇孔寨孔寨八组29号</t>
  </si>
  <si>
    <t>匡云</t>
  </si>
  <si>
    <t>江苏省南京市玄武区玄武大道699-10号4号楼</t>
  </si>
  <si>
    <t>江苏省南京市鼓楼区校门口1号44栋四单元401室</t>
  </si>
  <si>
    <t>唐小华</t>
  </si>
  <si>
    <t>赫连文清</t>
  </si>
  <si>
    <t>河南省鹤壁市淇滨区九江路29号</t>
  </si>
  <si>
    <t>河南省鹤壁市淇滨区九江帝景25号楼</t>
  </si>
  <si>
    <t>龚仁辉</t>
  </si>
  <si>
    <t>卢妲</t>
  </si>
  <si>
    <t>广西南宁市西乡塘区永和路21号荣恒江景苑A栋2002号</t>
  </si>
  <si>
    <t>广西南宁市兴宁区长堽路179号盛天果岭16栋601</t>
  </si>
  <si>
    <t>袁健</t>
  </si>
  <si>
    <t>李军</t>
  </si>
  <si>
    <t>陕西省咸阳市秦都区渭阳西路48号</t>
  </si>
  <si>
    <t>陕西省咸阳市杨凌区滨河东路棠樾湖居8号楼三单元1701</t>
  </si>
  <si>
    <t>涂素珠</t>
  </si>
  <si>
    <t>福建省三明市大田县均溪镇建山路210号</t>
  </si>
  <si>
    <t>大田县均溪镇建山路210号</t>
  </si>
  <si>
    <t>杜铃</t>
  </si>
  <si>
    <t>海南省海口市琼山区海口经济学院教工宿舍18栋205</t>
  </si>
  <si>
    <t>海南省海口市琼山区海南工商职业学院教授a1601</t>
  </si>
  <si>
    <t>张帅</t>
  </si>
  <si>
    <t>河北省邢台市桥西区钢铁北路169号</t>
  </si>
  <si>
    <t>河北省邢台市桥西区煤气公司家属院1号楼二单元201</t>
  </si>
  <si>
    <t>章振松</t>
  </si>
  <si>
    <t>上海市上海市静安区灵石路921漫生活广场3楼</t>
  </si>
  <si>
    <t>上海市上海市静安区沪太路909弄23号楼204室</t>
  </si>
  <si>
    <t>王苏皖</t>
  </si>
  <si>
    <t>上海市上海市浦东新区上海市浦东新区博园路2号701室</t>
  </si>
  <si>
    <t>上海市上海市浦东新区安徽省宿州市萧县黄口镇高庄大队孟庄自然村17号</t>
  </si>
  <si>
    <t>邓成林</t>
  </si>
  <si>
    <t>云南省曲靖市富源县黄泥河镇广场对面</t>
  </si>
  <si>
    <t>云南省曲靖市富源县黄泥河镇南门街126号</t>
  </si>
  <si>
    <t>张朋</t>
  </si>
  <si>
    <t>陕西省西安市临潼区火车站二小巷7号</t>
  </si>
  <si>
    <t>陕西省西安市临潼区桃园西区13号楼二单元501室</t>
  </si>
  <si>
    <t>王彦凯</t>
  </si>
  <si>
    <t>宁夏银川市兴庆区银河巷89号</t>
  </si>
  <si>
    <t>宁夏银川市金凤区安居苑东区6号楼2单元202室</t>
  </si>
  <si>
    <t>杨丽</t>
  </si>
  <si>
    <t>四川省凉山彝族自治州会东县鱼山巷16号</t>
  </si>
  <si>
    <t>四川省凉山彝族自治州会东县水帘巷一号</t>
  </si>
  <si>
    <t>晋夏明</t>
  </si>
  <si>
    <t>安徽省芜湖市鸠江区芜湖市鸠江区升辉西方财富大酒店后面</t>
  </si>
  <si>
    <t>安徽省芜湖市鸠江区芜湖市鸠江区银湖小区31栋1单元601室</t>
  </si>
  <si>
    <t>刘祥春</t>
  </si>
  <si>
    <t>吉林省长春市朝阳区震宇街10号</t>
  </si>
  <si>
    <t>吉林省长春市二道区尊誉东方28号楼二单元1707</t>
  </si>
  <si>
    <t>李必强</t>
  </si>
  <si>
    <t>山西省运城市河津市学府路紫金街交叉口东北50米</t>
  </si>
  <si>
    <t>山西省运城市河津市汾滨街城北新村</t>
  </si>
  <si>
    <t>刘武</t>
  </si>
  <si>
    <t>江西省萍乡市上栗县上栗镇迎宾大道1号</t>
  </si>
  <si>
    <t>江西省萍乡市上栗县杨岐乡南源村3号</t>
  </si>
  <si>
    <t>解鸿翔</t>
  </si>
  <si>
    <t>江苏省南通市崇川区濠西路128号</t>
  </si>
  <si>
    <t>江苏省南通市港闸区盛唐公寓21栋1单元1201室</t>
  </si>
  <si>
    <t>侯继青</t>
  </si>
  <si>
    <t>上海市上海市徐汇区龙临路7号</t>
  </si>
  <si>
    <t>上海市上海市静安区延平路123弄18号601室</t>
  </si>
  <si>
    <t>周康</t>
  </si>
  <si>
    <t>河南省信阳市浉河区鸡公山大道虹桥桥头</t>
  </si>
  <si>
    <t>河南省信阳市浉河区东双河镇和谐小区</t>
  </si>
  <si>
    <t>吴艳雨</t>
  </si>
  <si>
    <t>辽宁省阜新市清河门区新昌路北</t>
  </si>
  <si>
    <t>辽宁省阜新市清河门区清河园4号楼3单元601</t>
  </si>
  <si>
    <t>刘功熙</t>
  </si>
  <si>
    <t>卢芬芬</t>
  </si>
  <si>
    <t>河南省焦作市修武县王里张屯西邻</t>
  </si>
  <si>
    <t>河南省焦作市修武县高村乡东延陵村</t>
  </si>
  <si>
    <t>黄启焯</t>
  </si>
  <si>
    <t>广东省广州市白云区井岗路104号</t>
  </si>
  <si>
    <t>广东省广州市白云区雄丰北街西六巷8号</t>
  </si>
  <si>
    <t>侯胜家</t>
  </si>
  <si>
    <t>黑龙江省哈尔滨市香坊区永泰城永兴路114号</t>
  </si>
  <si>
    <t>黑龙江省哈尔滨市香坊区哈平路远大都市绿洲一期9栋2单元701</t>
  </si>
  <si>
    <t>陈东</t>
  </si>
  <si>
    <t>安徽省合肥市包河区忘了啊</t>
  </si>
  <si>
    <t>吉林省长春市朝阳区中央大街</t>
  </si>
  <si>
    <t>袁文浩</t>
  </si>
  <si>
    <t>江西省南昌市青山湖区南昌市经济技术开发区英雄大道1399号</t>
  </si>
  <si>
    <t>江西省南昌市青云谱区井冈山大道176号一栋三单元</t>
  </si>
  <si>
    <t>牛鹏程</t>
  </si>
  <si>
    <t>山西省太原市小店区黄陵村东口南200米宏益丰元药业有限公司</t>
  </si>
  <si>
    <t>山西省临汾市隰县山西省太原市小店区</t>
  </si>
  <si>
    <t>王珊珊</t>
  </si>
  <si>
    <t>河南省新乡市红旗区人民路一号行政服务中心</t>
  </si>
  <si>
    <t>河南省新乡市牧野区荣校路博远龙郡</t>
  </si>
  <si>
    <t>张崇昆</t>
  </si>
  <si>
    <t>山东省潍坊市诸城市密州西路与龙源街交叉路口</t>
  </si>
  <si>
    <t>山东省潍坊市诸城市杨春家园</t>
  </si>
  <si>
    <t>晏钢</t>
  </si>
  <si>
    <t>云南省曲靖市麒麟区曲靖市麒麟区爱情小镇金麟湾温泉度假酒店</t>
  </si>
  <si>
    <t>云南省曲靖市麒麟区曲靖市麒麟区沿江乡政府</t>
  </si>
  <si>
    <t>熊金容</t>
  </si>
  <si>
    <t>四川省遂宁市大英县隆盛镇永隆街102号</t>
  </si>
  <si>
    <t>四川省遂宁市大英县隆盛镇五一村12社16号</t>
  </si>
  <si>
    <t>李勇克</t>
  </si>
  <si>
    <t>湖南省娄底市新化县湖南省娄底市新化县经济开发区向红工业园</t>
  </si>
  <si>
    <t>湖南省娄底市新化县湖南省新化县曹家镇同心村第十二村民小组013号</t>
  </si>
  <si>
    <t>何勇强</t>
  </si>
  <si>
    <t>四川省绵阳市涪城区临园路西段74号</t>
  </si>
  <si>
    <t>四川省绵阳市涪城区四川省绵阳市涪城区衘营坝七幢一单元三楼三号</t>
  </si>
  <si>
    <t>张文德</t>
  </si>
  <si>
    <t>辽宁省丹东市振安区同兴镇光明村三组</t>
  </si>
  <si>
    <t>刘永祥</t>
  </si>
  <si>
    <t>青海省海西蒙古族藏族自治州德令哈市德令哈市怀头他拉镇东滩村</t>
  </si>
  <si>
    <t>宁夏中卫市中宁县余丁乡石空村七队005号</t>
  </si>
  <si>
    <t>唐杰</t>
  </si>
  <si>
    <t>浙江省杭州市建德市洋溪街道逸龙文创园青创公寓一楼大厅</t>
  </si>
  <si>
    <t>浙江省杭州市建德市新安江街道焦山新村55幢2-603</t>
  </si>
  <si>
    <t>姜伟</t>
  </si>
  <si>
    <t>安徽省合肥市包河区河北路8号生产大楼403室</t>
  </si>
  <si>
    <t>安徽省合肥市长丰县双凤开发区北城世纪城冠徽苑11栋3304</t>
  </si>
  <si>
    <t>李超</t>
  </si>
  <si>
    <t>广东省深圳市福田区福华一路购物公园北三楼</t>
  </si>
  <si>
    <t>广东省深圳市福田区新沙路56号福利中心A栋302</t>
  </si>
  <si>
    <t>吴彪</t>
  </si>
  <si>
    <t>安徽省合肥市包河区马鞍山南路创智广场4栋603</t>
  </si>
  <si>
    <t>安徽省合肥市包河区望江路珠光雅苑2栋301。</t>
  </si>
  <si>
    <t>凡波</t>
  </si>
  <si>
    <t>四川省宜宾市兴文县古宋镇东大街</t>
  </si>
  <si>
    <t>四川省宜宾市长宁县安宁路一段216号</t>
  </si>
  <si>
    <t>杨景元</t>
  </si>
  <si>
    <t>安徽省滁州市琅琊区汊河经济开发区荣华路40号</t>
  </si>
  <si>
    <t>安徽省滁州市来安县永阳西路五中教师宿舍楼1栋302室</t>
  </si>
  <si>
    <t>王维</t>
  </si>
  <si>
    <t>湖北省武汉市江夏区武汉市江夏区九凤街谭湖一路五号</t>
  </si>
  <si>
    <t>湖北省武汉市江夏区光谷大道三和光谷道6栋1504</t>
  </si>
  <si>
    <t>李达奇</t>
  </si>
  <si>
    <t>吴宝平</t>
  </si>
  <si>
    <t>北京市北京市昌平区北京市昌平区小汤山镇大柳树环岛南108号</t>
  </si>
  <si>
    <t>河北省廊坊市大厂回族自治县河北省廊坊市大厂回族自治县雅清园2-3-202</t>
  </si>
  <si>
    <t>王嘉伟</t>
  </si>
  <si>
    <t>辽宁省朝阳市凌源市鑫盛花园小区</t>
  </si>
  <si>
    <t>辽宁省朝阳市凌源市遵化街中环小区A座六单元502</t>
  </si>
  <si>
    <t>王汉笙</t>
  </si>
  <si>
    <t>北京市东城区东郊民巷1号楼</t>
  </si>
  <si>
    <t>北京市北京市东城区北京市东城区东郊民巷三号楼</t>
  </si>
  <si>
    <t>王凯涛</t>
  </si>
  <si>
    <t>山东省威海市文登市文山路80号</t>
  </si>
  <si>
    <t>山东省威海市文登市昆嵛路康业现代城1号楼701</t>
  </si>
  <si>
    <t>徐德均</t>
  </si>
  <si>
    <t>李贵芹</t>
  </si>
  <si>
    <t>王洪柱</t>
  </si>
  <si>
    <t>吉林省长春市德惠市菜园子镇姚家村</t>
  </si>
  <si>
    <t>吉林省长春市德惠市中央公馆B8三单元101室</t>
  </si>
  <si>
    <t>梁钰</t>
  </si>
  <si>
    <t>四川省绵阳市涪城区福星都市时尚2单元1206</t>
  </si>
  <si>
    <t>四川省绵阳市涪城区万人居民点南区花园5期2栋501</t>
  </si>
  <si>
    <t>康龙</t>
  </si>
  <si>
    <t>符要武</t>
  </si>
  <si>
    <t>广东省湛江市霞山区滨海街道观海路149</t>
  </si>
  <si>
    <t>湖南省株洲县平山乡红石村樟树组28号</t>
  </si>
  <si>
    <t>王玲玲</t>
  </si>
  <si>
    <t>葛玉麒</t>
  </si>
  <si>
    <t>江苏省南通市如东县如东县经济开发区，鸭绿江路一号。</t>
  </si>
  <si>
    <t>江苏准安市金湖县青年路22号。</t>
  </si>
  <si>
    <t>李布赫</t>
  </si>
  <si>
    <t>江苏省无锡市宜兴市江苏省无锡市宜兴市宜城街道洑溪河公园初度润生园月子中心</t>
  </si>
  <si>
    <t>安徽省蚌埠市固镇县江苏省无锡市宜兴市宜城街道洑溪河公园初度润生园月子中心</t>
  </si>
  <si>
    <t>黄锦杰</t>
  </si>
  <si>
    <t>福建省漳州市长泰县长泰县枋洋镇善化里路</t>
  </si>
  <si>
    <t>福建省漳州市长泰县长泰县枋洋镇赤岭村后溪墘52号</t>
  </si>
  <si>
    <t>杨学明</t>
  </si>
  <si>
    <t>河北省廊坊市霸州市岔河集乡李庄村</t>
  </si>
  <si>
    <t>周志明</t>
  </si>
  <si>
    <t>甘肃省兰州市城关区哈密市新民五路富民小区2一4号</t>
  </si>
  <si>
    <t>新疆哈密市新民五路新民社区6O号</t>
  </si>
  <si>
    <t>张旭</t>
  </si>
  <si>
    <t>云南省昆明市五华区矣六街道新螺蛳湾国际商贸城一期24号门20街</t>
  </si>
  <si>
    <t>云南省德宏傣族景颇族自治州瑞丽市 勐卯镇糖厂生活区区35栋303室</t>
  </si>
  <si>
    <t>庄景奎</t>
  </si>
  <si>
    <t>浙江省杭州市上城区秋涛路24号</t>
  </si>
  <si>
    <t>安徽省亳州市利辛县浙江省杭州市拱墅区绍兴路现代雅苑23幢112室</t>
  </si>
  <si>
    <t>张晋维</t>
  </si>
  <si>
    <t>云南省红河哈尼族彝族自治州开远市开远市十里村12号</t>
  </si>
  <si>
    <t>云南省红河哈尼族彝族自治州个旧市财富中心B栋2单元1904</t>
  </si>
  <si>
    <t>季宇</t>
  </si>
  <si>
    <t>安徽省合肥市蜀山区黄山路世界之窗c座5楼</t>
  </si>
  <si>
    <t>安徽省合肥市蜀山区贵池路通和易居北苑12栋一单元3001室</t>
  </si>
  <si>
    <t>党智龙</t>
  </si>
  <si>
    <t>陕西省渭南市澄城县澄城县青正街188号</t>
  </si>
  <si>
    <t>陕西省渭南市澄城县澄城县交道镇交道村一组</t>
  </si>
  <si>
    <t>吴建兵</t>
  </si>
  <si>
    <t>宁夏石嘴山市大武口区鸣沙路永乐食品厂1栋1号</t>
  </si>
  <si>
    <t>宁夏石嘴山市大武口区朝阳西街金山小区39楼3单元11号</t>
  </si>
  <si>
    <t>彭辉</t>
  </si>
  <si>
    <t>江苏省苏州市昆山市第一大道168号</t>
  </si>
  <si>
    <t>江苏省苏州市昆山市湖北省孝感市云梦县义堂镇</t>
  </si>
  <si>
    <t>王贺</t>
  </si>
  <si>
    <t>熊力</t>
  </si>
  <si>
    <t>江西省南昌市东湖区江西省南昌市东湖区抚生路九九电子厂1楼</t>
  </si>
  <si>
    <t>江西省南昌市东湖区抚生路名仕花城a栋1608</t>
  </si>
  <si>
    <t>刘玉君</t>
  </si>
  <si>
    <t>曹县万基_x0008_南门财政局对面</t>
  </si>
  <si>
    <t>山东省荷泽市曹县曹县东关大街百隆纱厂后院</t>
  </si>
  <si>
    <t>林慧芝</t>
  </si>
  <si>
    <t>山东省济宁市任城区唐口镇关南李村</t>
  </si>
  <si>
    <t>董浦</t>
  </si>
  <si>
    <t>李华</t>
  </si>
  <si>
    <t>重庆市重庆市大渡口区松青路春光购物广场二楼</t>
  </si>
  <si>
    <t>重庆市重庆市大渡口区松青路国瑞城一期4栋</t>
  </si>
  <si>
    <t>张志辉</t>
  </si>
  <si>
    <t>河北省唐山市路北区火炬路130-11号</t>
  </si>
  <si>
    <t>河北省唐山市路南区文化南北街爱国里盛泰庄园103楼1门501</t>
  </si>
  <si>
    <t>管丛超</t>
  </si>
  <si>
    <t>四川省乐山市市中区朝霞路188号</t>
  </si>
  <si>
    <t>四川省乐山市市中区青果山街139号</t>
  </si>
  <si>
    <t>浙江省温州市瓯海区浙江省温州市瓯海区仙岩工业区沈东路129号</t>
  </si>
  <si>
    <t>浙江省温州市瓯海区仙岩工业区盛丰路54号</t>
  </si>
  <si>
    <t>穆青</t>
  </si>
  <si>
    <t>杨亚男</t>
  </si>
  <si>
    <t>湖北省荆州市沙市区公园路12号</t>
  </si>
  <si>
    <t>湖北省荆州市沙市区荆棉小区47栋</t>
  </si>
  <si>
    <t>王俊元</t>
  </si>
  <si>
    <t>黑龙江省哈尔滨市南岗区大成街9-2号</t>
  </si>
  <si>
    <t>黑龙江省哈尔滨市南岗区大成街一号</t>
  </si>
  <si>
    <t>刘丽丹</t>
  </si>
  <si>
    <t>四川省成都市新津县成都市新津县百货大楼星美国际影城二楼</t>
  </si>
  <si>
    <t>四川省成都市新津县成都市新津县普兴镇顺河村一组</t>
  </si>
  <si>
    <t>吴锦庭</t>
  </si>
  <si>
    <t>广东省广州市黄埔区萝岗街公路街118号</t>
  </si>
  <si>
    <t>广东省广州市黄埔区均和江尾路46号</t>
  </si>
  <si>
    <t>郑晓瑞</t>
  </si>
  <si>
    <t>李寅</t>
  </si>
  <si>
    <t>郭光琴</t>
  </si>
  <si>
    <t>贵州省黔南布依族苗族自治州瓮安县贵州省歇</t>
  </si>
  <si>
    <t>贵州省黔南布依族苗族自治州瓮安县贵州省黔南州瓮安县瓮水街道</t>
  </si>
  <si>
    <t>黄晓宁</t>
  </si>
  <si>
    <t>广西南宁市西乡塘区大学东路59号文华园1栋10号</t>
  </si>
  <si>
    <t>广西南宁市西乡塘区大学东路59号木糖里63号</t>
  </si>
  <si>
    <t>廖煌</t>
  </si>
  <si>
    <t>王家祥</t>
  </si>
  <si>
    <t>福建省泉州市惠安县福建省泉州市惠安县紫山镇美仁村</t>
  </si>
  <si>
    <t>福建省泉州市惠安县螺城镇嘉惠小区</t>
  </si>
  <si>
    <t>赵家彬</t>
  </si>
  <si>
    <t>河北省承德市滦平县龙港东街113</t>
  </si>
  <si>
    <t>河北省承德市滦平县利民道38</t>
  </si>
  <si>
    <t>刘文鸽</t>
  </si>
  <si>
    <t>山东省聊城市东昌府区东昌路与庐山路交叉口南50米</t>
  </si>
  <si>
    <t>山东省聊城市东昌府区开发区久和社区18号楼3单元105</t>
  </si>
  <si>
    <t>陈宇</t>
  </si>
  <si>
    <t>四川省凉山彝族自治州盐源县盐井镇福星街32号</t>
  </si>
  <si>
    <t>四川省凉山彝族自治州盐源县卫城镇北门中路18号</t>
  </si>
  <si>
    <t>王玉京</t>
  </si>
  <si>
    <t>浙江省杭州市江干区江干区经济开发区199号</t>
  </si>
  <si>
    <t>浙江省杭州市江干区下沙智格小区289号</t>
  </si>
  <si>
    <t>蔡悦胜</t>
  </si>
  <si>
    <t>广东省汕头市澄海区澄华街道上埭工业区12号</t>
  </si>
  <si>
    <t>广东省汕头市澄海区澄华街道下窖后沟路南6巷2号</t>
  </si>
  <si>
    <t>赵海燕</t>
  </si>
  <si>
    <t>山东省潍坊市昌乐县利民街人民医院对面中百大厦四楼</t>
  </si>
  <si>
    <t>山东省潍坊市昌乐县流泉街碧水龙庭小区十六号楼三单元302</t>
  </si>
  <si>
    <t>潘建波</t>
  </si>
  <si>
    <t>海南省海口市琼山区龙昆南路55号2楼</t>
  </si>
  <si>
    <t>海南省海口市秀英区金花社区金花横路55号</t>
  </si>
  <si>
    <t>金俊俊</t>
  </si>
  <si>
    <t>江苏省南京市玄武区珠江路609号东来科技大厦207室</t>
  </si>
  <si>
    <t>江苏省南京市雨花台区小行路30号9幢二单元102室</t>
  </si>
  <si>
    <t>叶苍胜</t>
  </si>
  <si>
    <t>福建省泉州市石狮市福建省泉州市石狮市永宁镇前埔工业区13号</t>
  </si>
  <si>
    <t>陈显龙</t>
  </si>
  <si>
    <t>陈健</t>
  </si>
  <si>
    <t>孙小军</t>
  </si>
  <si>
    <t>建邺区31</t>
  </si>
  <si>
    <t>江苏省镇江市句容市水岸名居杉林园</t>
  </si>
  <si>
    <t>李小岚</t>
  </si>
  <si>
    <t>福建省泉州市安溪县过溪2号</t>
  </si>
  <si>
    <t>福建省泉州市安溪县解放路46号</t>
  </si>
  <si>
    <t>钟育炎</t>
  </si>
  <si>
    <t>广西玉林市玉州区新民路518号</t>
  </si>
  <si>
    <t>广西玉林市兴业县卖酒镇忠良村54一1号</t>
  </si>
  <si>
    <t>陈泽东</t>
  </si>
  <si>
    <t>海南省海口市秀英区天涯区桶井路265号</t>
  </si>
  <si>
    <t>海南省海口市秀英区天涯区金鸡岭社区西六巷3横一7号</t>
  </si>
  <si>
    <t>文书生</t>
  </si>
  <si>
    <t>浙江省杭州市萧山区瓜沥镇群谊村150号</t>
  </si>
  <si>
    <t>王海龙</t>
  </si>
  <si>
    <t>山西省大同市城区向阳里街道水泉湾龙园南门</t>
  </si>
  <si>
    <t>山西省大同市城区开源街道</t>
  </si>
  <si>
    <t>屈亚洲</t>
  </si>
  <si>
    <t>河北省保定市涿州市东仙镇北务村</t>
  </si>
  <si>
    <t>河北省保定市涿州市双塔区范连邓村117号</t>
  </si>
  <si>
    <t>陈伟伟</t>
  </si>
  <si>
    <t>上海市上海市闵行区宝铭路70号</t>
  </si>
  <si>
    <t>上海市上海市闵行区宝铭路88弄莲蒲府邸43栋802</t>
  </si>
  <si>
    <t>江健飞</t>
  </si>
  <si>
    <t>广东省肇庆市广宁县广宁县南街镇城南大道国际家居中心内B区君悦会</t>
  </si>
  <si>
    <t>广东省肇庆市广宁县广东省广宁县古水镇茅坪农场茅坪村</t>
  </si>
  <si>
    <t>李颖丽</t>
  </si>
  <si>
    <t>广东省深圳市南山区留仙一路四巷七星公社</t>
  </si>
  <si>
    <t>广东省深圳市宝安区裕丰花园8巷9号</t>
  </si>
  <si>
    <t>吴斌</t>
  </si>
  <si>
    <t>湖南省湘西土家族苗族自治州吉首市武陵路35号</t>
  </si>
  <si>
    <t>湖南省湘西土家族苗族自治州花垣县补抽乡兴中村四组</t>
  </si>
  <si>
    <t>龙嫚妮</t>
  </si>
  <si>
    <t>方俊涛</t>
  </si>
  <si>
    <t>吉林省长春市宽城区基隆北街隆泰檀香苑11号楼宴府大酒店</t>
  </si>
  <si>
    <t>吉林省长春市绿园区兴阳街7号五环高尔夫家园</t>
  </si>
  <si>
    <t>黄磊</t>
  </si>
  <si>
    <t>湖南省怀化市鹤城区迎丰西路203号</t>
  </si>
  <si>
    <t>湖南省怀化市鹤城区迎丰西路209号1栋2604</t>
  </si>
  <si>
    <t>覃海仔</t>
  </si>
  <si>
    <t>海南省海口市秀英区城西镇高坡坡上村</t>
  </si>
  <si>
    <t>海南省海口市秀英区城西镇高坡村343号</t>
  </si>
  <si>
    <t>侯方峰</t>
  </si>
  <si>
    <t>山东省青岛市即墨市南泉镇栾埠村</t>
  </si>
  <si>
    <t>山东省青岛市即墨市南泉镇东时于村112号甲</t>
  </si>
  <si>
    <t>董章辉</t>
  </si>
  <si>
    <t>山东省聊城市东昌府区凤凰街道办事处葛海村27号</t>
  </si>
  <si>
    <t>山东省济南市历城区王舍人镇东城苏苑小区3号楼一单元502</t>
  </si>
  <si>
    <t>陈杰</t>
  </si>
  <si>
    <t>刘德海</t>
  </si>
  <si>
    <t>湖南省常德市武陵区人民路2777号</t>
  </si>
  <si>
    <t>湖南省常德市武陵区人民路2777号5栋二单元101</t>
  </si>
  <si>
    <t>邢闯</t>
  </si>
  <si>
    <t>北京市北京市通州区融商四路与兴茂南街交叉口东100米</t>
  </si>
  <si>
    <t>北京市北京市通州区马驹桥二街金宝地公寓</t>
  </si>
  <si>
    <t>周福来</t>
  </si>
  <si>
    <t>辽宁省沈阳市新民市沈阳市胡台镇振兴街</t>
  </si>
  <si>
    <t>辽宁省沈阳市新民市胡台镇振兴街</t>
  </si>
  <si>
    <t>花文博</t>
  </si>
  <si>
    <t>安徽省淮北市相山区人民中路体育场内16号</t>
  </si>
  <si>
    <t>安徽省淮北市相山区泉山路港利上城国际小区9栋601室</t>
  </si>
  <si>
    <t>姜红薇</t>
  </si>
  <si>
    <t>天津市天津市河东区新开路71号未来广场B2层</t>
  </si>
  <si>
    <t>天津市天津市滨海新区大港区古林街欣欣里运输小区3-2-101</t>
  </si>
  <si>
    <t>田乐</t>
  </si>
  <si>
    <t>湖北省恩施土家族苗族自治州恩施市湖北省恩施市板桥小区</t>
  </si>
  <si>
    <t>湖北省恩施土家族苗族自治州恩施市湖北省宣恩县高罗镇挨山村十一组23号</t>
  </si>
  <si>
    <t>王佳</t>
  </si>
  <si>
    <t>浙江省杭州市上城区中山南路77号1号商铺</t>
  </si>
  <si>
    <t>浙江省杭州市上城区凤凰山脚路155号</t>
  </si>
  <si>
    <t>熊月辉</t>
  </si>
  <si>
    <t>北京市北京市朝阳区安翔北路11</t>
  </si>
  <si>
    <t>北京市北京市朝阳区安华里五区五号楼</t>
  </si>
  <si>
    <t>何树杰</t>
  </si>
  <si>
    <t>田永峰</t>
  </si>
  <si>
    <t>河北省张家口市桥东区胜利路大街28号</t>
  </si>
  <si>
    <t>河北省张家口市桥西区东窑子镇永丰堡村87号</t>
  </si>
  <si>
    <t>赵赢凯</t>
  </si>
  <si>
    <t>山东省滨州市滨城区黄河四路495号滨和家园沿街楼</t>
  </si>
  <si>
    <t>山东省滨州市滨城区黄河十二路中海城棕榈湾二期6115号楼202室</t>
  </si>
  <si>
    <t>王子超</t>
  </si>
  <si>
    <t>北京市北京市顺义区北京市顺义区龙湾屯镇史中务中心街12号</t>
  </si>
  <si>
    <t>北京市北京市顺义区北京市顺义区龙湾屯镇兵营路26号</t>
  </si>
  <si>
    <t>赛玉琴</t>
  </si>
  <si>
    <t>贾燕</t>
  </si>
  <si>
    <t>席国栋</t>
  </si>
  <si>
    <t>山西省长治市沁源县李元镇崔庄村</t>
  </si>
  <si>
    <t>山西省长治市沁源县交口乡尚义村86号</t>
  </si>
  <si>
    <t>吕钦</t>
  </si>
  <si>
    <t>上海市上海市黄浦区北京东路668号</t>
  </si>
  <si>
    <t>上海市上海市普陀区祁连山南路2727弄86号402室</t>
  </si>
  <si>
    <t>陈启伦</t>
  </si>
  <si>
    <t>福建省厦门市集美区文达路17之六301</t>
  </si>
  <si>
    <t>江苏省苏州市吴江区盛泽镇西二环路翡翠豪庭18栋1903</t>
  </si>
  <si>
    <t>郜宾峰</t>
  </si>
  <si>
    <t>河北省石家庄市桥西区和平西路与西三庄街交叉口东20米</t>
  </si>
  <si>
    <t>河北省石家庄市长安区青年街温馨家园3号楼4单元601</t>
  </si>
  <si>
    <t>张照勇</t>
  </si>
  <si>
    <t>山西省晋中市介休市介休市金融路</t>
  </si>
  <si>
    <t>山西省晋中市介休市连福镇邬城店村</t>
  </si>
  <si>
    <t>孔德永</t>
  </si>
  <si>
    <t>广东省佛山市高明区荷城街道明理路勤学新村138号</t>
  </si>
  <si>
    <t>徐志成</t>
  </si>
  <si>
    <t>四川省成都市双流县成都市双流区双兴第一社区</t>
  </si>
  <si>
    <t>四川省广安市武胜县四川省武胜县金光乡吊楼村7组205号</t>
  </si>
  <si>
    <t>赵磊</t>
  </si>
  <si>
    <t>杨敏捷</t>
  </si>
  <si>
    <t>福建省龙岩市新罗区景阳小区10号楼105店</t>
  </si>
  <si>
    <t>福建省龙岩市新罗区红坊镇下洋村西南路86号</t>
  </si>
  <si>
    <t>林明飞</t>
  </si>
  <si>
    <t>广东省佛山市高明区杨和镇杨西大道601号</t>
  </si>
  <si>
    <t>广东省佛山市高明区新亨村513号</t>
  </si>
  <si>
    <t>韩帅</t>
  </si>
  <si>
    <t>河北省保定市曲阳县灵山镇韩家村</t>
  </si>
  <si>
    <t>田雨</t>
  </si>
  <si>
    <t>河北省保定市徐水县大王店产业园</t>
  </si>
  <si>
    <t>河北省保定市徐水县安肃镇康明中大街100号</t>
  </si>
  <si>
    <t>王晓晶</t>
  </si>
  <si>
    <t>海南省海口市龙华区海南省海口市美兰区国兴大道5号海南大厦裙楼二层</t>
  </si>
  <si>
    <t>海南省海口市琼山区红城湖延长线滨江华庭一栋a单元1104</t>
  </si>
  <si>
    <t>伍光荣</t>
  </si>
  <si>
    <t>上海市上海市青浦区外青松公路3271号</t>
  </si>
  <si>
    <t>江苏省苏州市昆山市花桥镇和丰路108号太平洋商业广场1407室</t>
  </si>
  <si>
    <t>邓海彬</t>
  </si>
  <si>
    <t>刘安杰</t>
  </si>
  <si>
    <t>江苏省南京市浦口区永宁镇永宁工业集中区202-30</t>
  </si>
  <si>
    <t>安徽省滁州市来安县半塔镇盱宁北路42号</t>
  </si>
  <si>
    <t>韩辉</t>
  </si>
  <si>
    <t>王宁华</t>
  </si>
  <si>
    <t>甘肃省兰州市城关区平凉路162号</t>
  </si>
  <si>
    <t>河南省商丘市宁陵县甘肃省兰州市城关区何家庄东街30号602室</t>
  </si>
  <si>
    <t>苏蓉明</t>
  </si>
  <si>
    <t>缪军</t>
  </si>
  <si>
    <t>江苏省常州市武进区永胜中路57号</t>
  </si>
  <si>
    <t>江苏省常州市武进区玉兰广场三期27幢甲单元1501</t>
  </si>
  <si>
    <t>方晓叶</t>
  </si>
  <si>
    <t>北京市北京市西城区北京市西城区西单华远街2号</t>
  </si>
  <si>
    <t>北京市北京市西城区西城区西四北六条3号</t>
  </si>
  <si>
    <t>孙清男</t>
  </si>
  <si>
    <t>荣德厚</t>
  </si>
  <si>
    <t>山西省阳泉市盂县山西省阳泉市盂县东平</t>
  </si>
  <si>
    <t>山西省阳泉市盂县南娄镇郭村290号</t>
  </si>
  <si>
    <t>王琛</t>
  </si>
  <si>
    <t>陕西省渭南市蒲城县上王镇街道西拐弯处</t>
  </si>
  <si>
    <t>陕西省渭南市蒲城县上王镇街道西拐弯处棋苑果库</t>
  </si>
  <si>
    <t>裴明</t>
  </si>
  <si>
    <t>正光</t>
  </si>
  <si>
    <t>李登健</t>
  </si>
  <si>
    <t>浙江省金华市浦江县和平南路262号</t>
  </si>
  <si>
    <t>浙江省金华市浦江县浦南街道平安新店村37号</t>
  </si>
  <si>
    <t>王庆</t>
  </si>
  <si>
    <t>贵州省遵义市汇川区香港路东艺小楼14层1402号</t>
  </si>
  <si>
    <t>贵州省遵义市红花岗区长征镇坪丰村35号</t>
  </si>
  <si>
    <t>蔡世峰</t>
  </si>
  <si>
    <t>山东省德州市德城区帝景苑综合楼一单元</t>
  </si>
  <si>
    <t>山东省德州市德城区后魏社区一号楼三单元102</t>
  </si>
  <si>
    <t>蔡富金</t>
  </si>
  <si>
    <t>云南省昭通市彝良县彜良县角奎镇</t>
  </si>
  <si>
    <t>云南省昭通市彝良县彜良县角奎镇花桥村学堂组59号</t>
  </si>
  <si>
    <t>谢艺超</t>
  </si>
  <si>
    <t>福建省泉州市鲤城区福隆星城2栋103店</t>
  </si>
  <si>
    <t>福建省泉州市安溪县城厢镇土楼村益民南路127号</t>
  </si>
  <si>
    <t>裴建辉</t>
  </si>
  <si>
    <t>刘长强</t>
  </si>
  <si>
    <t>肖兆山</t>
  </si>
  <si>
    <t>江西省宜春市高安市高安市高安大道568号</t>
  </si>
  <si>
    <t>江西省宜春市高安市收货人: 肖兆山 手机号码: 15050389696 所在地区: 江西省宜春市高安市瑞州街道 详细地址: 瑞州街高安高安大道863号尚客优骏怡酒店</t>
  </si>
  <si>
    <t>林桐波</t>
  </si>
  <si>
    <t>广东省潮州市潮安县枫溪区古板头中学前直路中段</t>
  </si>
  <si>
    <t>广东省潮州市潮安县枫溪区古板头下林农场下六横4号</t>
  </si>
  <si>
    <t>杨勇</t>
  </si>
  <si>
    <t>贵州省安顺市西秀区开发区黔中商贸城3栋二单元6层7号</t>
  </si>
  <si>
    <t>贵州省安顺市西秀区开发区西航路西航小区2栋二单元3楼3号</t>
  </si>
  <si>
    <t>李晓伟</t>
  </si>
  <si>
    <t>陈晨</t>
  </si>
  <si>
    <t>江苏省淮安市清河区太和街道办事处三塘村鱼塘组24号</t>
  </si>
  <si>
    <t>江苏省淮安市盱眙县太和街道办事处三塘村鱼塘组</t>
  </si>
  <si>
    <t>宋雷霆</t>
  </si>
  <si>
    <t>山东省威海市环翠区天润路2-13</t>
  </si>
  <si>
    <t>山东省威海市文登市天润路2-13</t>
  </si>
  <si>
    <t>谭江浩</t>
  </si>
  <si>
    <t>广东省江门市新会区新会区朱紫路4号</t>
  </si>
  <si>
    <t>广东省江门市新会区中心路二横巷25号402</t>
  </si>
  <si>
    <t>曹阳冉</t>
  </si>
  <si>
    <t>江苏省苏州市吴江区盛泽镇科技路1188号一幢4楼</t>
  </si>
  <si>
    <t>江苏省苏州市吴江区盛泽镇中心大道锦盛苑小区22幢一单元1402室</t>
  </si>
  <si>
    <t>冯小艳</t>
  </si>
  <si>
    <t>山西省吕梁市离石区龙凤北大街鼎江大酒店对面海尔空调</t>
  </si>
  <si>
    <t>山西省吕梁市离石区马茂庄村红十字医院对面坡上215号</t>
  </si>
  <si>
    <t>吴杨鸽</t>
  </si>
  <si>
    <t>陕西省西安市灞桥区浐灞商务中心2A09号</t>
  </si>
  <si>
    <t>陕西省咸阳市兴平市庄头镇蔡西村一南组640号</t>
  </si>
  <si>
    <t>桂屏</t>
  </si>
  <si>
    <t>贵州省遵义市余庆县白泥镇子营路32号</t>
  </si>
  <si>
    <t>贵州省贵阳市南明区花果园C区4栋1804</t>
  </si>
  <si>
    <t>黄闻仲</t>
  </si>
  <si>
    <t>湖南省长沙市雨花区星程国际6栋1206</t>
  </si>
  <si>
    <t>湖南省永州市零陵区九疑大道中小企业创业园7栋1202</t>
  </si>
  <si>
    <t>张初明</t>
  </si>
  <si>
    <t>赵大朋</t>
  </si>
  <si>
    <t>福建省福州市鼓楼区福州市台江区光明路6号</t>
  </si>
  <si>
    <t>福建省福州市鼓楼区福州市鼓楼区软件公寓1栋302</t>
  </si>
  <si>
    <t>欧萃芸</t>
  </si>
  <si>
    <t>江西省吉安市万安县江西省品牌女装百加九贤桥头加工？？↘</t>
  </si>
  <si>
    <t>江西省吉安市万安县 百加镇.九贤桥头16号</t>
  </si>
  <si>
    <t>郝利鹏</t>
  </si>
  <si>
    <t>北京市北京市昌平区窑平路15号</t>
  </si>
  <si>
    <t>北京市北京市昌平区北七家白庙村西街孔府家园112</t>
  </si>
  <si>
    <t>朱明鉴</t>
  </si>
  <si>
    <t>广东省清远市英德市东华镇大镇服装市场边68号</t>
  </si>
  <si>
    <t>广东省清远市英德市东华镇大镇居委会大镇街76号</t>
  </si>
  <si>
    <t>陈颖欣</t>
  </si>
  <si>
    <t>广东省广州市白云区京溪街道麒麟中路26号</t>
  </si>
  <si>
    <t>广东省广州市白云区京溪大街149号</t>
  </si>
  <si>
    <t>杨丛丛</t>
  </si>
  <si>
    <t>山东省滨州市邹平县长山镇工业园</t>
  </si>
  <si>
    <t>山东省滨州市邹平县长山镇杨家村136号</t>
  </si>
  <si>
    <t>于洋</t>
  </si>
  <si>
    <t>吉林省四平市公主岭市公主岭市七道街13号</t>
  </si>
  <si>
    <t>吉林省四平市公主岭市天力城中央5号楼三单元402室</t>
  </si>
  <si>
    <t>刘连村</t>
  </si>
  <si>
    <t>聂渝针</t>
  </si>
  <si>
    <t>重庆市重庆市巴南区鱼洞新市街63</t>
  </si>
  <si>
    <t>重庆市巴南区鱼洞新市街33号</t>
  </si>
  <si>
    <t>陈银娇</t>
  </si>
  <si>
    <t>安徽省合肥市包河区五里庙装饰世界</t>
  </si>
  <si>
    <t>安徽省合肥市包河区当涂路珠光南苑</t>
  </si>
  <si>
    <t>梅欢欢</t>
  </si>
  <si>
    <t>田艺</t>
  </si>
  <si>
    <t>河北省石家庄市裕华区长江大道13号</t>
  </si>
  <si>
    <t>河北省石家庄市裕华区赵村新区7号楼1单元3201</t>
  </si>
  <si>
    <t>张成涛</t>
  </si>
  <si>
    <t>江苏省苏州市吴江区盛泽镇南麻街恒力路一号</t>
  </si>
  <si>
    <t>江苏省苏州市吴江区盛泽镇溪南村恒力宿舍</t>
  </si>
  <si>
    <t>张蕾</t>
  </si>
  <si>
    <t>安徽省马鞍山市当涂县姑孰镇苏果超市</t>
  </si>
  <si>
    <t>安徽省马鞍山市当涂县姑孰镇江南名苑</t>
  </si>
  <si>
    <t>陈洪</t>
  </si>
  <si>
    <t>浙江省金华市婺城区仙华南街800号</t>
  </si>
  <si>
    <t>浙江省金华市婺城区夹溪路880号</t>
  </si>
  <si>
    <t>韦云松</t>
  </si>
  <si>
    <t>广西桂林市七星区东二环路软件大厦3楼</t>
  </si>
  <si>
    <t>广西桂林市临桂县中仁路15栋8号聚华苑2栋1单元502</t>
  </si>
  <si>
    <t>张学昆</t>
  </si>
  <si>
    <t>重庆市重庆市綦江区鱼子村</t>
  </si>
  <si>
    <t>重庆市重庆市綦江区万盛黑山镇鱼子村</t>
  </si>
  <si>
    <t>郑麒</t>
  </si>
  <si>
    <t>贵州省贵阳市开阳县胜利西路52号</t>
  </si>
  <si>
    <t>贵州省贵阳市开阳县体育场对面401</t>
  </si>
  <si>
    <t>杨文高</t>
  </si>
  <si>
    <t>福建省漳州市龙海市福建省龙海市颜厝镇宅前村和里路口</t>
  </si>
  <si>
    <t>福建省漳州市龙海市福建省龙海市颜厝镇宅前村和里37号</t>
  </si>
  <si>
    <t>傅能川</t>
  </si>
  <si>
    <t>浙江省宁波市象山县滨海工业区海济路50号</t>
  </si>
  <si>
    <t>浙江省宁波市象山县东陈乡南盘村8号</t>
  </si>
  <si>
    <t>欧显飞</t>
  </si>
  <si>
    <t>贵州省贵阳市南明区花果园购物中心</t>
  </si>
  <si>
    <t>贵州省贵阳市南明区花果园E区4栋701</t>
  </si>
  <si>
    <t>吴伟俊</t>
  </si>
  <si>
    <t>许永晨</t>
  </si>
  <si>
    <t>天津市天津市东丽区中南5街49号</t>
  </si>
  <si>
    <t>天津市天津市东丽区军粮城街道和顺家园三区29栋1门402</t>
  </si>
  <si>
    <t>龚飞燕</t>
  </si>
  <si>
    <t>广东省佛山市南海区大沥镇新城大道金茂大酒店四楼</t>
  </si>
  <si>
    <t>广东省佛山市禅城区大沥镇竹园东路四巷四号101</t>
  </si>
  <si>
    <t>钱巍巍</t>
  </si>
  <si>
    <t>江苏省盐城市建湖县上冈镇汽车客运站</t>
  </si>
  <si>
    <t>江苏省盐城市建湖县上冈镇东方花园3号楼一单元507室</t>
  </si>
  <si>
    <t>汪文强</t>
  </si>
  <si>
    <t>广东省深圳市宝安区西乡街道固戍二路汇德隆美食广场二楼老妈菜园</t>
  </si>
  <si>
    <t>广东省深圳市宝安区西乡街道固戍二路雅阁旅馆201</t>
  </si>
  <si>
    <t>蔡伟华</t>
  </si>
  <si>
    <t>福建省莆田市仙游县龙华镇塔街西路39号</t>
  </si>
  <si>
    <t>福建省莆田市仙游县龙华镇灯塔村前田105号</t>
  </si>
  <si>
    <t>周丽娜</t>
  </si>
  <si>
    <t>河南省南阳市宛城区医生祠街药材交易区76号</t>
  </si>
  <si>
    <t>河南省南阳市卧龙区中州西路锦城华府3号楼2302室</t>
  </si>
  <si>
    <t>李晗杰</t>
  </si>
  <si>
    <t>广东省广州市白云区罗岗村宗润北街50号</t>
  </si>
  <si>
    <t>广东省广州市荔湾区罗岗村宗润北街39号</t>
  </si>
  <si>
    <t>尹延开</t>
  </si>
  <si>
    <t>罗俊贤</t>
  </si>
  <si>
    <t>广东省湛江市赤坎区海田东二路28号海田家私城二楼169室</t>
  </si>
  <si>
    <t>广东省湛江市赤坎区南方路29号</t>
  </si>
  <si>
    <t>郭道</t>
  </si>
  <si>
    <t>韩俊杰</t>
  </si>
  <si>
    <t>吉林省长春市南关区幸福街186号</t>
  </si>
  <si>
    <t>吉林省长春市朝阳区卫星路星城国际1708室</t>
  </si>
  <si>
    <t>云南省丽江市古城区民主路485号</t>
  </si>
  <si>
    <t>云南省丽江市古城区德立小区1栋1单元407室</t>
  </si>
  <si>
    <t>吕新宝</t>
  </si>
  <si>
    <t>黑龙江省大庆市龙凤区黑龙江省大庆市龙凤区龙华路龙华小区A01号楼</t>
  </si>
  <si>
    <t>黑龙江省大庆市龙凤区黑龙江省大庆市龙凤区龙华路龙建安小区59号楼一单元501</t>
  </si>
  <si>
    <t>王鹏</t>
  </si>
  <si>
    <t>山东省青岛市李沧区重庆中路637号文昌渔花苑33号楼</t>
  </si>
  <si>
    <t>山东省青岛市李沧区虎山路街道石沟小区9号楼1单元202</t>
  </si>
  <si>
    <t>淳敏</t>
  </si>
  <si>
    <t>贵州省遵义市红花岗区南关镇商贸城红星美凯龙</t>
  </si>
  <si>
    <t>贵州省遵义市红花岗区南关镇镇隆村八幢一单元502</t>
  </si>
  <si>
    <t>翁敦锐</t>
  </si>
  <si>
    <t>海南省海口市秀英区海南省海口市美兰区国兴大道5号海南大厦裙楼二层</t>
  </si>
  <si>
    <t>海南省海口市秀英区海南省海口市琼山区红城湖延长线滨江华庭一栋a单元1104</t>
  </si>
  <si>
    <t>郭晋伟</t>
  </si>
  <si>
    <t>北京市北京市东城区安定门大街雍和大厦C座808</t>
  </si>
  <si>
    <t>北京市北京市大兴区旧宫镇富华北街13号八号公寓3215</t>
  </si>
  <si>
    <t>王崴</t>
  </si>
  <si>
    <t>河北省承德市平泉县平泉县开发区</t>
  </si>
  <si>
    <t>河北省承德市平泉县平泉县南五十家子镇西南沟村二组067号</t>
  </si>
  <si>
    <t>刘晓东</t>
  </si>
  <si>
    <t>辽宁省葫芦岛市龙港区龙湾大街168号</t>
  </si>
  <si>
    <t>辽宁省葫芦岛市龙港区连湾街道齐安雅居21号楼4单元302</t>
  </si>
  <si>
    <t>杨姿</t>
  </si>
  <si>
    <t>河南省安阳市文峰区商颂大街华强新天地8幢</t>
  </si>
  <si>
    <t>河南省安阳市文峰区杜官屯南二街思贤公寓</t>
  </si>
  <si>
    <t>郑科第</t>
  </si>
  <si>
    <t>福建省漳州市芗城区六鳌镇下寮村</t>
  </si>
  <si>
    <t>福建省漳州市漳浦县六鳌镇元霄街5号</t>
  </si>
  <si>
    <t>李美清</t>
  </si>
  <si>
    <t>广东省中山市火炬开发区</t>
  </si>
  <si>
    <t>湖南省郴州市汝城县大坪镇鲁塘</t>
  </si>
  <si>
    <t>岳保强</t>
  </si>
  <si>
    <t>赵洋</t>
  </si>
  <si>
    <t>吉林省长春市朝阳区红旗街与集安路交汇红城大厦</t>
  </si>
  <si>
    <t>吉林省长春市绿园区飞跃北路777号香江铂朗明珠9栋三单元606</t>
  </si>
  <si>
    <t>马兴群</t>
  </si>
  <si>
    <t>北京市北京市朝阳区双桥于家围加油站东100米</t>
  </si>
  <si>
    <t>北京市北京市通州区群芳四园112</t>
  </si>
  <si>
    <t>李小翠</t>
  </si>
  <si>
    <t>广东省清远市清新县诚信街南1号B幢首层101</t>
  </si>
  <si>
    <t>广东省清远市清新县清新大道26号新雅苑A座501</t>
  </si>
  <si>
    <t>刘丽琴</t>
  </si>
  <si>
    <t>广东省惠州市惠东县石湾镇名巢电商创业园</t>
  </si>
  <si>
    <t>广东省惠州市博罗县石湾镇丽山豪苑A栋1001</t>
  </si>
  <si>
    <t>秦晓波</t>
  </si>
  <si>
    <t>重庆市重庆市涪陵区蔺市镇中华路28号</t>
  </si>
  <si>
    <t>重庆市重庆市涪陵区江东街道大华公寓13栋8/2</t>
  </si>
  <si>
    <t>刘加富</t>
  </si>
  <si>
    <t>四川省成都市温江区永宁镇隆盛街85号</t>
  </si>
  <si>
    <t>陈晓晓</t>
  </si>
  <si>
    <t>张光强</t>
  </si>
  <si>
    <t>广东省汕尾市海丰县叠翠苑西北70米（海银路西）</t>
  </si>
  <si>
    <t>广东省汕尾市海丰县鹅埠镇老龙坑村35号</t>
  </si>
  <si>
    <t>刘兴利</t>
  </si>
  <si>
    <t>江西省南昌市东湖区榕门路45号</t>
  </si>
  <si>
    <t>山东省临沂市郯城县港上镇珩头西村</t>
  </si>
  <si>
    <t>刘俊吉</t>
  </si>
  <si>
    <t>山东省济南市历下区领秀城A区</t>
  </si>
  <si>
    <t>山东省济南市历下区历园新村10号楼一单元603</t>
  </si>
  <si>
    <t>韩冬梅</t>
  </si>
  <si>
    <t>吉林省松原市宁江区长宁南街1313号</t>
  </si>
  <si>
    <t>吉林省松原市前郭尔罗斯蒙古族自治县宜居康郡小区10号楼3单元501室</t>
  </si>
  <si>
    <t>岑举全</t>
  </si>
  <si>
    <t>海南省海口市美兰区海南省海口市定安县黄竹镇三角路包蜜园酒店</t>
  </si>
  <si>
    <t>海南省海口市美兰区海南省海口市定安县国营南海农场第二作业区五队73号</t>
  </si>
  <si>
    <t>黎胜牯</t>
  </si>
  <si>
    <t>黄鼎德</t>
  </si>
  <si>
    <t>广西北海市合浦县广西北海市合浦县廉州镇还珠东路58号</t>
  </si>
  <si>
    <t>广西北海市海城区广西北海市合浦县石湾镇兵岳村委会兵西队51号</t>
  </si>
  <si>
    <t>吴友平</t>
  </si>
  <si>
    <t>张红宾</t>
  </si>
  <si>
    <t>河南省郑州市金水区紫荆山路68号</t>
  </si>
  <si>
    <t>河南省安阳市龙安区马投涧镇潘家安村东街157号</t>
  </si>
  <si>
    <t>蒋玲莉</t>
  </si>
  <si>
    <t>湖南省郴州市北湖区香雪路中泰数码酒店旁</t>
  </si>
  <si>
    <t>湖南省郴州市北湖区南岭大道金穗山庄4栋201室</t>
  </si>
  <si>
    <t>姜文茹</t>
  </si>
  <si>
    <t>山东省青岛市市北区合肥路16号</t>
  </si>
  <si>
    <t>山东省青岛市市南区沧和路18号</t>
  </si>
  <si>
    <t>万明高</t>
  </si>
  <si>
    <t>贵州省遵义市遵义县遵义县万寿南街36号</t>
  </si>
  <si>
    <t>贵州省遵义市红花岗区遵义市红花岗区长征镇河溪路大坪菜市内19栋603室</t>
  </si>
  <si>
    <t>尧远</t>
  </si>
  <si>
    <t>四川省乐山市峨眉山市报国路71号</t>
  </si>
  <si>
    <t>四川省乐山市峨眉山市浅水半岛1栋2单元8号</t>
  </si>
  <si>
    <t>高阳</t>
  </si>
  <si>
    <t>江苏省苏州市昆山市蓬朗镇龙腾路1号</t>
  </si>
  <si>
    <t>江苏省苏州市昆山市蓬曦园C5区196栋三单元405室</t>
  </si>
  <si>
    <t>陈宏辉</t>
  </si>
  <si>
    <t>福建省福州市台江区鳌峰街道鳌江路8号福州金融街万达广场二期A2写字楼23层19单元</t>
  </si>
  <si>
    <t>福建省福州市仓山区建新镇台屿路台屿小区1号楼210室</t>
  </si>
  <si>
    <t>黄建安</t>
  </si>
  <si>
    <t>广东省阳江市江城区城西一村工业大道19号</t>
  </si>
  <si>
    <t>广东省阳江市阳东县金村村委潮塘村十巷21号</t>
  </si>
  <si>
    <t>王少林</t>
  </si>
  <si>
    <t>河北省邯郸市丛台区陵西北大街38号</t>
  </si>
  <si>
    <t>河北省邯郸市复兴区新孟仵村四排11号</t>
  </si>
  <si>
    <t>滕建辉</t>
  </si>
  <si>
    <t>樊豆豆</t>
  </si>
  <si>
    <t>王志岚</t>
  </si>
  <si>
    <t>丁杰</t>
  </si>
  <si>
    <t>甘肃省白银市白银区白银市西部大市场建材城303号</t>
  </si>
  <si>
    <t>甘肃省白银市白银区甘肃省白银市白银区万盛路25幢3单元301室</t>
  </si>
  <si>
    <t>黄民鹏</t>
  </si>
  <si>
    <t>广东省珠海市香洲区三角镇高平工业区锦成西三街</t>
  </si>
  <si>
    <t>广东省珠海市香洲区中山市三角镇高平工业区锦成西三街</t>
  </si>
  <si>
    <t>福建省福州市马尾区琅岐镇新道路408号</t>
  </si>
  <si>
    <t>福建省福州市马尾区琅岐镇金沙乡四区222号</t>
  </si>
  <si>
    <t>金楠欣</t>
  </si>
  <si>
    <t>云南省昆明市宜良县匡远镇李毛营停车场B幢4单元316号</t>
  </si>
  <si>
    <t>云南省昆明市宜良县匡远镇回辉村472号</t>
  </si>
  <si>
    <t>刘锋</t>
  </si>
  <si>
    <t>山西省太原市杏花岭区大东关宜家上东城3号楼501号</t>
  </si>
  <si>
    <t>山西省太原市杏花岭区旱西关北一条22号</t>
  </si>
  <si>
    <t>王冬</t>
  </si>
  <si>
    <t>上海市上海市浦东新区东方路738号裕安大厦28楼</t>
  </si>
  <si>
    <t>河南省郑州市管城回族区石化路美景天城61号楼一单元101</t>
  </si>
  <si>
    <t>沈琼莹</t>
  </si>
  <si>
    <t>周盈秀</t>
  </si>
  <si>
    <t>陈勇</t>
  </si>
  <si>
    <t>谭燕</t>
  </si>
  <si>
    <t>湖南省湘潭市岳塘区城建技术职业学院对面江家组</t>
  </si>
  <si>
    <t>湖南省湘潭市岳塘区湖南省湘潭市岳塘区建设南路霞光村14栋一单元402</t>
  </si>
  <si>
    <t>邓明荣</t>
  </si>
  <si>
    <t>欧真妹</t>
  </si>
  <si>
    <t>广西玉林市玉州区一环东路48号</t>
  </si>
  <si>
    <t>广西玉林市玉州区金都家园二栋二单元302号</t>
  </si>
  <si>
    <t>麦浩伟</t>
  </si>
  <si>
    <t>广东省佛山市南海区大沥镇旧凤池材料装饰市场</t>
  </si>
  <si>
    <t>广东省佛山市南海区大沥镇兴隆街兴隆大厦</t>
  </si>
  <si>
    <t>张明明</t>
  </si>
  <si>
    <t>河南省许昌市鄢陵县安陵镇鄢望路中段575号</t>
  </si>
  <si>
    <t>河南省许昌市鄢陵县安陵镇建润未来城3号楼1单元501</t>
  </si>
  <si>
    <t>李元庆</t>
  </si>
  <si>
    <t>浙江省金华市婺城区丹溪北路718号719室</t>
  </si>
  <si>
    <t>浙江省金华市义乌市稠江街道三鼎制造9号楼207</t>
  </si>
  <si>
    <t>王世喜</t>
  </si>
  <si>
    <t>浙江省金华市义乌市北苑街道柳青七区12栋一单元</t>
  </si>
  <si>
    <t>浙江省金华市义乌市北苑街道柳青七区8栋301</t>
  </si>
  <si>
    <t>韩召</t>
  </si>
  <si>
    <t>包金</t>
  </si>
  <si>
    <t>潘广奇</t>
  </si>
  <si>
    <t>山东省潍坊市寿光市英雄路万达仓储中心</t>
  </si>
  <si>
    <t>山东省潍坊市寿光市领世郡3号楼1单元302</t>
  </si>
  <si>
    <t>于柳</t>
  </si>
  <si>
    <t>浙江省台州市玉环县芦浦璇门经济开发区</t>
  </si>
  <si>
    <t>浙江省台州市椒江区瑜汇小区36栋3单元202</t>
  </si>
  <si>
    <t>苏红昆</t>
  </si>
  <si>
    <t>云南省曲靖市麒麟区建宁街道交通路高快客运站旁</t>
  </si>
  <si>
    <t>云南省曲靖市麒麟区建宁街道交通路姜家巷88号</t>
  </si>
  <si>
    <t>何思芃</t>
  </si>
  <si>
    <t>浙江省嘉兴市海盐县秦山镇核电工业园区</t>
  </si>
  <si>
    <t>浙江省嘉兴市海盐县枫叶二区84栋312</t>
  </si>
  <si>
    <t>罗兴平</t>
  </si>
  <si>
    <t>福建省南平市延平区广宇新城2号楼203室</t>
  </si>
  <si>
    <t>福建省南平市延平区玉屏东路13号颐和苑3号楼3B室</t>
  </si>
  <si>
    <t>段文逸</t>
  </si>
  <si>
    <t>广东省深圳市盐田区北山工业区3栋6楼</t>
  </si>
  <si>
    <t>广东省深圳市龙岗区横岗西坑社区梧岗路24号盐田港公寓1305</t>
  </si>
  <si>
    <t>朱广东</t>
  </si>
  <si>
    <t>河南省许昌市长葛市建设路北段宇龙商场1号楼1单元501</t>
  </si>
  <si>
    <t>河南省许昌市长葛市建设路南段计生委家属院1号楼3单元302</t>
  </si>
  <si>
    <t>马国腾</t>
  </si>
  <si>
    <t>陈铭</t>
  </si>
  <si>
    <t>广东省韶关市浈江区车站街道8号路韶关铁路医院</t>
  </si>
  <si>
    <t>广东省韶关市乐昌市梅花镇沿溪路22号</t>
  </si>
  <si>
    <t>张锋华</t>
  </si>
  <si>
    <t>湖北省宜昌市夷陵区小溪塔街办夷兴大道188号</t>
  </si>
  <si>
    <t>湖北省宜昌市夷陵区小溪塔街办罗河路二巷8号</t>
  </si>
  <si>
    <t>黄人杰</t>
  </si>
  <si>
    <t>高飞</t>
  </si>
  <si>
    <t>江苏省扬州市邗江区司徒庙路518号</t>
  </si>
  <si>
    <t>江苏省扬州市邗江区瓜洲镇华盛苑小区小区7栋304室</t>
  </si>
  <si>
    <t>章强波</t>
  </si>
  <si>
    <t>上海市上海市松江区张泽镇新建路68号</t>
  </si>
  <si>
    <t>上海市上海市松江区张泽镇春阳幼儿园</t>
  </si>
  <si>
    <t>袁鑫</t>
  </si>
  <si>
    <t>浙江省杭州市江干区下沙街道七格社区沿街商业营业房c幢2单元109</t>
  </si>
  <si>
    <t>浙江省杭州市江干区九堡香滨湾花园7幢2单元1001室</t>
  </si>
  <si>
    <t>岳崇庆</t>
  </si>
  <si>
    <t>江苏省苏州市昆山市江苏省苏州市昆山市张浦镇震阳569号</t>
  </si>
  <si>
    <t>江苏省苏州市昆山市江苏省苏州市昆山市张浦镇横田村64号</t>
  </si>
  <si>
    <t>顾嘉鑫</t>
  </si>
  <si>
    <t>吉林省长春市南关区辽宁路789号</t>
  </si>
  <si>
    <t>吉林省长春市南关区牡丹街与隆礼路交汇</t>
  </si>
  <si>
    <t>宫小龙</t>
  </si>
  <si>
    <t>山东省烟台市芝罘区奇山南街6号</t>
  </si>
  <si>
    <t>山东省烟台市芝罘区奇山路11-2</t>
  </si>
  <si>
    <t>郝国治</t>
  </si>
  <si>
    <t>李叶</t>
  </si>
  <si>
    <t>刘范</t>
  </si>
  <si>
    <t>河南省南阳市内乡县马山口镇范岗村薛趴组牧原6场</t>
  </si>
  <si>
    <t>河南省南阳市内乡县马山口镇大寨村中心北1号</t>
  </si>
  <si>
    <t>王宇锋</t>
  </si>
  <si>
    <t>陕西省西安市未央区开元南路明园小区15-1-1802</t>
  </si>
  <si>
    <t>陕西省西安市未央区开元南路明园小区15-1-1801</t>
  </si>
  <si>
    <t>温陈贵</t>
  </si>
  <si>
    <t>广东省揭阳市普宁市流沙大道30号</t>
  </si>
  <si>
    <t>广东省揭阳市普宁市高埔镇高营居委2836号</t>
  </si>
  <si>
    <t>张召梅</t>
  </si>
  <si>
    <t>文道兴</t>
  </si>
  <si>
    <t>蒋智臣</t>
  </si>
  <si>
    <t>山西省临汾市侯马市建工路五一路派出所对面</t>
  </si>
  <si>
    <t>山西省临汾市侯马市新田路南四巷81号一建南区8号楼3单元2号</t>
  </si>
  <si>
    <t>梁其麟</t>
  </si>
  <si>
    <t>海南省海口市琼山区凤翔东路绿色家园1-14号商铺</t>
  </si>
  <si>
    <t>海南省海口市美兰区群芳花园B栋1008室</t>
  </si>
  <si>
    <t>高思雨</t>
  </si>
  <si>
    <t>北京市北京市朝阳区北京朝阳区孙河52号院集7A座</t>
  </si>
  <si>
    <t>北京市北京市朝阳区北京市朝阳区平房乡姚家园西里五号院五号楼六单元501</t>
  </si>
  <si>
    <t>王譞宇</t>
  </si>
  <si>
    <t>广东省广州市从化市从化区环市东路728号</t>
  </si>
  <si>
    <t>广东省广州市从化市环市东路166号2栋732</t>
  </si>
  <si>
    <t>侯亚琴</t>
  </si>
  <si>
    <t>甘肃省武威市凉州区融城华府南门冰沟河景区营销中心</t>
  </si>
  <si>
    <t>甘肃省武威市凉州区文庙路口怡宁家园街面楼二单元602室</t>
  </si>
  <si>
    <t>陈玮涛</t>
  </si>
  <si>
    <t>丁泽兵</t>
  </si>
  <si>
    <t>江苏省苏州市昆山市周市镇金浦路365号</t>
  </si>
  <si>
    <t>江苏省苏州市昆山市周市镇秀水雅苑10栋1704室</t>
  </si>
  <si>
    <t>李英</t>
  </si>
  <si>
    <t>广东省广州市南沙区黄阁镇黄阁一路一号</t>
  </si>
  <si>
    <t>广东省广州市白云区乐居街与白云大道北交叉口新兴白云花园五栋一单元301室</t>
  </si>
  <si>
    <t>邹孟隆</t>
  </si>
  <si>
    <t>陈军军</t>
  </si>
  <si>
    <t>曾艺</t>
  </si>
  <si>
    <t>重庆市重庆市沙坪坝区天陈路12号</t>
  </si>
  <si>
    <t>重庆市重庆市沙坪坝区渝碚路119号附2号</t>
  </si>
  <si>
    <t>邵健</t>
  </si>
  <si>
    <t>江苏省苏州市昆山市石浦镇季广北路128号</t>
  </si>
  <si>
    <t>江苏省苏州市昆山市千灯镇裕花园29栋2403号</t>
  </si>
  <si>
    <t>厚引兄</t>
  </si>
  <si>
    <t>甘肃省平凉市静宁县北二环路113号</t>
  </si>
  <si>
    <t>甘肃省平凉市静宁县西拓德美润园</t>
  </si>
  <si>
    <t>胡文康</t>
  </si>
  <si>
    <t>山东省潍坊市诸城市诸城市兴华路6577</t>
  </si>
  <si>
    <t>山东省潍坊市诸城市华都富林2号楼4单元1501</t>
  </si>
  <si>
    <t>何赵忠</t>
  </si>
  <si>
    <t>福建省南平市武夷山市武夷山市兴田镇湖山路135号</t>
  </si>
  <si>
    <t>福建省南平市武夷山市武夷山市兴田镇枫坡村新建街12号</t>
  </si>
  <si>
    <t>邓浩然</t>
  </si>
  <si>
    <t>广东省广州市白云区蚌湖市场旁</t>
  </si>
  <si>
    <t>广东省广州市白云区蚌湖市场阳光网吧楼上405</t>
  </si>
  <si>
    <t>侯峰</t>
  </si>
  <si>
    <t>江苏省苏州市昆山市出口加工区第三大道25号</t>
  </si>
  <si>
    <t>江苏省苏州市昆山市中华园东村5栋</t>
  </si>
  <si>
    <t>刘鹏</t>
  </si>
  <si>
    <t>湖南省长沙市宁乡县绿曼山咖啡厅</t>
  </si>
  <si>
    <t>湖南省长沙市宁乡县玉潭镇八一东路288号二楼</t>
  </si>
  <si>
    <t>盛景发</t>
  </si>
  <si>
    <t>汤永安</t>
  </si>
  <si>
    <t>江苏省苏州市吴中区苏州市吴中区东山工业园凤凰山路8号</t>
  </si>
  <si>
    <t>江苏省苏州市姑苏区木渎镇金运花园8栋三单元302室</t>
  </si>
  <si>
    <t>陈灿宇</t>
  </si>
  <si>
    <t>王吹香</t>
  </si>
  <si>
    <t>广东省深圳市龙岗区坪山新区比亚迪路3009号六角大楼</t>
  </si>
  <si>
    <t>云南省德宏傣族景颇族自治州芒市中山乡赛岗村民委员会波戈寨村民小组</t>
  </si>
  <si>
    <t>刘胡欢</t>
  </si>
  <si>
    <t>浙江省温州市瑞安市瑞安市塘下镇银岙村</t>
  </si>
  <si>
    <t>浙江省温州市瑞安市瑞安市塘下镇下林村罗山路27号</t>
  </si>
  <si>
    <t>马震杰</t>
  </si>
  <si>
    <t>江苏省无锡市锡山区鹅湖镇甘东路7号</t>
  </si>
  <si>
    <t>江苏省无锡市锡山区鹅湖镇甘露燕水庄村后仓38号</t>
  </si>
  <si>
    <t>蔡石麟</t>
  </si>
  <si>
    <t>安徽省合肥市瑶海区长江东大街华润紫云府</t>
  </si>
  <si>
    <t>安徽省安庆市望江县华阳镇新西社区中心组</t>
  </si>
  <si>
    <t>戚亚会</t>
  </si>
  <si>
    <t>河南省安阳市龙安区制度村二排二号</t>
  </si>
  <si>
    <t>河南省安阳市龙安区东风乡吴家庄6排3号</t>
  </si>
  <si>
    <t>冯亮</t>
  </si>
  <si>
    <t>苏成辉</t>
  </si>
  <si>
    <t>福建省莆田市仙游县枫亭镇东宅村往糖厂三岔路口</t>
  </si>
  <si>
    <t>福建省莆田市仙游县枫亭镇东宅村上埕7号</t>
  </si>
  <si>
    <t>吴锐旋</t>
  </si>
  <si>
    <t>广东省汕头市龙湖区珠津工业区</t>
  </si>
  <si>
    <t>广东省汕头市龙湖区陈厝合金和五巷</t>
  </si>
  <si>
    <t>赵坷</t>
  </si>
  <si>
    <t>河南省许昌市魏都区天宝路与西外环交叉口北150米</t>
  </si>
  <si>
    <t>河南省许昌市魏都区学府街三里桥社区</t>
  </si>
  <si>
    <t>张松</t>
  </si>
  <si>
    <t>姜雷</t>
  </si>
  <si>
    <t>山东省济南市章丘市经济开发区滨湖路7716号</t>
  </si>
  <si>
    <t>山东省济南市历城区孙村镇刘官庄142号</t>
  </si>
  <si>
    <t>徐修正</t>
  </si>
  <si>
    <t>江苏省连云港市连云区徐圩新区港前大道大道</t>
  </si>
  <si>
    <t>江苏省连云港市连云区云山街道老君堂村二组66号</t>
  </si>
  <si>
    <t>邱晶晶</t>
  </si>
  <si>
    <t>广东省广州市白云区广州市白云区嘉和望岗君天大厦</t>
  </si>
  <si>
    <t>广东省广州市白云区广州市白云区嘉和望岗松盛里5巷5号</t>
  </si>
  <si>
    <t>潘进昆</t>
  </si>
  <si>
    <t>四川省成都市成华区二环路北四段2号5栋1-3楼</t>
  </si>
  <si>
    <t>四川省成都市青羊区同盛路50号</t>
  </si>
  <si>
    <t>潘学露</t>
  </si>
  <si>
    <t>蒋时涛</t>
  </si>
  <si>
    <t>江苏省无锡市崇安区凤宾路100号联东U谷39栋1126</t>
  </si>
  <si>
    <t>江苏省无锡市惠山区钱桥街道新藕苑51号602</t>
  </si>
  <si>
    <t>史春华</t>
  </si>
  <si>
    <t>江苏省苏州市昆山市锦溪镇正葳路2号</t>
  </si>
  <si>
    <t>司增永</t>
  </si>
  <si>
    <t>肖惠贤</t>
  </si>
  <si>
    <t>广东省湛江市霞山区海滨大道南</t>
  </si>
  <si>
    <t>广东省湛江市麻章区太平镇肖渔村13号302</t>
  </si>
  <si>
    <t>董岭</t>
  </si>
  <si>
    <t>江苏省苏州市昆山市玉山镇伟业路8号现代广场B座2316室</t>
  </si>
  <si>
    <t>江苏省苏州市昆山市玉山镇枫景苑B区66栋506室</t>
  </si>
  <si>
    <t>郑莉莉</t>
  </si>
  <si>
    <t>福建省泉州市丰泽区田安路明鑫花苑5栋305</t>
  </si>
  <si>
    <t>福建省泉州市鲤城区浮桥新步社区金色外滩18栋1501</t>
  </si>
  <si>
    <t>曹晓东</t>
  </si>
  <si>
    <t>山西省长治市城区北外环赵凹村铁道口裕警苑北门</t>
  </si>
  <si>
    <t>山西省长治市长子县东大街泊里村108号</t>
  </si>
  <si>
    <t>陶承文</t>
  </si>
  <si>
    <t>重庆市重庆市黔江区舟白街道武陵商贸城696号</t>
  </si>
  <si>
    <t>重庆市重庆市黔江区城东街道长征北路614号</t>
  </si>
  <si>
    <t>侯金</t>
  </si>
  <si>
    <t>辽宁省沈阳市大东区大东区德增街212</t>
  </si>
  <si>
    <t>辽宁省沈阳市沈河区先农坛路7号1-5-7</t>
  </si>
  <si>
    <t>刘亚军</t>
  </si>
  <si>
    <t>郭志朋</t>
  </si>
  <si>
    <t>辽宁省朝阳市龙城区七道泉子镇北村锦赤线希波集团公交站台</t>
  </si>
  <si>
    <t>辽宁省朝阳市龙城区云水路部队大院二期四十一号楼二单元六零一</t>
  </si>
  <si>
    <t>周华</t>
  </si>
  <si>
    <t>江苏省盐城市建湖县明珠东路178号</t>
  </si>
  <si>
    <t>江苏省盐城市建湖县近湖镇太平村后舍组6号</t>
  </si>
  <si>
    <t>朱军</t>
  </si>
  <si>
    <t>江苏省苏州市虎丘区长江路663号</t>
  </si>
  <si>
    <t>江苏省苏州市相城区织锦路华润城立方北区121201</t>
  </si>
  <si>
    <t>金峰</t>
  </si>
  <si>
    <t>辽宁省大连市金州区淮河西路95号</t>
  </si>
  <si>
    <t>辽宁省大连市金州区湾里街民生园小区8栋1单元304号</t>
  </si>
  <si>
    <t>巢洪</t>
  </si>
  <si>
    <t>江苏省常州市新北区孟河孟河大道103</t>
  </si>
  <si>
    <t>江苏省常州市天宁区孟河镇富民花园二区38甲302</t>
  </si>
  <si>
    <t>许昊</t>
  </si>
  <si>
    <t>湖南省株洲市天元区湖南省株洲市天元区株洲大道898号高科总部壹号</t>
  </si>
  <si>
    <t>湖南省株洲市荷塘区海天盛景园5栋517</t>
  </si>
  <si>
    <t>孙博维</t>
  </si>
  <si>
    <t>吉林省长春市朝阳区朝阳区同志街2400号火炬大厦1505</t>
  </si>
  <si>
    <t>吉林省长春市绿园区皓月大路3318D电校小区4栋1单元102</t>
  </si>
  <si>
    <t>杨和平</t>
  </si>
  <si>
    <t>湖南省湘西土家族苗族自治州花垣县花垣县建设西路332号</t>
  </si>
  <si>
    <t>湖南省湘西土家族苗族自治州花垣县边城镇猫儿塘村二组</t>
  </si>
  <si>
    <t>位千千</t>
  </si>
  <si>
    <t>江苏省常州市武进区横林镇孟墅路8号</t>
  </si>
  <si>
    <t>河南省郑州市巩义市回郭镇干沟村外顶43号</t>
  </si>
  <si>
    <t>张林</t>
  </si>
  <si>
    <t>吴东炫</t>
  </si>
  <si>
    <t>广东省梅州市梅江区江南路107号</t>
  </si>
  <si>
    <t>广东省梅州市梅江区西阳镇白宫江子上村花树下10号</t>
  </si>
  <si>
    <t>周小康</t>
  </si>
  <si>
    <t>王前波</t>
  </si>
  <si>
    <t>贵州省遵义市正安县贵州省正安县瑞溪镇柏坝村汪家坪白果树</t>
  </si>
  <si>
    <t>贵州省遵义市正安县贵州省正安县瑞溪镇柏坝村汪家坪组</t>
  </si>
  <si>
    <t>戴秋华</t>
  </si>
  <si>
    <t>广东省深圳市龙岗区深圳市龙岗区中心城18小区荔枝园</t>
  </si>
  <si>
    <t>广东省深圳市龙岗区格水一巷2号</t>
  </si>
  <si>
    <t>王楠铭</t>
  </si>
  <si>
    <t>黎建</t>
  </si>
  <si>
    <t>贵州省贵阳市云岩区改茶路159号</t>
  </si>
  <si>
    <t>贵州省黔南布依族苗族自治州独山县独山县城关镇中华北路吉安东巷25号</t>
  </si>
  <si>
    <t>孙玉超</t>
  </si>
  <si>
    <t>山东省聊城市东昌府区柳园北路莲湖花园新绿康水果市场西二号厂房</t>
  </si>
  <si>
    <t>山东省聊城市茌平县冯官屯镇王刘村008号</t>
  </si>
  <si>
    <t>湖北省十堰市茅箭区大连路15号</t>
  </si>
  <si>
    <t>湖北省十堰市茅箭区车城南路22号2单元602</t>
  </si>
  <si>
    <t>周勇军</t>
  </si>
  <si>
    <t>湖南省长沙市雨花区德思勤广场A-2地块7-6004</t>
  </si>
  <si>
    <t>湖南省岳阳市岳阳楼区湘北大道畔湖湾社区丙区十一排六栋101室</t>
  </si>
  <si>
    <t>王少华</t>
  </si>
  <si>
    <t>许炳炳</t>
  </si>
  <si>
    <t>浙江省杭州市萧山区瓜沥镇沙田头村瓜港一路</t>
  </si>
  <si>
    <t>浙江省杭州市萧山区瓜沥镇进化小区20号</t>
  </si>
  <si>
    <t>黎若伊</t>
  </si>
  <si>
    <t>广西防城港市港口区思阳镇明哲村21号</t>
  </si>
  <si>
    <t>广西防城港市上思县龙江半岛状元里b栋302</t>
  </si>
  <si>
    <t>任姣姣</t>
  </si>
  <si>
    <t>辽宁省沈阳市法库县法库县秀水河子镇</t>
  </si>
  <si>
    <t>任世欢</t>
  </si>
  <si>
    <t>河南省洛阳市洛龙区延光路8号</t>
  </si>
  <si>
    <t>河南省洛阳市洛龙区太康东路怡心苑一号楼一单元1501</t>
  </si>
  <si>
    <t>陈伟佳</t>
  </si>
  <si>
    <t>广东省深圳市福田区福华路京海花园21H</t>
  </si>
  <si>
    <t>广东省深圳市罗湖区福星路牛巷70号602</t>
  </si>
  <si>
    <t>郭汉京</t>
  </si>
  <si>
    <t>河北省邯郸市丛台区丛台金世纪商务大厦2108</t>
  </si>
  <si>
    <t>河北省邯郸市魏县魏县大辛庄乡西郭村054号</t>
  </si>
  <si>
    <t>王辉</t>
  </si>
  <si>
    <t>甘肃省平凉市崆峒区北后街北极小区2号楼下</t>
  </si>
  <si>
    <t>甘肃省平凉市华亭县东华镇仪洲大道砚峡新村31号</t>
  </si>
  <si>
    <t>史文静</t>
  </si>
  <si>
    <t>刘清</t>
  </si>
  <si>
    <t>尹微</t>
  </si>
  <si>
    <t>张英</t>
  </si>
  <si>
    <t>四川省成都市青羊区蜀辉路15号</t>
  </si>
  <si>
    <t>四川省成都市青羊区石人南路85号1栋2单元35号</t>
  </si>
  <si>
    <t>刘可童</t>
  </si>
  <si>
    <t>河北省石家庄市长安区方北大厦B座906</t>
  </si>
  <si>
    <t>河北石家庄市长安区</t>
  </si>
  <si>
    <t>张成霜</t>
  </si>
  <si>
    <t>辽宁省营口市站前区渤海大街东108号</t>
  </si>
  <si>
    <t>辽宁省营口市站前区海河路水岸壹品21-3-502</t>
  </si>
  <si>
    <t>李国耀</t>
  </si>
  <si>
    <t>四川省巴中市平昌县新平街东段星光工业园14号</t>
  </si>
  <si>
    <t>四川省巴中市平昌县江口镇新平街东段两江国际a栋7-5</t>
  </si>
  <si>
    <t>邱宗翔</t>
  </si>
  <si>
    <t>福建省厦门市湖里区枋湖北二路汇鑫财富中心502</t>
  </si>
  <si>
    <t>福建省厦门市思明区同集南路中铁海新大厦701</t>
  </si>
  <si>
    <t>杨林勇</t>
  </si>
  <si>
    <t>湖南省怀化市溆浦县溆浦县城南防洪大堤桔颂路12号</t>
  </si>
  <si>
    <t>湖南省怀化市溆浦县溆浦县雅华楼小区2幢4单元602室</t>
  </si>
  <si>
    <t>刘创新</t>
  </si>
  <si>
    <t>广东省惠州市惠城区四角楼八号工业区6号</t>
  </si>
  <si>
    <t>广东省惠州市惠城区四角楼金河湾花园2栋1508</t>
  </si>
  <si>
    <t>魏东翔</t>
  </si>
  <si>
    <t>河南省洛阳市洛龙区政和路长兴街交叉口世府名邸三楼</t>
  </si>
  <si>
    <t>河南省洛阳市涧西区涧西区唐村</t>
  </si>
  <si>
    <t>王艺璋</t>
  </si>
  <si>
    <t>江苏省连云港市赣榆县青口镇新庄村和安路</t>
  </si>
  <si>
    <t>江苏省连云港市赣榆县青口镇新庄村和安路5号</t>
  </si>
  <si>
    <t>赵博</t>
  </si>
  <si>
    <t>河北省唐山市路北区兴源道139号，中国移动大厦院内</t>
  </si>
  <si>
    <t>河北省唐山市路北区韩城镇左岸公园小区104楼3单元202</t>
  </si>
  <si>
    <t>韩国成</t>
  </si>
  <si>
    <t>安徽省亳州市谯城区南部新区康美中药城南2门</t>
  </si>
  <si>
    <t>安徽省亳州市谯城区菊花佳苑六栋一单元802</t>
  </si>
  <si>
    <t>刘启峰</t>
  </si>
  <si>
    <t>孙春明</t>
  </si>
  <si>
    <t>天津市天津市滨海新区滨海新区茶店街九方块菜市场肉区八号</t>
  </si>
  <si>
    <t>天津市天津市滨海新区滨海新区茶店街崔庄八街十一号</t>
  </si>
  <si>
    <t>庄益波</t>
  </si>
  <si>
    <t>河南省洛阳市涧西区11号街坊117号201</t>
  </si>
  <si>
    <t>河南省洛阳市西工区道南路衡达地标1单元2409</t>
  </si>
  <si>
    <t>宇清文</t>
  </si>
  <si>
    <t>北京市北京市朝阳区左家庄北里5号楼1109室</t>
  </si>
  <si>
    <t>北京市北京市朝阳区柳芳南路小区六号楼五单元104室</t>
  </si>
  <si>
    <t>桂民</t>
  </si>
  <si>
    <t>贵州省黔西南布依族苗族自治州兴义市市府南路阳光小区对面2层</t>
  </si>
  <si>
    <t>贵州省黔西南布依族苗族自治州兴仁县朝顺城市花园</t>
  </si>
  <si>
    <t>徐元波</t>
  </si>
  <si>
    <t>贵州省黔西南布依族苗族自治州兴义市兴义市坪东街道万和大地商场一楼</t>
  </si>
  <si>
    <t>贵州省黔西南布依族苗族自治州兴仁县兴仁县雨樟镇交乐村下扯扎组10号</t>
  </si>
  <si>
    <t>张廷信</t>
  </si>
  <si>
    <t>辽宁省大连市瓦房店市岗店办事处太阳沟村</t>
  </si>
  <si>
    <t>五一路二段305号</t>
  </si>
  <si>
    <t>海金鹏</t>
  </si>
  <si>
    <t>宁夏石嘴山市惠农区红果子工业区老四中加油站对面</t>
  </si>
  <si>
    <t>宁夏银川市兴庆区月牙湖滨河家园四村33号</t>
  </si>
  <si>
    <t>杨帆</t>
  </si>
  <si>
    <t>江苏省淮安市清河区经济开发区深圳路28号35室</t>
  </si>
  <si>
    <t>江苏省淮安市清浦区长西街道上海路海神庙永宁巷58号</t>
  </si>
  <si>
    <t>刘河林</t>
  </si>
  <si>
    <t>浙江省杭州市桐庐县环城南路88号</t>
  </si>
  <si>
    <t>浙江省杭州市桐庐县城南街道马家村15栋304</t>
  </si>
  <si>
    <t>张荣耀</t>
  </si>
  <si>
    <t>广东省惠州市惠阳区大亚湾荷茶光新二街1号</t>
  </si>
  <si>
    <t>广东省惠州市惠阳区湖北省天门市九真镇九真街</t>
  </si>
  <si>
    <t>范文浩</t>
  </si>
  <si>
    <t>李灵洋</t>
  </si>
  <si>
    <t>福建省漳州市漳浦县千秋楼东68号</t>
  </si>
  <si>
    <t>福建省漳州市漳浦县深土镇东吴村东吴109号</t>
  </si>
  <si>
    <t>高琳</t>
  </si>
  <si>
    <t>黑龙江省鸡西市鸡冠区中心大街中心塔门市</t>
  </si>
  <si>
    <t>黑龙江省鸡西市鸡冠区富强路富强小区二号楼五单元601</t>
  </si>
  <si>
    <t>毛俊锋</t>
  </si>
  <si>
    <t>窦贤彬</t>
  </si>
  <si>
    <t>安徽省合肥市蜀山区蔚蓝商务港1317室</t>
  </si>
  <si>
    <t>安徽省马鞍山市含山县西苑小区6号楼602室</t>
  </si>
  <si>
    <t>谢桂蓉</t>
  </si>
  <si>
    <t>王立</t>
  </si>
  <si>
    <t>陕西省西安市未央区三桥建材市场c区12排15号</t>
  </si>
  <si>
    <t>陕西省西安市碑林区草场坡翡翠明珠3号楼2单元1903室</t>
  </si>
  <si>
    <t>平贵</t>
  </si>
  <si>
    <t>江海超</t>
  </si>
  <si>
    <t>广东省中山市横栏镇永丰工业区永谊2号</t>
  </si>
  <si>
    <t>梁文俊</t>
  </si>
  <si>
    <t>广东省惠州市惠城区仲恺高新区德赛小区15号</t>
  </si>
  <si>
    <t>广东省惠州市惠城区仲恺高新区上坑村10号</t>
  </si>
  <si>
    <t>林鑫</t>
  </si>
  <si>
    <t>浙江省杭州市江干区下沙20号大街658号</t>
  </si>
  <si>
    <t>浙江省杭州市江干区下沙6号大街842号</t>
  </si>
  <si>
    <t>徐聪慧</t>
  </si>
  <si>
    <t>安徽省阜阳市颍上县管仲大道656号</t>
  </si>
  <si>
    <t>安徽省阜阳市颍上县垂岗乡陶大郢村</t>
  </si>
  <si>
    <t>曾涛</t>
  </si>
  <si>
    <t>广东省深圳市龙岗区坪地街道香元排路1-2</t>
  </si>
  <si>
    <t>广东省深圳市龙岗区坪地街道泥坡小区41号3楼301</t>
  </si>
  <si>
    <t>焦正</t>
  </si>
  <si>
    <t>湖南省岳阳市华容县马鞍山路119号</t>
  </si>
  <si>
    <t>湖南省岳阳市华容县二桥东路128号</t>
  </si>
  <si>
    <t>陈光荣</t>
  </si>
  <si>
    <t>浙江省宁波市海曙区解放南路19-1号2-1-111室</t>
  </si>
  <si>
    <t>浙江省宁波市北仑区滨海锦苑10幢5单元309</t>
  </si>
  <si>
    <t>胡帅锋</t>
  </si>
  <si>
    <t>陈珊</t>
  </si>
  <si>
    <t>武真</t>
  </si>
  <si>
    <t>湖北省襄阳市樊城区松鹤路与卧龙大道交汇处向东100米</t>
  </si>
  <si>
    <t>湖北省襄阳市襄城区古驿镇高王庄村3组</t>
  </si>
  <si>
    <t>覃凤鸣</t>
  </si>
  <si>
    <t>北京市北京市顺义区空港经济开发区B区安庆大街9号巨鸿大厦A座5层</t>
  </si>
  <si>
    <t>湖北省恩施土家族苗族自治州来凤县三胡乡讨火村五组</t>
  </si>
  <si>
    <t>褚宏伟</t>
  </si>
  <si>
    <t xml:space="preserve">北京市北京市朝阳区北京市朝阳区朝阳门外大街18号丰联广场916室 </t>
  </si>
  <si>
    <t>甘肃省平凉市崆峒区工商街27号1单元314室</t>
  </si>
  <si>
    <t>章海清</t>
  </si>
  <si>
    <t>张力</t>
  </si>
  <si>
    <t>湖南省郴州市宜章县瑶岗仙镇和平路55号</t>
  </si>
  <si>
    <t>湖南省郴州市宜章县瑶岗仙镇矿本部26栋1号</t>
  </si>
  <si>
    <t>徐强</t>
  </si>
  <si>
    <t>辽宁省沈阳市东陵区东陵区桃仙镇桃仙机场</t>
  </si>
  <si>
    <t>辽宁省沈阳市沈河区沈河区东陵路10巷蓝天花苑7号楼2-5-3</t>
  </si>
  <si>
    <t>文林</t>
  </si>
  <si>
    <t>李乃军</t>
  </si>
  <si>
    <t>广西北海市合浦县迎宾大道138号</t>
  </si>
  <si>
    <t>广西北海市合浦县东山路玫瑰世家</t>
  </si>
  <si>
    <t>李飞</t>
  </si>
  <si>
    <t>重庆市重庆市沙坪坝区重庆市沙坪坝区歌乐山保育路109号</t>
  </si>
  <si>
    <t>重庆市重庆市沙坪坝区歌乐山保育路172号</t>
  </si>
  <si>
    <t>常亮</t>
  </si>
  <si>
    <t>辽宁省朝阳市龙城区黄河路二段105号</t>
  </si>
  <si>
    <t>辽宁省朝阳市双塔区凌河街水岸华城28号楼三单元201室</t>
  </si>
  <si>
    <t>明振</t>
  </si>
  <si>
    <t>山东省潍坊市高密市长丰街途家客房院内</t>
  </si>
  <si>
    <t>山东省潍坊市高密市阚家镇阚西村</t>
  </si>
  <si>
    <t>郭广智</t>
  </si>
  <si>
    <t>黑龙江省哈尔滨市香坊区公滨路43号</t>
  </si>
  <si>
    <t>黑龙江省哈尔滨市香坊区通站街29号珑瑞小区3号楼2单元501室</t>
  </si>
  <si>
    <t>潘岳</t>
  </si>
  <si>
    <t>山东省临沂市兰山区新桥镇西蒋村33号</t>
  </si>
  <si>
    <t>山东省临沂市兰山区方城镇西方城村二组16号</t>
  </si>
  <si>
    <t>周恒</t>
  </si>
  <si>
    <t>广东省梅州市梅县大新盘古花园1座A5栋2号</t>
  </si>
  <si>
    <t>广东省梅州市梅县梅江区环市北路中村城北中学附近</t>
  </si>
  <si>
    <t>刘成龙</t>
  </si>
  <si>
    <t>山东省潍坊市安丘市兴安街道向阳路145号</t>
  </si>
  <si>
    <t>山东省潍坊市高密市阚家镇西姜戈庄</t>
  </si>
  <si>
    <t>徐拓</t>
  </si>
  <si>
    <t>辽宁省沈阳市沈北新区辉山经济开发区辉山大街131号</t>
  </si>
  <si>
    <t>辽宁省锦州市古塔区解放东路风情西班牙19-139号</t>
  </si>
  <si>
    <t>苏龙意</t>
  </si>
  <si>
    <t>广东省惠州市惠东县望楼村</t>
  </si>
  <si>
    <t>广东省惠州市惠东县巽寮渔业村</t>
  </si>
  <si>
    <t>于佳路</t>
  </si>
  <si>
    <t>河北省衡水市深州市顺兴大街166号</t>
  </si>
  <si>
    <t>河北省衡水市深州市兵曹乡普乐村87号</t>
  </si>
  <si>
    <t>黄谦仪</t>
  </si>
  <si>
    <t>福建省泉州市丰泽区群星广场3栋2号</t>
  </si>
  <si>
    <t>福建省泉州市鲤城区礼让巷19号</t>
  </si>
  <si>
    <t>曹政</t>
  </si>
  <si>
    <t>温小强</t>
  </si>
  <si>
    <t>甘肃省平凉市崆峒区柳湖东路温师大盘鸡</t>
  </si>
  <si>
    <t>甘肃省平凉市崆峒区飞龙花园1号楼2单元602</t>
  </si>
  <si>
    <t>薛红英</t>
  </si>
  <si>
    <t>雷威</t>
  </si>
  <si>
    <t>湖南省衡阳市珠晖区白沙洲工业园高公塘路</t>
  </si>
  <si>
    <t>湖南省衡阳市常宁市五里牌湘南市场二期10栋6楼</t>
  </si>
  <si>
    <t>程昌伟</t>
  </si>
  <si>
    <t>梅伟华</t>
  </si>
  <si>
    <t>湖北省武汉市武昌区珞珈山街武汉大学南三区26栋一门302</t>
  </si>
  <si>
    <t>湖北省武汉市武昌区珞珈山街武汉大学新闻传播学院</t>
  </si>
  <si>
    <t>王心迪</t>
  </si>
  <si>
    <t>吉林省长春市南关区重庆路420号</t>
  </si>
  <si>
    <t>吉林省长春市南关区中环11区16栋</t>
  </si>
  <si>
    <t>李旭</t>
  </si>
  <si>
    <t>山东省济宁市金乡县金乡县南外环路东段666号</t>
  </si>
  <si>
    <t>山东省济宁市金乡县羊山镇羊山村北大街3巷6号</t>
  </si>
  <si>
    <t>陈泽荣</t>
  </si>
  <si>
    <t>薄阳</t>
  </si>
  <si>
    <t>辽宁省沈阳市新民市法哈牛镇翰林街13号6门</t>
  </si>
  <si>
    <t>辽宁省沈阳市新民市法哈牛镇翰林小区2号楼3单元401</t>
  </si>
  <si>
    <t>郭瑶瑶</t>
  </si>
  <si>
    <t>河北省邯郸市丛台区世纪大道与为民路交叉口西南角京顺斋三楼</t>
  </si>
  <si>
    <t>河北省邯郸市磁县都党乡南莲花村二组41号</t>
  </si>
  <si>
    <t>陈云飞</t>
  </si>
  <si>
    <t>司思</t>
  </si>
  <si>
    <t>河北省石家庄市新乐市河北省石家庄市新乐市未来强实验幼儿园对门游戏厅吧台收银员</t>
  </si>
  <si>
    <t>河北省石家庄市灵寿县河北省石家庄市灵寿县慈峪镇慈峪村</t>
  </si>
  <si>
    <t>沈大明</t>
  </si>
  <si>
    <t>四川省成都市武侯区新北街1号附7号</t>
  </si>
  <si>
    <t>四川省成都市武侯区润新花园B区12栋三单元9号</t>
  </si>
  <si>
    <t>张君</t>
  </si>
  <si>
    <t>广东省肇庆市端州区广东省肇庆市端州区工农北路67号</t>
  </si>
  <si>
    <t>广东省肇庆市端州区广东省肇庆市端州区文明路文明花园文轩居9幢203</t>
  </si>
  <si>
    <t>李金栋</t>
  </si>
  <si>
    <t>河南省驻马店市驿城区河南省驻马店驿城区团结路268号</t>
  </si>
  <si>
    <t>河南省驻马店市驿城区河南省驻马店市驿城区爱克首府一单元六号楼十一楼东户</t>
  </si>
  <si>
    <t>张南南</t>
  </si>
  <si>
    <t>卞巧玲</t>
  </si>
  <si>
    <t>福建省宁德市古田县水口镇西州三支路39号</t>
  </si>
  <si>
    <t>魏阳</t>
  </si>
  <si>
    <t>四川省成都市双流县兴隆镇广西路</t>
  </si>
  <si>
    <t>四川省成都市双流县兴隆镇中铁轨道研发中心</t>
  </si>
  <si>
    <t>麦丽贞</t>
  </si>
  <si>
    <t>广东省肇庆市高要市金利镇人民政府府前路</t>
  </si>
  <si>
    <t>广东省肇庆市高要市金利镇金贸路永胜路</t>
  </si>
  <si>
    <t>江玉华</t>
  </si>
  <si>
    <t>浙江省宁波市鄞州区宁穿路538号</t>
  </si>
  <si>
    <t>浙江省舟山市普陀区东港街道恒大御景湾</t>
  </si>
  <si>
    <t>刘甲生</t>
  </si>
  <si>
    <t>山东省济南市长清区平安南路7599号</t>
  </si>
  <si>
    <t>山东省济宁市梁山县韩岗镇丁楼村026号</t>
  </si>
  <si>
    <t>黎福文</t>
  </si>
  <si>
    <t>广东省梅州市梅县府前大道华景商业广场T3栋四楼401</t>
  </si>
  <si>
    <t>广东省梅州市梅县华侨城楣杆北路三巷</t>
  </si>
  <si>
    <t>朱军臣</t>
  </si>
  <si>
    <t>四川省达州市达县达州市达川区杨柳路莱克汽贸园整车馆</t>
  </si>
  <si>
    <t>四川省达州市通川区达州市通川区会仙桥街55号</t>
  </si>
  <si>
    <t>许为杉</t>
  </si>
  <si>
    <t>江苏省盐城市射阳县射阳县康平路东首1号</t>
  </si>
  <si>
    <t>江苏省盐城市射阳县陈洋镇新宏村三组</t>
  </si>
  <si>
    <t>黄晓庆</t>
  </si>
  <si>
    <t>上海市上海市闵行区浦江镇恒南路1328号</t>
  </si>
  <si>
    <t>上海市上海市闵行区都会路2799弄33号1202室</t>
  </si>
  <si>
    <t>范二鹏</t>
  </si>
  <si>
    <t>陕西省咸阳市秦都区渭阳中路1号秦都区政府</t>
  </si>
  <si>
    <t>陕西省咸阳市秦都区马庄镇南吴村1组</t>
  </si>
  <si>
    <t>安楠</t>
  </si>
  <si>
    <t>重庆市重庆市渝北区3号线广场A栋7楼</t>
  </si>
  <si>
    <t>重庆市重庆市渝北区红旗河沟c3106</t>
  </si>
  <si>
    <t>吴英豪</t>
  </si>
  <si>
    <t>安徽省合肥市包河区中煤西城广场13楼1301室</t>
  </si>
  <si>
    <t>安徽省合肥市蜀山区蜀山新产业园区西城山水居2栋104室</t>
  </si>
  <si>
    <t>张希同</t>
  </si>
  <si>
    <t>北京市北京市海淀区北太路44号</t>
  </si>
  <si>
    <t>北京市卢沟桥晓月苑五里9号楼603室</t>
  </si>
  <si>
    <t>郝明轩</t>
  </si>
  <si>
    <t>河北省保定市清苑县碧桂园清苑新城</t>
  </si>
  <si>
    <t>河北省保定市清苑县北店乡田各庄屯村</t>
  </si>
  <si>
    <t>赵帅帅</t>
  </si>
  <si>
    <t>河南省平顶山市新华区北环路凯德国际物业中心隔壁</t>
  </si>
  <si>
    <t>河南省平顶山市汝州市米庙镇榆树陈村裴洼村</t>
  </si>
  <si>
    <t>赵建茂</t>
  </si>
  <si>
    <t>山西省太原市小店区汾东北路41号</t>
  </si>
  <si>
    <t>山西省太原市小店区人民南路幸福家园小区3号楼二单元602</t>
  </si>
  <si>
    <t>祝佳豪</t>
  </si>
  <si>
    <t>广东省深圳市龙岗区布澜路和谐家园S19号铺</t>
  </si>
  <si>
    <t>广东省深圳市龙岗区龙城广场五座2301</t>
  </si>
  <si>
    <t>钟荧权</t>
  </si>
  <si>
    <t>浙江省杭州市桐庐县方埠工业园区精诚路488号</t>
  </si>
  <si>
    <t>浙江省杭州市桐庐县莪山乡龙峰村尧山坞</t>
  </si>
  <si>
    <t>李云龙</t>
  </si>
  <si>
    <t>山东省济南市天桥区重汽彩世界</t>
  </si>
  <si>
    <t>山东省济南市市中区丰齐布诺小镇7-4-201</t>
  </si>
  <si>
    <t>周长城</t>
  </si>
  <si>
    <t>杨国庆</t>
  </si>
  <si>
    <t>贵州省遵义市仁怀市盐津街道办事处贵都大厦1401号</t>
  </si>
  <si>
    <t>贵州省遵义市仁怀市盐津街道办事处超一时代广场4292</t>
  </si>
  <si>
    <t>李毅峰</t>
  </si>
  <si>
    <t>广东省广州市白云区人和镇民强村民强路52号</t>
  </si>
  <si>
    <t>广东省广州市白云区人和镇民强村新南路52号</t>
  </si>
  <si>
    <t>贺毅文</t>
  </si>
  <si>
    <t>广西贺州市八步区广西贺州市西约街150号</t>
  </si>
  <si>
    <t>广西贺州市八步区广西贺州市八步区平湾北路23号16号楼202号</t>
  </si>
  <si>
    <t>张朝政</t>
  </si>
  <si>
    <t>山西省忻州市忻府区山西省代县108国道线珍珠饭店</t>
  </si>
  <si>
    <t>山西省忻州市忻府区山西省代县新高乡龙巴村119052号</t>
  </si>
  <si>
    <t>杨凯</t>
  </si>
  <si>
    <t>江苏省连云港市东海县石梁河镇树墩开发区</t>
  </si>
  <si>
    <t>江苏省宿迁市宿豫区蔡集镇牛角村九组</t>
  </si>
  <si>
    <t>隆宝登</t>
  </si>
  <si>
    <t>广东省广州市黄埔区九佛建设路330号</t>
  </si>
  <si>
    <t>汪洋</t>
  </si>
  <si>
    <t>重庆市重庆市荣昌县荣昌县昌州大道中段28号</t>
  </si>
  <si>
    <t>重庆市重庆市荣昌县荣昌县后西街瑞景花园二栋一单元4-3</t>
  </si>
  <si>
    <t>郑永远</t>
  </si>
  <si>
    <t>安徽省黄山市徽州区经济循环园紫金路6号</t>
  </si>
  <si>
    <t>安徽省黄山市歙县许村镇环泉村一组187号</t>
  </si>
  <si>
    <t>重庆市重庆市万州区万州区北滨大道二段附100号</t>
  </si>
  <si>
    <t>重庆市重庆市万州区万州区新营房39号</t>
  </si>
  <si>
    <t>郑照根</t>
  </si>
  <si>
    <t>安徽省安庆市宜秀区大桥办吴嘴工业园四号</t>
  </si>
  <si>
    <t>安徽省安庆市桐城市青草镇青青世界9504</t>
  </si>
  <si>
    <t>李敏</t>
  </si>
  <si>
    <t>甘肃省兰州市安宁区沙井驿宏泰家园西区南门</t>
  </si>
  <si>
    <t>甘肃省兰州市安宁区沙井驿二十九家园东区六号楼1503</t>
  </si>
  <si>
    <t>卓培新</t>
  </si>
  <si>
    <t>广东省深圳市宝安区深圳市宝安区福永建材市场2号门直入400米</t>
  </si>
  <si>
    <t>广东省深圳市宝安区深圳市宝安区沙井大王山旧村14巷4号</t>
  </si>
  <si>
    <t>郭旭林</t>
  </si>
  <si>
    <t>广东省潮州市湘桥区北片工业园区23号</t>
  </si>
  <si>
    <t>广东省潮州市湘桥区城西街道吉街村前街郭厝巷21号</t>
  </si>
  <si>
    <t>向娟</t>
  </si>
  <si>
    <t>覃安东</t>
  </si>
  <si>
    <t>湖北省宜昌市伍家岗区八一路盛景商城E-1008</t>
  </si>
  <si>
    <t>湖北省宜昌市伍家岗区八一路白沙大厦1212-1室</t>
  </si>
  <si>
    <t>胡黎</t>
  </si>
  <si>
    <t>湖北省武汉市黄陂区武汉市黄陂区巨龙大道222号</t>
  </si>
  <si>
    <t>湖北省武汉市江汉区福星惠誉福星城南区9栋1902</t>
  </si>
  <si>
    <t>唐欢明</t>
  </si>
  <si>
    <t>谭永飞</t>
  </si>
  <si>
    <t>王博</t>
  </si>
  <si>
    <t>黑龙江省哈尔滨市香坊区六顺二道街3号</t>
  </si>
  <si>
    <t>黑龙江省哈尔滨市香坊区延福街8-1号6单元6楼2门</t>
  </si>
  <si>
    <t>肖宾</t>
  </si>
  <si>
    <t>云南省昆明市西山区海埂路688号万达广场二楼大玩家</t>
  </si>
  <si>
    <t>云南省昆明市西山区望江路民胜家园东区4-1-502室</t>
  </si>
  <si>
    <t>彦卫卫</t>
  </si>
  <si>
    <t>黑龙江省大庆市肇源县和平乡</t>
  </si>
  <si>
    <t>黑龙江省大庆市肇源县和平乡华原村</t>
  </si>
  <si>
    <t>陈镰文</t>
  </si>
  <si>
    <t>四川省成都市成华区万科路9号2单元1320</t>
  </si>
  <si>
    <t>四川省成都市成华区和美路1单元1122</t>
  </si>
  <si>
    <t>李庆龙</t>
  </si>
  <si>
    <t>辽宁省本溪市明山区峪明路138号</t>
  </si>
  <si>
    <t>辽宁省本溪市明山区明东路21号3单元10楼18号</t>
  </si>
  <si>
    <t>王立志</t>
  </si>
  <si>
    <t>于涛</t>
  </si>
  <si>
    <t>龙景辉</t>
  </si>
  <si>
    <t>福建省福州市台江区交通路43号</t>
  </si>
  <si>
    <t>湖北省武汉市武昌区徐东平安花园</t>
  </si>
  <si>
    <t>陆金涛</t>
  </si>
  <si>
    <t>贵州省贵阳市开阳县十里画廊河湾</t>
  </si>
  <si>
    <t>贵州省黔东南苗族侗族自治州从江县洛香镇荣新村二组</t>
  </si>
  <si>
    <t>郑娟</t>
  </si>
  <si>
    <t>陈思思</t>
  </si>
  <si>
    <t>云南省玉溪市红塔区玉河路玉水金岸</t>
  </si>
  <si>
    <t>云南省玉溪市红塔区葫芦民勤街82号</t>
  </si>
  <si>
    <t>彭圣敏</t>
  </si>
  <si>
    <t>湖北省荆州市沙市区关沮镇江河村三组</t>
  </si>
  <si>
    <t>湖北省荆州市沙市区关沮镇江河村十组</t>
  </si>
  <si>
    <t>朱江</t>
  </si>
  <si>
    <t>秦怀昌</t>
  </si>
  <si>
    <t>山东省荷泽市定陶县华景雅苑19号楼1-101室</t>
  </si>
  <si>
    <t>山东省荷泽市定陶县站前路兴华东巷546号</t>
  </si>
  <si>
    <t>尹云飞</t>
  </si>
  <si>
    <t>山西省太原市小店区亲贤北街梅园百盛商场负一楼</t>
  </si>
  <si>
    <t>山西省太原市小店区亲贤北街体育西路三阳小区A座2402</t>
  </si>
  <si>
    <t>陈小平</t>
  </si>
  <si>
    <t>广东省广州市荔湾区中山市大涌镇石井工业区</t>
  </si>
  <si>
    <t>广东省广州市荔湾区广东省中山市大涌镇石井工业区聚源物业</t>
  </si>
  <si>
    <t>孙建宁</t>
  </si>
  <si>
    <t>黑龙江省绥化市肇东市十二道街</t>
  </si>
  <si>
    <t>黑龙江省绥化市肇东市十四道街万福国级</t>
  </si>
  <si>
    <t>沈飞翔</t>
  </si>
  <si>
    <t>高旭</t>
  </si>
  <si>
    <t>辽宁省鞍山市铁东区通尊科技园孵化园231</t>
  </si>
  <si>
    <t>辽宁省鞍山市铁东区爱家皇家花园19栋2181</t>
  </si>
  <si>
    <t>李大委</t>
  </si>
  <si>
    <t>山东省临沂市河东区九曲办事处有全大厦402室</t>
  </si>
  <si>
    <t>临沂市河东区九曲办事处赵家庄村68号</t>
  </si>
  <si>
    <t>张萌萌</t>
  </si>
  <si>
    <t>赖少仁</t>
  </si>
  <si>
    <t>福建省三明市清流县福建省龙岩市连城县城关大桥下路34号</t>
  </si>
  <si>
    <t>福建省三明市清流县福建省清流县赖坊镇赖武村91号</t>
  </si>
  <si>
    <t>王家豹</t>
  </si>
  <si>
    <t>广东省深圳市宝安区深圳观澜桂花二市场</t>
  </si>
  <si>
    <t>广东省深圳市宝安区深圳观澜桂花二市场企坪村</t>
  </si>
  <si>
    <t>方双洋</t>
  </si>
  <si>
    <t>江苏省盐城市大丰市常州路55号</t>
  </si>
  <si>
    <t>江苏省宿迁市沭阳县沭阳县七雄镇条河村</t>
  </si>
  <si>
    <t>徐海维</t>
  </si>
  <si>
    <t>湖南省郴州市北湖区香雪路郊区电信局旁边</t>
  </si>
  <si>
    <t>湖南省郴州市北湖区郴州大道联福景苑3栋601室</t>
  </si>
  <si>
    <t>陈晨磊</t>
  </si>
  <si>
    <t>江西省赣州市章贡区长征大道九方东座1230</t>
  </si>
  <si>
    <t>江西省赣州市章贡区云峰佳苑10栋</t>
  </si>
  <si>
    <t>孙珂</t>
  </si>
  <si>
    <t>安徽省淮南市凤台县凤台县三里沟前村</t>
  </si>
  <si>
    <t>安徽省淮南市凤台县翠园康城4号楼2单元904室</t>
  </si>
  <si>
    <t>李江</t>
  </si>
  <si>
    <t>湖北省武汉市黄陂区横店街道天阳路7号</t>
  </si>
  <si>
    <t>湖北省武汉市蔡甸区横店街道天阳路7号</t>
  </si>
  <si>
    <t>郭强</t>
  </si>
  <si>
    <t>安徽省淮南市田家庵区舜耕路新康医院南门斜对面</t>
  </si>
  <si>
    <t>安徽省淮南市大通区翰城五期二号楼一单元401</t>
  </si>
  <si>
    <t>谭必荣</t>
  </si>
  <si>
    <t>重庆市重庆市大渡口区大渡口九宫庙玻纤村88号</t>
  </si>
  <si>
    <t>四川省成都市成华区四川成华区锦绣城3期12-2-2</t>
  </si>
  <si>
    <t>张萍</t>
  </si>
  <si>
    <t>湖北省武汉市江岸区谌家矶大道119号</t>
  </si>
  <si>
    <t>湖北省武汉市汉阳区鹦鹉大道世茂锦绣长江三期3栋2单元3601</t>
  </si>
  <si>
    <t>陈宏宇</t>
  </si>
  <si>
    <t>福建省厦门市湖里区钟宅西三路640号</t>
  </si>
  <si>
    <t>福建省厦门市湖里区水晶森林78号</t>
  </si>
  <si>
    <t>薛长美</t>
  </si>
  <si>
    <t>山东省东营市东营区西三路220号银座商城</t>
  </si>
  <si>
    <t>山东省东营市东营区牛庄镇西薛村101号</t>
  </si>
  <si>
    <t>李潭潭</t>
  </si>
  <si>
    <t>山东省青岛市城阳区城阳区长城路273号</t>
  </si>
  <si>
    <t>山东省青岛市城阳区东田社区15号楼三单元602</t>
  </si>
  <si>
    <t>冷涵雨</t>
  </si>
  <si>
    <t>北京市北京市西城区菜市口南大街平原里20号</t>
  </si>
  <si>
    <t>北京市北京市大兴区西红门镇团河南村2栋201</t>
  </si>
  <si>
    <t>赵忠博</t>
  </si>
  <si>
    <t>辽宁省铁岭市开原市哈大路213号南1</t>
  </si>
  <si>
    <t>辽宁省铁岭市开原市兴开街偏坡台村九组39号</t>
  </si>
  <si>
    <t>金锴</t>
  </si>
  <si>
    <t>云南省昆明市官渡区官南大道1071号</t>
  </si>
  <si>
    <t>云南省昆明市安宁市太平新城恒大金碧天下394栋1306室</t>
  </si>
  <si>
    <t>宿小龙</t>
  </si>
  <si>
    <t>甘肃省兰州市城关区嘉裕关西路409号</t>
  </si>
  <si>
    <t>甘肃省兰州市城关区嘉裕关西路586号</t>
  </si>
  <si>
    <t>潘易</t>
  </si>
  <si>
    <t>四川省成都市双流县天府二街水电大厦</t>
  </si>
  <si>
    <t>四川省成都市双流县华府大道1段996号光明城市</t>
  </si>
  <si>
    <t>王坤</t>
  </si>
  <si>
    <t>陕西省西安市新城区凤城二路12号云天大厦9层</t>
  </si>
  <si>
    <t>青海省西宁市大通回族土族自治县城关镇陵园路光明驾校旁中交二公局</t>
  </si>
  <si>
    <t>刘林</t>
  </si>
  <si>
    <t>湖南省长沙市浏阳市浏阳工业园</t>
  </si>
  <si>
    <t>湖南省长沙市浏阳市浏阳市洞阳镇南园小区</t>
  </si>
  <si>
    <t>胡亚良</t>
  </si>
  <si>
    <t>浙江省杭州市上城区临安科技大道与大园路交叉口宝龙旭辉城</t>
  </si>
  <si>
    <t>浙江省杭州市临安市临安锦城街道陈家山脚2-1</t>
  </si>
  <si>
    <t>钟传彬</t>
  </si>
  <si>
    <t>刘孝玥</t>
  </si>
  <si>
    <t>重庆市重庆市江北区重庆江北观音桥洋河三路</t>
  </si>
  <si>
    <t>重庆市重庆市江北区重庆江北观音桥洋河三路北城栖院</t>
  </si>
  <si>
    <t>瞿嘉伦</t>
  </si>
  <si>
    <t>陕西省西安市新城区长乐西路8号西安金花大酒店</t>
  </si>
  <si>
    <t>陕西省西安市新城区华清西路坚果公寓306室</t>
  </si>
  <si>
    <t>章冠华</t>
  </si>
  <si>
    <t>广东省深圳市龙岗区龙城街道爱联B区十七巷六号</t>
  </si>
  <si>
    <t>广东省深圳市龙岗区龙岗街道南约积谷田小区三巷一号</t>
  </si>
  <si>
    <t>程江涛</t>
  </si>
  <si>
    <t>北京市北京市朝阳区蓝筹名座底商20号</t>
  </si>
  <si>
    <t>北京市北京市东城区新中西街6号楼5门502</t>
  </si>
  <si>
    <t>刁成强</t>
  </si>
  <si>
    <t>姚玉磊</t>
  </si>
  <si>
    <t>北京市北京市昌平区同成街龙泽苑综合楼602</t>
  </si>
  <si>
    <t>北京市北京市昌平区南店北路新龙城二期36A九单元202</t>
  </si>
  <si>
    <t>郑玉明</t>
  </si>
  <si>
    <t>河北省衡水市桃城区南环路1111号</t>
  </si>
  <si>
    <t>河北省衡水市桃城区干马村一区69号</t>
  </si>
  <si>
    <t>张文斌</t>
  </si>
  <si>
    <t>陕西省西安市新城区咸宁中路56号</t>
  </si>
  <si>
    <t>陕西省西安市新城区咸宁中路57号</t>
  </si>
  <si>
    <t>陈波</t>
  </si>
  <si>
    <t>罗骏</t>
  </si>
  <si>
    <t>四川省成都市成华区双店西一路208号</t>
  </si>
  <si>
    <t>四川省成都市成华区东锦城A区三栋</t>
  </si>
  <si>
    <t>李冬华</t>
  </si>
  <si>
    <t>四川省攀枝花市米易县攀莲镇安宁路56号商会大厦</t>
  </si>
  <si>
    <t>四川省攀枝花市东区四川省米易县攀莲镇桥东街4号附9号</t>
  </si>
  <si>
    <t>马孟辉</t>
  </si>
  <si>
    <t>河南省郑州市巩义市河阴路北段</t>
  </si>
  <si>
    <t>河南省郑州市上街区理想名城21号楼1108</t>
  </si>
  <si>
    <t>李帅</t>
  </si>
  <si>
    <t>海南省三沙市琼海市潭门镇旧县村委会下田下村5号</t>
  </si>
  <si>
    <t>海南省三沙市琼海市潭门镇益民街左边6号</t>
  </si>
  <si>
    <t>金明哲</t>
  </si>
  <si>
    <t>河北省石家庄市鹿泉市向阳大街141号</t>
  </si>
  <si>
    <t>河北省石家庄市鹿泉市永基花苑1号楼一单元202</t>
  </si>
  <si>
    <t>周欢欢</t>
  </si>
  <si>
    <t>宋文涛</t>
  </si>
  <si>
    <t>王建红</t>
  </si>
  <si>
    <t>徐元强</t>
  </si>
  <si>
    <t>山东省临沂市沂水县工业园腾飞路</t>
  </si>
  <si>
    <t>山东省临沂市沂水县泉庄镇崮崖村</t>
  </si>
  <si>
    <t>苏凡</t>
  </si>
  <si>
    <t>宁夏银川市兴庆区静宁北街373号</t>
  </si>
  <si>
    <t>宁夏银川市金凤区鲁银城市公元10号楼1单元502</t>
  </si>
  <si>
    <t>许兴泉</t>
  </si>
  <si>
    <t>山东省泰安市泰山区迎胜南路542号</t>
  </si>
  <si>
    <t>山东省泰安市泰山区岱庙办事处三友新村3号楼2单元201室</t>
  </si>
  <si>
    <t>罗杰</t>
  </si>
  <si>
    <t>重庆市重庆市江北区建新西路19号</t>
  </si>
  <si>
    <t>重庆市重庆市南岸区城南家园二组团5栋20-7</t>
  </si>
  <si>
    <t>阮兴建</t>
  </si>
  <si>
    <t>广西百色市靖西县环球大酒店一层123号铺</t>
  </si>
  <si>
    <t>广西百色市靖西县新靖镇金山街116号</t>
  </si>
  <si>
    <t>罗彦军</t>
  </si>
  <si>
    <t>黑龙江省牡丹江市爱民区爱民区天安路爱民区政府对过</t>
  </si>
  <si>
    <t>黑龙江省牡丹江市爱民区西地明街北山名苑小区35栋1单元302室</t>
  </si>
  <si>
    <t>李雷</t>
  </si>
  <si>
    <t>湖北省荆门市东宝区牌楼镇牌楼村二组</t>
  </si>
  <si>
    <t>湖北省荆门市钟祥市郢中镇莫愁大道58号</t>
  </si>
  <si>
    <t>何伟</t>
  </si>
  <si>
    <t>浙江省舟山市定海区城西西管庙新村26一A1号</t>
  </si>
  <si>
    <t>浙江省舟山市定海区北蝉乡东山后95号</t>
  </si>
  <si>
    <t>李伟宏</t>
  </si>
  <si>
    <t>辽宁省朝阳市龙城区文化路五段90号</t>
  </si>
  <si>
    <t>辽宁省朝阳市朝阳县木头城子镇满达营子村第二组0103号</t>
  </si>
  <si>
    <t>胡伟国</t>
  </si>
  <si>
    <t>王从飞</t>
  </si>
  <si>
    <t>山东省临沂市郯城县建设路88号</t>
  </si>
  <si>
    <t>山东省临沂市郯城县郯城镇北关三街94号</t>
  </si>
  <si>
    <t>徐建军</t>
  </si>
  <si>
    <t>四川省成都市锦江区水碾河南三街37号</t>
  </si>
  <si>
    <t>四川省成都市锦江区栀子街855号银木佳苑1栋2104</t>
  </si>
  <si>
    <t>郝瑞昌</t>
  </si>
  <si>
    <t>山东省烟台市招远市招远市温泉街道办事处天府路北首</t>
  </si>
  <si>
    <t>山东省烟台市招远市招远市罗峰街道办事处晨钟路65号院内</t>
  </si>
  <si>
    <t>兰林军</t>
  </si>
  <si>
    <t>山东省烟台市招远市招远市泉山路55号</t>
  </si>
  <si>
    <t>山东省烟台市招远市招远市温泉小区49号楼122</t>
  </si>
  <si>
    <t>何春妍</t>
  </si>
  <si>
    <t>广西桂林市阳朔县益田西街</t>
  </si>
  <si>
    <t>广西桂林市阳朔县福利镇林家村29-1号</t>
  </si>
  <si>
    <t>严黎</t>
  </si>
  <si>
    <t>湖南省常德市鼎城区金霞路与善卷路交汇处云鼎大酒店10楼</t>
  </si>
  <si>
    <t>湖南省常德市鼎城区斗姆湖镇火田坪村9村民组</t>
  </si>
  <si>
    <t>李付学</t>
  </si>
  <si>
    <t>付小玲</t>
  </si>
  <si>
    <t>徐明</t>
  </si>
  <si>
    <t>浙江省杭州市萧山区恒逸南岸明珠1502</t>
  </si>
  <si>
    <t>浙江省杭州市萧山区宁围镇国金中心2405</t>
  </si>
  <si>
    <t>张世贵</t>
  </si>
  <si>
    <t>江苏省常州市钟楼区广化街津通大厦618</t>
  </si>
  <si>
    <t>江苏省常州市钟楼区清潭新村111幢乙单元502</t>
  </si>
  <si>
    <t>张照阳</t>
  </si>
  <si>
    <t>福建省泉州市晋江市内坑镇白安村湖美路478</t>
  </si>
  <si>
    <t>福建省泉州市南安市官桥镇岭兜村桥头12号</t>
  </si>
  <si>
    <t>朱玉曼</t>
  </si>
  <si>
    <t>黄国清</t>
  </si>
  <si>
    <t>广西南宁市良庆区兴象路西二巷26号</t>
  </si>
  <si>
    <t>广西南宁市邕宁区蒲庙镇彩虹南路56号</t>
  </si>
  <si>
    <t>黄信军</t>
  </si>
  <si>
    <t>江西省南昌市青云谱区抚河南路677号</t>
  </si>
  <si>
    <t>江西省南昌市东湖区何坊西路144号</t>
  </si>
  <si>
    <t>周则财</t>
  </si>
  <si>
    <t>赵红贵</t>
  </si>
  <si>
    <t>吉林省四平市双辽市经济开发区</t>
  </si>
  <si>
    <t>食品厂</t>
  </si>
  <si>
    <t>陈斌</t>
  </si>
  <si>
    <t>湖北省十堰市茅箭区东风大道15号</t>
  </si>
  <si>
    <t>湖北省十堰市茅箭区天津路88号大洋五洲2栋1802</t>
  </si>
  <si>
    <t>陈彩颜</t>
  </si>
  <si>
    <t>广东省清远市英德市英城街道铁汉路17号</t>
  </si>
  <si>
    <t>广东省清远市英德市英城街道利民路广播电视站宿舍</t>
  </si>
  <si>
    <t>刘权</t>
  </si>
  <si>
    <t>何欣雨</t>
  </si>
  <si>
    <t>杨金</t>
  </si>
  <si>
    <t>云南省红河哈尼族彝族自治州泸西县泸西县环城西路63号</t>
  </si>
  <si>
    <t>云南省红河哈尼族彝族自治州泸西县泸西县东正街133号</t>
  </si>
  <si>
    <t>毛志明</t>
  </si>
  <si>
    <t>广东省珠海市香洲区翠前北路翠前居39号</t>
  </si>
  <si>
    <t>广东省珠海市香洲区坦洲镇十四村同连路五号</t>
  </si>
  <si>
    <t>马晓军</t>
  </si>
  <si>
    <t>青海省西宁市城中区西宁市城中区南山路阳光小区258-66</t>
  </si>
  <si>
    <t>青海省西宁市城东区青海省西宁市城东区一颗印209号</t>
  </si>
  <si>
    <t>王兴玉</t>
  </si>
  <si>
    <t>江苏省苏州市昆山市昆山市震川路111号农工商二楼</t>
  </si>
  <si>
    <t>江苏省苏州市昆山市昆山市人民路朝阳新村14号楼302室</t>
  </si>
  <si>
    <t>肖森林</t>
  </si>
  <si>
    <t>江西省赣州市于都县于都县领秀江南大门旁</t>
  </si>
  <si>
    <t>江西省赣州市于都县于都县领秀江南7-701</t>
  </si>
  <si>
    <t>邱晶亮</t>
  </si>
  <si>
    <t>陈福杜</t>
  </si>
  <si>
    <t>王国峰</t>
  </si>
  <si>
    <t>苏迎春</t>
  </si>
  <si>
    <t>河南省商丘市梁园区平原路民主路交叉口</t>
  </si>
  <si>
    <t>河南省商丘市梁园区康城花园4号楼302号</t>
  </si>
  <si>
    <t>罗海盛</t>
  </si>
  <si>
    <t>广东省潮州市潮安县枫溪区詹厝益盛中学后面第二大门</t>
  </si>
  <si>
    <t>福建省云肖县马铺乡白凤村重地73号</t>
  </si>
  <si>
    <t>钟云舒</t>
  </si>
  <si>
    <t>福建省龙岩市武平县平川镇中心街</t>
  </si>
  <si>
    <t>福建省龙岩市武平县平川镇围子里巷1号</t>
  </si>
  <si>
    <t>王佳乐</t>
  </si>
  <si>
    <t>高锋</t>
  </si>
  <si>
    <t>山东省济南市天桥区北园大街358号</t>
  </si>
  <si>
    <t>山东省济南市天桥区历黄路北口刘家井社区332号</t>
  </si>
  <si>
    <t>张琳</t>
  </si>
  <si>
    <t>四川省成都市武侯区人民南路四段一号时代数码大厦9楼a5</t>
  </si>
  <si>
    <t>四川省成都市新都区大丰镇悉尼湾小区2栋一单元1502</t>
  </si>
  <si>
    <t>罗军</t>
  </si>
  <si>
    <t>湖南省郴州市北湖区东云路445号</t>
  </si>
  <si>
    <t>湖南省郴州市临武县公安局家属区2-2-501</t>
  </si>
  <si>
    <t>刘东坪</t>
  </si>
  <si>
    <t>湖北省武汉市东西湖区六顺路与团结街交汇处南</t>
  </si>
  <si>
    <t>湖北省武汉市东西湖区六顺路合兴里社区101号</t>
  </si>
  <si>
    <t>张杨</t>
  </si>
  <si>
    <t>天津市天津市蓟县马伸桥镇大街西行500米路北</t>
  </si>
  <si>
    <t>天津市蓟县穿芳峪乡穿芳峪村1区16号</t>
  </si>
  <si>
    <t>孙占新</t>
  </si>
  <si>
    <t>河南省南阳市宛城区长江东路171号</t>
  </si>
  <si>
    <t>河南省南阳市唐河县张店镇西孙庄村孙庄3组33号</t>
  </si>
  <si>
    <t>李勇</t>
  </si>
  <si>
    <t>河南省安阳市内黄县朝阳路西段路南</t>
  </si>
  <si>
    <t>河南省安阳市内黄县都市花园8楼一楼西户</t>
  </si>
  <si>
    <t>陈中杰</t>
  </si>
  <si>
    <t>福建省厦门市思明区鹭江道远洋大厦27楼02</t>
  </si>
  <si>
    <t>福建省厦门市湖里区禾山街道安兜社147号2栋313</t>
  </si>
  <si>
    <t>格茸达瓦</t>
  </si>
  <si>
    <t>云南省昆明市呈贡县环城西路48号裕顺大厦c座6楼</t>
  </si>
  <si>
    <t>云南省昆明市呈贡县吴家营街道办事处中庄社区136号</t>
  </si>
  <si>
    <t>赵月月</t>
  </si>
  <si>
    <t>候自梅</t>
  </si>
  <si>
    <t>陕西省延安市子长县延安市子长县寺湾乡53号</t>
  </si>
  <si>
    <t>陕西省延安市子长县延安市子长县寺湾乡</t>
  </si>
  <si>
    <t>佘妍妍</t>
  </si>
  <si>
    <t>刘裕</t>
  </si>
  <si>
    <t>广西南宁市江南区广西省南宁市江南区石柱岭二路7号</t>
  </si>
  <si>
    <t>四川省内江市资中县四川省资中县太平镇东岳村8社13号</t>
  </si>
  <si>
    <t>徐丰江</t>
  </si>
  <si>
    <t>广西防城港市港口区港口区七泊位作业区东南侧</t>
  </si>
  <si>
    <t>广西防城港市港口区港口区金花茶大道新城国际809</t>
  </si>
  <si>
    <t>冉祥娜</t>
  </si>
  <si>
    <t>崔春龙</t>
  </si>
  <si>
    <t>河北省保定市曲阳县南环东路72号</t>
  </si>
  <si>
    <t>河北省保定市曲阳县文德乡杜村东西大街南一号小街3号</t>
  </si>
  <si>
    <t>陈镜宇</t>
  </si>
  <si>
    <t>重庆市重庆市南川区西城街道办事处金佛大道260号</t>
  </si>
  <si>
    <t>重庆市重庆市南川区重庆市南川区银杉豪庭3幢5-2</t>
  </si>
  <si>
    <t>陈小军</t>
  </si>
  <si>
    <t>广西柳州市柳北区柳北文化商业广场</t>
  </si>
  <si>
    <t>广西柳州市鱼峰区东环大道西一巷6-134</t>
  </si>
  <si>
    <t>广东省深圳市南山区珠光路郎苑101商铺</t>
  </si>
  <si>
    <t>广东省深圳市南山区西丽珠光路珠光村东区81栋603</t>
  </si>
  <si>
    <t>叶孙威</t>
  </si>
  <si>
    <t>倪海涛</t>
  </si>
  <si>
    <t>黑龙江省双鸭山市宝清县友谊街北秀家园105号</t>
  </si>
  <si>
    <t>黑龙江省双鸭山市宝清县人民路432号房产住宅一单元602室</t>
  </si>
  <si>
    <t>肖振伟</t>
  </si>
  <si>
    <t>上海市上海市浦东新区上丰路1555号</t>
  </si>
  <si>
    <t>上海市上海市松江区新庙三路1034号</t>
  </si>
  <si>
    <t>欧阳锦朗</t>
  </si>
  <si>
    <t>广东省佛山市顺德区均安镇沙头通安路物业2号</t>
  </si>
  <si>
    <t>广东省佛山市顺德区均安镇天连大垌古横街13号</t>
  </si>
  <si>
    <t>张达魁</t>
  </si>
  <si>
    <t>辽宁省鞍山市铁东区解放东路128-5</t>
  </si>
  <si>
    <t>辽宁省鞍山市铁西区三道街中央一品64栋1单54号</t>
  </si>
  <si>
    <t>王培智</t>
  </si>
  <si>
    <t>广西北海市海城区铜鼓岭57号</t>
  </si>
  <si>
    <t>广西北海市海城区金海岸大道8号6栋一单元501</t>
  </si>
  <si>
    <t>陶德军</t>
  </si>
  <si>
    <t>陕西省安康市岚皋县岚皋县肖家坝湖滨南路22号</t>
  </si>
  <si>
    <t>陕西省安康市岚皋县蔺河乡蒋家关村六组</t>
  </si>
  <si>
    <t>刘东方</t>
  </si>
  <si>
    <t>河南省南阳市西峡县莲花路东城一品楼下</t>
  </si>
  <si>
    <t>河南省南阳市西峡县白羽街道建设路锦程公寓一单元六楼602</t>
  </si>
  <si>
    <t>江东骏</t>
  </si>
  <si>
    <t>浙江省金华市婺城区浙江</t>
  </si>
  <si>
    <t>渠伟钢</t>
  </si>
  <si>
    <t>广东省深圳市宝安区深圳市龙岗区</t>
  </si>
  <si>
    <t>广东省深圳市宝安区深圳市龙岗区梅龙大道1040号和丰大厦19层</t>
  </si>
  <si>
    <t>谢宝毅</t>
  </si>
  <si>
    <t>河北省衡水市桃城区桃城区北方工业基地橡塑路188号</t>
  </si>
  <si>
    <t>河北省衡水市桃城区桃城区中心街吉美南宋村</t>
  </si>
  <si>
    <t>赵蕾</t>
  </si>
  <si>
    <t>刘智亮</t>
  </si>
  <si>
    <t>四川省成都市武侯区武侯大道88号</t>
  </si>
  <si>
    <t>四川省成都市郫县红光镇龙城国际</t>
  </si>
  <si>
    <t>谢祥昕</t>
  </si>
  <si>
    <t>冉茂霖</t>
  </si>
  <si>
    <t>四川省乐山市沐川县新凡乡街道114号</t>
  </si>
  <si>
    <t>四川省乐山市沐川县梨园街阳光丽港小区6栋3单元701</t>
  </si>
  <si>
    <t>邱超</t>
  </si>
  <si>
    <t>张桥</t>
  </si>
  <si>
    <t>河南省南阳市宛城区解放路162号</t>
  </si>
  <si>
    <t>河南省南阳市方城县上九路龙城花园</t>
  </si>
  <si>
    <t>赵晨熙</t>
  </si>
  <si>
    <t>河北省张家口市桥东区站前大街76号</t>
  </si>
  <si>
    <t>河北省张家口市桥东区商务东街12号楼5单元301</t>
  </si>
  <si>
    <t>唐春霞</t>
  </si>
  <si>
    <t>江苏省无锡市滨湖区蠡园开发区8号楼</t>
  </si>
  <si>
    <t>江苏省无锡市滨湖区西园里602号601</t>
  </si>
  <si>
    <t>林智平</t>
  </si>
  <si>
    <t>张鑫</t>
  </si>
  <si>
    <t>辽宁省鞍山市海城市南台镇大鸡转盘北10号</t>
  </si>
  <si>
    <t>辽宁省鞍山市海城市南台镇百亿春城19号楼3单元701</t>
  </si>
  <si>
    <t>刘胜威</t>
  </si>
  <si>
    <t>广东省广州市白云区平沙村利邦物流中心A5-6档</t>
  </si>
  <si>
    <t>广东省广州市白云区广花一路白沙湖牌坊8巷24号</t>
  </si>
  <si>
    <t>唐鹏</t>
  </si>
  <si>
    <t>甘肃省陇南市成县华昌电子孵化园</t>
  </si>
  <si>
    <t>甘肃省天水市麦积区道北何家村教堂对面</t>
  </si>
  <si>
    <t>马晓杰</t>
  </si>
  <si>
    <t>江苏省连云港市东海县东海国际水晶城</t>
  </si>
  <si>
    <t>江苏省连云港市东海县步行街北门3单元202</t>
  </si>
  <si>
    <t>梁燕梅</t>
  </si>
  <si>
    <t>广东省云浮市新兴县大园路58号</t>
  </si>
  <si>
    <t>广东省云浮市新兴县翔顺花园一区九栋601</t>
  </si>
  <si>
    <t>黄宇</t>
  </si>
  <si>
    <t>董贇捷</t>
  </si>
  <si>
    <t>浙江省杭州市余杭区中泰街道282号</t>
  </si>
  <si>
    <t>浙江省杭州市余杭区闲林街道白羊畈公寓5幢306</t>
  </si>
  <si>
    <t>董亮</t>
  </si>
  <si>
    <t>浙江省绍兴市越城区府山西路295号</t>
  </si>
  <si>
    <t>浙江省绍兴市越城区城南南江枫林49303</t>
  </si>
  <si>
    <t>徐寅平</t>
  </si>
  <si>
    <t>辽宁省大连市普兰店市大连普兰店市星台镇许屯村2-1</t>
  </si>
  <si>
    <t>辽宁省大连普兰店市中心路盐工街磷化小区七号楼二单元四楼一</t>
  </si>
  <si>
    <t>李金花</t>
  </si>
  <si>
    <t>朱若兰</t>
  </si>
  <si>
    <t>湖北省神农架天门市西湖路国贸大厦周大福</t>
  </si>
  <si>
    <t>湖北省神农架仙桃市东湖路62号</t>
  </si>
  <si>
    <t>李欣</t>
  </si>
  <si>
    <t>梁鹏</t>
  </si>
  <si>
    <t>甘肃省陇南市礼县甘肃省陇南市礼县罗坝镇中心广场</t>
  </si>
  <si>
    <t>甘肃省陇南市礼县城关镇中山路老沟家属楼二单元四楼401</t>
  </si>
  <si>
    <t>陈景彬</t>
  </si>
  <si>
    <t>福建省厦门市同安区同安区赤坪路236号</t>
  </si>
  <si>
    <t>福建省三明市大田县福建省三明市大田县上京镇768号</t>
  </si>
  <si>
    <t>李孟祥</t>
  </si>
  <si>
    <t>浙江省宁波市北仑区大碶街道天台山路236号圆通速递</t>
  </si>
  <si>
    <t>浙江省宁波市北仑区大碶街道天台山路236号</t>
  </si>
  <si>
    <t>闫永利</t>
  </si>
  <si>
    <t>安徽省阜阳市太和县太和县城关镇细阳南路113号2栋3单元1202室</t>
  </si>
  <si>
    <t>安徽省阜阳市太和县三堂镇康庄村委会闫庄17号</t>
  </si>
  <si>
    <t>罗芬</t>
  </si>
  <si>
    <t>刘欢</t>
  </si>
  <si>
    <t>浙江省杭州市西湖区西湖区人民西路2号楼201单元</t>
  </si>
  <si>
    <t>浙江省杭州市西湖区西湖区西湖花园6栋楼809室</t>
  </si>
  <si>
    <t>杨柳</t>
  </si>
  <si>
    <t>陕西省铜川市印台区同官路新桥曙光家具城</t>
  </si>
  <si>
    <t>陕西省铜川市印台区同官路济阳新城</t>
  </si>
  <si>
    <t>王佳魁</t>
  </si>
  <si>
    <t>贵州省贵阳市南明区花果园国际中心二号楼23层1号</t>
  </si>
  <si>
    <t>贵州省贵阳市南明区花果园M区12栋三单元1203</t>
  </si>
  <si>
    <t>冯竣杰</t>
  </si>
  <si>
    <t>姜佳怡</t>
  </si>
  <si>
    <t>山东省烟台市龙口市龙口市兰高镇兰高工业园</t>
  </si>
  <si>
    <t>山东省烟台市龙口市环城北路中韵家苑</t>
  </si>
  <si>
    <t>黄翔</t>
  </si>
  <si>
    <t>冯泽</t>
  </si>
  <si>
    <t>广东省茂名市信宜市河堤路28号</t>
  </si>
  <si>
    <t>广东省茂名市信宜市六运石门村54号</t>
  </si>
  <si>
    <t>左大烽</t>
  </si>
  <si>
    <t>江苏省南通市如皋市江苏省如皋市下原镇桃李路三号</t>
  </si>
  <si>
    <t>江苏省如皋市下原镇曙光村十四组15号</t>
  </si>
  <si>
    <t>陈近英</t>
  </si>
  <si>
    <t>广西贺州市八步区灵峰路32号</t>
  </si>
  <si>
    <t>广西贺州市八步区沙田镇红星村11组362号</t>
  </si>
  <si>
    <t>雷露露</t>
  </si>
  <si>
    <t>宋雅静</t>
  </si>
  <si>
    <t>闫少琪</t>
  </si>
  <si>
    <t>山西省忻州市忻府区光明东街果品大楼二层</t>
  </si>
  <si>
    <t>山西省忻州市忻府区公园街翡翠苑10号楼3单元一层西</t>
  </si>
  <si>
    <t>黄茂瑜</t>
  </si>
  <si>
    <t>广东省汕尾市城区汕尾城区凤山街道文明中路127号</t>
  </si>
  <si>
    <t>广东省汕尾市城区汕尾城区凤山街道文明中路86号</t>
  </si>
  <si>
    <t>邱刚</t>
  </si>
  <si>
    <t>王力</t>
  </si>
  <si>
    <t>湖北省武汉市洪山区白沙洲大道华中江南物流建材市场4栋1一7</t>
  </si>
  <si>
    <t>湖北省武汉市洪山区虎泉地铁站凯乐桂园三栋一单元904</t>
  </si>
  <si>
    <t>孔德胜</t>
  </si>
  <si>
    <t>山东省济南市天桥区义合北街5号214</t>
  </si>
  <si>
    <t>山东省济南市天桥区天成路80号</t>
  </si>
  <si>
    <t>庄顺金</t>
  </si>
  <si>
    <t>毛维旭</t>
  </si>
  <si>
    <t>厍晓芸</t>
  </si>
  <si>
    <t>甘肃省嘉峪关市金川区河西堡镇东大山路98号</t>
  </si>
  <si>
    <t>甘肃省嘉峪关市金昌市东湖天绣苑社区611室</t>
  </si>
  <si>
    <t>张美君</t>
  </si>
  <si>
    <t>李晚良</t>
  </si>
  <si>
    <t>河北省邯郸市涉县更乐镇更乐村</t>
  </si>
  <si>
    <t>河北省邯郸市涉县固新镇小矿村71号</t>
  </si>
  <si>
    <t>安徽省六安市裕安区独山镇西河口乡街道</t>
  </si>
  <si>
    <t>安徽省六安市裕安区独山镇西河口乡境内</t>
  </si>
  <si>
    <t>宋昊昱</t>
  </si>
  <si>
    <t>山东省淄博市沂源县山东省淄博市沂源县悦庄镇鲍庄测速点</t>
  </si>
  <si>
    <t>山东省淄博市沂源县山东省淄博市沂源县悦庄镇衣家庄村47号</t>
  </si>
  <si>
    <t>陈泽龙</t>
  </si>
  <si>
    <t>广东省广州市黄埔区广新路68号新安苑</t>
  </si>
  <si>
    <t>广东省广州市黄埔区东直街五巷七号</t>
  </si>
  <si>
    <t>马娅婷</t>
  </si>
  <si>
    <t>陈家娟</t>
  </si>
  <si>
    <t>祝宇</t>
  </si>
  <si>
    <t>周冬</t>
  </si>
  <si>
    <t>海南省海口市秀英区朝阳二巷49号</t>
  </si>
  <si>
    <t>海南省海口市秀英区港务局四区三栋三号</t>
  </si>
  <si>
    <t>邱良君</t>
  </si>
  <si>
    <t>吕彬</t>
  </si>
  <si>
    <t>江苏省无锡市江阴市江阴市永康五金城8栋306</t>
  </si>
  <si>
    <t>江苏省无锡市江阴市江阴市南闸镇紫金花园530-102</t>
  </si>
  <si>
    <t>牛哲</t>
  </si>
  <si>
    <t>河南省焦作市沁阳市河南省济源市沁园路东</t>
  </si>
  <si>
    <t>河南省焦作市武陟县河南省济源市玉泉办事处罡头村</t>
  </si>
  <si>
    <t>卢祖权</t>
  </si>
  <si>
    <t>广东省广州市番禺区钟村街汉溪村环村路七号之三</t>
  </si>
  <si>
    <t>江西省赣州市信丰县小河镇光荣村凹丘</t>
  </si>
  <si>
    <t>李春江</t>
  </si>
  <si>
    <t>孟志刚</t>
  </si>
  <si>
    <t>崔智慧</t>
  </si>
  <si>
    <t>安徽省合肥市包河区你最想说我</t>
  </si>
  <si>
    <t>河北省唐山市丰润区成西小区101楼一单元301</t>
  </si>
  <si>
    <t>王乙铃</t>
  </si>
  <si>
    <t>重庆市重庆市九龙坡区创业大道289号</t>
  </si>
  <si>
    <t>重庆市重庆市江北区石新路华璞蕙蓝御锦4栋12-4号</t>
  </si>
  <si>
    <t>王亮</t>
  </si>
  <si>
    <t>吴国军</t>
  </si>
  <si>
    <t>河南省周口市川汇区八一路北段5号</t>
  </si>
  <si>
    <t>河南省周口市川汇区富强街126号</t>
  </si>
  <si>
    <t>王滔</t>
  </si>
  <si>
    <t>四川省成都市都江堰市外北街325号</t>
  </si>
  <si>
    <t>四川省成都市都江堰市兴盛街371号</t>
  </si>
  <si>
    <t>王国琏</t>
  </si>
  <si>
    <t>苏新雨</t>
  </si>
  <si>
    <t>安徽省芜湖市镜湖区赭山东路九华中路3幢1407号</t>
  </si>
  <si>
    <t>安徽省芜湖市镜湖区汀棠小区9栋403室</t>
  </si>
  <si>
    <t>刘胜强</t>
  </si>
  <si>
    <t>黑龙江省哈尔滨市香坊区尚东辉煌城25号楼一单元102</t>
  </si>
  <si>
    <t>黑龙江省哈尔滨市南岗区燎原街37号楼11单元201</t>
  </si>
  <si>
    <t>黄义刚</t>
  </si>
  <si>
    <t>董世龙</t>
  </si>
  <si>
    <t>李鹏超</t>
  </si>
  <si>
    <t>黑龙江省哈尔滨市平房区哈五路601公里处</t>
  </si>
  <si>
    <t>黑龙江省哈尔滨市平房区友协大街320楼3单元602室</t>
  </si>
  <si>
    <t>于许宁</t>
  </si>
  <si>
    <t>王震</t>
  </si>
  <si>
    <t>黑龙江省哈尔滨市尚志市亚布力林业局林茂路2号</t>
  </si>
  <si>
    <t>黑龙江省哈尔滨市尚志市亚布力林业局第一居民委20组8601</t>
  </si>
  <si>
    <t>阚园园</t>
  </si>
  <si>
    <t>郭文浩</t>
  </si>
  <si>
    <t>鲁绒偏初</t>
  </si>
  <si>
    <t>四川省凉山彝族自治州木里藏族自治县瓦厂镇豹子评</t>
  </si>
  <si>
    <t>四川省凉山彝族自治州木里藏族自治县四川省凉山州木里藏族自治县瓦厂镇</t>
  </si>
  <si>
    <t>龚赛波</t>
  </si>
  <si>
    <t>浙江省绍兴市嵊州市城东经济开发区区中园3号</t>
  </si>
  <si>
    <t>浙江省绍兴市嵊州市黄泽镇良村村223号</t>
  </si>
  <si>
    <t>官宇晨</t>
  </si>
  <si>
    <t>福建省宁德市蕉城区万安东路金港名都16-17号三楼</t>
  </si>
  <si>
    <t>福建省福州市罗源县东方星城八号楼401</t>
  </si>
  <si>
    <t>陈帮进</t>
  </si>
  <si>
    <t>江苏省苏州市昆山市柏庐南路999号吉田国际广场一层</t>
  </si>
  <si>
    <t>江苏省苏州市昆山市合兴西路团结新村10栋406</t>
  </si>
  <si>
    <t>罗成</t>
  </si>
  <si>
    <t>王瑞</t>
  </si>
  <si>
    <t>湖北省黄石市黄石港区沈家营统一街93</t>
  </si>
  <si>
    <t>湖北省黄石市黄石港区亚光新村29栋2单元401</t>
  </si>
  <si>
    <t>何佳穗</t>
  </si>
  <si>
    <t>陈文娟</t>
  </si>
  <si>
    <t>安徽省滁州市天长市经济开发区经三南路</t>
  </si>
  <si>
    <t>安徽省滁州市天长市天泽新村7号楼2单元504</t>
  </si>
  <si>
    <t>李祥</t>
  </si>
  <si>
    <t>文钱容</t>
  </si>
  <si>
    <t>四川省邻水县王家镇</t>
  </si>
  <si>
    <t>四川省邻水县王家镇松林村</t>
  </si>
  <si>
    <t>邵文昭</t>
  </si>
  <si>
    <t>湖北省黄冈市麻城市阎家河镇</t>
  </si>
  <si>
    <t>湖北省黄冈市麻城市阎家河镇丁家寨村一组</t>
  </si>
  <si>
    <t>覃恒贤</t>
  </si>
  <si>
    <t>广西柳州市柳北区北雀路98号</t>
  </si>
  <si>
    <t>广西柳州市柳南区永前路四区6-2-1</t>
  </si>
  <si>
    <t>陈裕军</t>
  </si>
  <si>
    <t>广东省广州市海珠区大江直街1号</t>
  </si>
  <si>
    <t>广东省广州市荔湾区菊树太村坊116号201</t>
  </si>
  <si>
    <t>黄绪</t>
  </si>
  <si>
    <t>王永胜</t>
  </si>
  <si>
    <t>湖北省荆州市洪湖市新堤文泉东路35号</t>
  </si>
  <si>
    <t>湖北省荆州市洪湖市新题东方国际公馆二栋一单元2003</t>
  </si>
  <si>
    <t>马奴海</t>
  </si>
  <si>
    <t>李福成</t>
  </si>
  <si>
    <t>广东省广州市花都区狮岭镇咸水岭联合路7号</t>
  </si>
  <si>
    <t>湖南省衡阳市耒阳市五里牌街道办事处三桥居委会2组</t>
  </si>
  <si>
    <t>梁炯强</t>
  </si>
  <si>
    <t>广东省江门市蓬江区和泰8队36号</t>
  </si>
  <si>
    <t>广东省江门市蓬江区东和路62号</t>
  </si>
  <si>
    <t>江道栩</t>
  </si>
  <si>
    <t>福建省福州市闽清县白樟镇马鞍工业区</t>
  </si>
  <si>
    <t>福建省福州市闽清县解放大街116号天馨园小区</t>
  </si>
  <si>
    <t>曹磊</t>
  </si>
  <si>
    <t>山东省威海市环翠区威海市环翠区海港路80号友谊商务写字楼</t>
  </si>
  <si>
    <t>山东省威海市环翠区竹岛街道渔港路95号楼103室</t>
  </si>
  <si>
    <t>胡陈鑫</t>
  </si>
  <si>
    <t>四川省成都市金牛区站北东街188号</t>
  </si>
  <si>
    <t>四川省成都市金牛区站北东街188号云景豪庭一栋1304</t>
  </si>
  <si>
    <t>任博文</t>
  </si>
  <si>
    <t>河南省洛阳市老城区邙山镇中沟工业园区</t>
  </si>
  <si>
    <t>河南省洛阳市涧西区谷水友谊街20号</t>
  </si>
  <si>
    <t>谢先华</t>
  </si>
  <si>
    <t>江西省赣州市于都县新龙都52号</t>
  </si>
  <si>
    <t>江西省赣州市于都县岭背镇燕溪村对望组158号</t>
  </si>
  <si>
    <t>钟小伟</t>
  </si>
  <si>
    <t>湖北省咸宁市咸安区永安金桂路266号</t>
  </si>
  <si>
    <t>湖北省咸宁市咸安区红桥路203号</t>
  </si>
  <si>
    <t>刘伟</t>
  </si>
  <si>
    <t>安徽省合肥市包河区一楼36号</t>
  </si>
  <si>
    <t>江苏徐州铜山新区二堡</t>
  </si>
  <si>
    <t>谢晓庆</t>
  </si>
  <si>
    <t>北京市北京市东城区南苑路木樨园天雅女装大厦十楼1016</t>
  </si>
  <si>
    <t>北京市北京市东城区大红门西路景蓝家园一号楼一单元601</t>
  </si>
  <si>
    <t>漆国治</t>
  </si>
  <si>
    <t>河南省新乡市封丘县河南省新乡市封丘县产业集聚区工业一路东段路北</t>
  </si>
  <si>
    <t>甘肃省定西市漳县甘肃省定西市漳县金钟镇纳仁沟村大庄社</t>
  </si>
  <si>
    <t>郭旭杭</t>
  </si>
  <si>
    <t>孙竹梅</t>
  </si>
  <si>
    <t>山西省忻州市忻府区山西省忻州市忻府区奇村镇奇村</t>
  </si>
  <si>
    <t>山西省忻州市忻府区山西省忻州市忻府区奇村</t>
  </si>
  <si>
    <t>陈泽恩</t>
  </si>
  <si>
    <t>广东省揭阳市普宁市流沙西街道尚堤中央1103</t>
  </si>
  <si>
    <t>广东省揭阳市普宁市流沙南街道南华里1栋25号</t>
  </si>
  <si>
    <t>窦玉娟</t>
  </si>
  <si>
    <t>天津滨海新区洞庭路130号</t>
  </si>
  <si>
    <t>天津市天津市滨海新区天津滨海新区中心北路中心北里9栋1门101</t>
  </si>
  <si>
    <t>章文</t>
  </si>
  <si>
    <t>重庆市重庆市渝北区渝北区鸳鸯街道建设批发市场</t>
  </si>
  <si>
    <t>重庆市重庆市北碚区北碚区城南嘉陵步行街财富双星</t>
  </si>
  <si>
    <t>黄煜华</t>
  </si>
  <si>
    <t>广西柳州市鱼峰区车园横五路3号</t>
  </si>
  <si>
    <t>广西柳州市鱼峰区蝴蝶山路56号白云小区三村2栋301室</t>
  </si>
  <si>
    <t>李杰玲</t>
  </si>
  <si>
    <t>广东省广州市天河区天河北路605号华标广场</t>
  </si>
  <si>
    <t>广东省广州市天河区石牌西路天晟明苑1203房</t>
  </si>
  <si>
    <t>杨旭生</t>
  </si>
  <si>
    <t>吉林省吉林市昌邑区吉林大街165号</t>
  </si>
  <si>
    <t>吉林省吉林市船营区鸿博锦绣小区32号楼二单元302</t>
  </si>
  <si>
    <t>邹明</t>
  </si>
  <si>
    <t>江苏省苏州市吴中区木渎尧峰西路66号</t>
  </si>
  <si>
    <t>江苏省苏州市吴中区胥口吉祥一村8栋503</t>
  </si>
  <si>
    <t>卓祥斌</t>
  </si>
  <si>
    <t>福建省厦门市湖里区高崎南五路航空商务广场四楼</t>
  </si>
  <si>
    <t>福建省厦门市集美区孙厝乐安南里88号</t>
  </si>
  <si>
    <t>王翔</t>
  </si>
  <si>
    <t>湖南省衡阳市蒸湘区衡阳市蒸湘区杨柳汽贸城二期四组</t>
  </si>
  <si>
    <t>湖南省衡阳市石鼓区衡阳市石鼓区潇湘街长青路13号一单元401</t>
  </si>
  <si>
    <t>袁攀</t>
  </si>
  <si>
    <t>四川省雅安市名山县蒙阳镇园区大道186号</t>
  </si>
  <si>
    <t>四川省雅安市雨城区车领镇岱宗村七组五号</t>
  </si>
  <si>
    <t>郑鑫邦</t>
  </si>
  <si>
    <t>广东省广州市番禺区石楼镇亚运城兴亚三路23号体验中心三楼</t>
  </si>
  <si>
    <t>广东省广州市番禺区石楼镇运动员村一区1206号</t>
  </si>
  <si>
    <t>李青州</t>
  </si>
  <si>
    <t>江苏省苏州市昆山市湖滨中路1549号</t>
  </si>
  <si>
    <t>江苏省苏州市相城区湖滨中路1549号</t>
  </si>
  <si>
    <t>苏振</t>
  </si>
  <si>
    <t>浙江省温州市瓯海区郭溪镇梅屿村温瞿东路958号</t>
  </si>
  <si>
    <t>浙江省温州市鹿城区娄桥街道熊汇家园2栋1306</t>
  </si>
  <si>
    <t>赵福臣</t>
  </si>
  <si>
    <t>河南省新乡市卫滨区新乡市汽车站南进站口对面</t>
  </si>
  <si>
    <t>河南省新乡市牧野区河南省新乡市牧野区凤岗南一巷8号2号楼3单元6号</t>
  </si>
  <si>
    <t>崔强</t>
  </si>
  <si>
    <t>江苏省苏州市吴江区松陵镇联华路8号</t>
  </si>
  <si>
    <t>江苏省苏州市吴江区松陵镇长青路13号</t>
  </si>
  <si>
    <t>姜勇</t>
  </si>
  <si>
    <t>山东省青岛市城阳区正阳中路26号29号楼803室</t>
  </si>
  <si>
    <t>山东省青岛市即墨市通济街道西元庄永合硕钧苑</t>
  </si>
  <si>
    <t>钱健</t>
  </si>
  <si>
    <t>浙江省宁波市象山县西周镇华翔工业园区内</t>
  </si>
  <si>
    <t>浙江省宁波市象山县西周镇下沈村长庆东路26号</t>
  </si>
  <si>
    <t>黄宏杰</t>
  </si>
  <si>
    <t>广东省深圳市福田区深圳市福田区益田路3008会展时代中心7层</t>
  </si>
  <si>
    <t>广东省深圳市福田区福田区益田路</t>
  </si>
  <si>
    <t>何朱林</t>
  </si>
  <si>
    <t>广东省深圳市宝安区龙华区观西路39号龙城工业园12栋</t>
  </si>
  <si>
    <t>广东省深圳市宝安区龙华新区高坳新村114幢</t>
  </si>
  <si>
    <t>邓磊</t>
  </si>
  <si>
    <t>天津市天津市滨海新区大港区五方里24-1</t>
  </si>
  <si>
    <t>天津市天津市滨海新区大港区五方里17号楼2单元102门</t>
  </si>
  <si>
    <t>张凯明</t>
  </si>
  <si>
    <t>尹晓东</t>
  </si>
  <si>
    <t>广西南宁市兴宁区园湖南路园湖苑904</t>
  </si>
  <si>
    <t>广西南宁市兴宁区东葛路东葛华都1316</t>
  </si>
  <si>
    <t>贾涛</t>
  </si>
  <si>
    <t>顾超</t>
  </si>
  <si>
    <t>江苏省无锡市江阴市锡澄路588号</t>
  </si>
  <si>
    <t>江苏省无锡市江阴市月城镇华府家园61幢801室</t>
  </si>
  <si>
    <t>韩旭康</t>
  </si>
  <si>
    <t>周楚源</t>
  </si>
  <si>
    <t>山东省淄博市张店区和平路2号4楼</t>
  </si>
  <si>
    <t>山东省淄博市张店区傅家镇傅家小区8号楼4单元502</t>
  </si>
  <si>
    <t>袁光辉</t>
  </si>
  <si>
    <t>重庆市重庆市沙坪坝区土主镇西街81号</t>
  </si>
  <si>
    <t>重庆市重庆市沙坪坝区土主镇民心路锦宏小区a栋一单元404号</t>
  </si>
  <si>
    <t>张化冰</t>
  </si>
  <si>
    <t>湖北省武汉市江岸区建设大道738号浙商国际大厦23楼</t>
  </si>
  <si>
    <t>湖北省武汉市江岸区兴业路秀泽园北区8栋3单元602室</t>
  </si>
  <si>
    <t>沈楠</t>
  </si>
  <si>
    <t>黑龙江省双鸭山市宝清县八五三农场依绕路</t>
  </si>
  <si>
    <t>黑龙江省双鸭山市宝清县八五三农场清河小区1号楼6单元301</t>
  </si>
  <si>
    <t>李飞军</t>
  </si>
  <si>
    <t>湖北省荆门市东宝区象山大道17号</t>
  </si>
  <si>
    <t>湖北省荆门市东宝区白石坡关公园中区73号</t>
  </si>
  <si>
    <t>马国俊</t>
  </si>
  <si>
    <t>浙江省绍兴市诸暨市浙江省杭州市临安区苕溪南路金岸大厦</t>
  </si>
  <si>
    <t>浙江省绍兴市越城区浙江省诸暨市环城北路世纪花城</t>
  </si>
  <si>
    <t>陈露璐</t>
  </si>
  <si>
    <t>广东省云浮市云城区高峰镇星岩四路51号</t>
  </si>
  <si>
    <t>广东省云浮市云城区高峰镇罗桂桥生活区142栋101</t>
  </si>
  <si>
    <t>叶辉盛</t>
  </si>
  <si>
    <t>广东省茂名市电白县麻岗镇温泉中路66号</t>
  </si>
  <si>
    <t>于佳男</t>
  </si>
  <si>
    <t>浙江省金华市义乌市银海二区83栋</t>
  </si>
  <si>
    <t>浙江省金华市义乌市遗安二区15栋</t>
  </si>
  <si>
    <t>黄勇君</t>
  </si>
  <si>
    <t>广东省广州市天河区黄埔大道中 413号</t>
  </si>
  <si>
    <t>广东省广州市从化市城郊街尚平里58号</t>
  </si>
  <si>
    <t>张鹏</t>
  </si>
  <si>
    <t>吉林省长春市绿园区春城大街38-2松辽委宿舍101号房</t>
  </si>
  <si>
    <t>吉林省长春市南关区春城大街38-2松辽委宿舍101号</t>
  </si>
  <si>
    <t>王俊宇</t>
  </si>
  <si>
    <t>广东省广州市花都区新白云国际机场南工作区空港五路南航综合大楼</t>
  </si>
  <si>
    <t>广东省广州市从化市街口街中蓝东一巷四栋202</t>
  </si>
  <si>
    <t>关国良</t>
  </si>
  <si>
    <t>辽宁省鞍山市铁东区南建国路195号</t>
  </si>
  <si>
    <t>辽宁省鞍山市千山区高新区运通三号第</t>
  </si>
  <si>
    <t>任菁</t>
  </si>
  <si>
    <t>湖北省黄石市下陆区杭州西路18号</t>
  </si>
  <si>
    <t>湖北省黄石市西塞山区西塞花园10栋4单元601</t>
  </si>
  <si>
    <t>龚林传</t>
  </si>
  <si>
    <t>广东省珠海市香洲区中山市康华路66号</t>
  </si>
  <si>
    <t>广东省珠海市香洲区中山市坦洲镇中澳翠湖居3栋1001</t>
  </si>
  <si>
    <t>吴灵敏</t>
  </si>
  <si>
    <t>福建省福州市仓山区福建省福州市仓山区高坂路8号</t>
  </si>
  <si>
    <t>福建省福州市闽侯县上街镇马保村后园22号</t>
  </si>
  <si>
    <t>黄智青</t>
  </si>
  <si>
    <t>广东省汕头市龙湖区长平路90号苏宁广场1栋1812房</t>
  </si>
  <si>
    <t>广东省汕头市金平区龙眼南路11巷6号603房</t>
  </si>
  <si>
    <t>和茂卿</t>
  </si>
  <si>
    <t>广东东莞东坑镇工业大道</t>
  </si>
  <si>
    <t>广西桂林市全州县广西全州县安和乡</t>
  </si>
  <si>
    <t>李杨赛</t>
  </si>
  <si>
    <t>浙江省温州市乐清市城南街道南岸村庆丰路7号</t>
  </si>
  <si>
    <t>浙江省温州市乐清市城南街道聚源西路75弄1幢1单元101室</t>
  </si>
  <si>
    <t>李红森</t>
  </si>
  <si>
    <t>河北省石家庄市新乐市南环路162号</t>
  </si>
  <si>
    <t>河北省石家庄市新乐市宝港上城3号楼二单元1504</t>
  </si>
  <si>
    <t>何志鹏</t>
  </si>
  <si>
    <t>四川省成都市武侯区天府二街复城国际广场T41712</t>
  </si>
  <si>
    <t>四川省成都市双流县古城东苑一栋一单元907</t>
  </si>
  <si>
    <t>黎宏宇</t>
  </si>
  <si>
    <t>云南省楚雄彝族自治州大姚县云南省楚雄州大姚县电子商务服务站</t>
  </si>
  <si>
    <t>云南省楚雄彝族自治州大姚县环城北路72号</t>
  </si>
  <si>
    <t>张聪</t>
  </si>
  <si>
    <t>山东省济宁市金乡县山东省济宁市金乡县司马镇人民政府环保所</t>
  </si>
  <si>
    <t>山东省济宁市金乡县文峰路东段金水岸小区4号楼1单元1102</t>
  </si>
  <si>
    <t>李永贤</t>
  </si>
  <si>
    <t>福建省厦门市集美区后溪大道515号</t>
  </si>
  <si>
    <t>福建省厦门市集美区后溪新村社区环西路58 号</t>
  </si>
  <si>
    <t>张蕊</t>
  </si>
  <si>
    <t>安徽省宿州市埇桥区东昌路与顺河路交汇处</t>
  </si>
  <si>
    <t>安徽省宿州市埇桥区祁县镇邱元村邱东组</t>
  </si>
  <si>
    <t>于宗腾</t>
  </si>
  <si>
    <t>李万福</t>
  </si>
  <si>
    <t>四川省德阳市旌阳区庐山南路一段11号</t>
  </si>
  <si>
    <t>四川省德阳市广汉市金鱼镇月湾村3组</t>
  </si>
  <si>
    <t>赵福生</t>
  </si>
  <si>
    <t>广东省湛江市霞山区军民路25号财富大厦A座506</t>
  </si>
  <si>
    <t>广东省湛江市赤坎区体育北路君临世纪1栋903</t>
  </si>
  <si>
    <t>冯俊</t>
  </si>
  <si>
    <t>广东省深圳市南山区褔永</t>
  </si>
  <si>
    <t>广东省深圳市宝安区广西</t>
  </si>
  <si>
    <t>牛月花</t>
  </si>
  <si>
    <t>柳爱霞</t>
  </si>
  <si>
    <t>郭春林</t>
  </si>
  <si>
    <t>福建省莆田市荔城区新度镇天妃路5367号</t>
  </si>
  <si>
    <t>王朋辉</t>
  </si>
  <si>
    <t>河南省郑州市巩义市回郭镇开发区长春路78号</t>
  </si>
  <si>
    <t>河南省郑州市巩义市回郭镇驻驾庄村驻驾北街113号</t>
  </si>
  <si>
    <t>梁杰</t>
  </si>
  <si>
    <t>广东省东莞市常平镇振兴三街汇俊中心6楼</t>
  </si>
  <si>
    <t>广东省东莞市常平镇常马路花和小城109铺</t>
  </si>
  <si>
    <t>周宏</t>
  </si>
  <si>
    <t>王聪</t>
  </si>
  <si>
    <t>沈仕浩</t>
  </si>
  <si>
    <t>海南省海口市龙华区山高村信诚大厦60号</t>
  </si>
  <si>
    <t>海南省海口市琼山区府城镇河口路99号</t>
  </si>
  <si>
    <t>邓琪钟</t>
  </si>
  <si>
    <t>广东省惠州市惠东县平山金光路联防队大队</t>
  </si>
  <si>
    <t>广东省惠州市惠东县平山新村西九巷十二号</t>
  </si>
  <si>
    <t>黄志高</t>
  </si>
  <si>
    <t>广东省惠州市惠东县黄埠镇龟山羊大道</t>
  </si>
  <si>
    <t>广东省惠州市惠东县吉隆镇中学路家润超市楼上</t>
  </si>
  <si>
    <t>刘晓辉</t>
  </si>
  <si>
    <t>廖剑涛</t>
  </si>
  <si>
    <t>浙江省金华市婺城区新狮街道河上桥社区芙苑路120号</t>
  </si>
  <si>
    <t>浙江省金华市婺城区新狮街道道院塘道院街332号</t>
  </si>
  <si>
    <t>邓雪梅</t>
  </si>
  <si>
    <t>广东省揭阳市榕城区新河路中段博明玻璃东侧</t>
  </si>
  <si>
    <t>广东省揭阳市榕城区雅豪祥苑15号</t>
  </si>
  <si>
    <t>陈辉豪</t>
  </si>
  <si>
    <t>广东省汕尾市城区城东镇老车头</t>
  </si>
  <si>
    <t>广东省汕尾市城区城东镇下坑村</t>
  </si>
  <si>
    <t>刘芳</t>
  </si>
  <si>
    <t>江西省南昌市南昌县天祥大道瑶湖西五路龚杏产业园</t>
  </si>
  <si>
    <t>江西省南昌市青山湖区火炬二路阳光小区下万村</t>
  </si>
  <si>
    <t>范立</t>
  </si>
  <si>
    <t>四川省成都市郫县高店路西段226号百维广场一栋二楼218-219号</t>
  </si>
  <si>
    <t>四川省成都市郫县红高东路269号龙城国际四期四栋一单元3203号</t>
  </si>
  <si>
    <t>王丽娜</t>
  </si>
  <si>
    <t>湖南省长沙市芙蓉区芙蓉区五一广场</t>
  </si>
  <si>
    <t>湖南省长沙市长沙县万家丽北路红树湾</t>
  </si>
  <si>
    <t>杨军</t>
  </si>
  <si>
    <t>贵州省贵阳市息烽县小寨坝镇黑神庙贸易路</t>
  </si>
  <si>
    <t>贵州省贵阳市息烽县小寨坝镇黑神庙磷兴园小区8号楼一单元五楼15号</t>
  </si>
  <si>
    <t>周标</t>
  </si>
  <si>
    <t>浙江省嘉兴市海宁市海宁市许村镇前进村连树汇17号</t>
  </si>
  <si>
    <t>黄浩勇</t>
  </si>
  <si>
    <t>乌日娜</t>
  </si>
  <si>
    <t>简计定</t>
  </si>
  <si>
    <t>广东省深圳市福田区益田路明月花园高层裙楼A座402</t>
  </si>
  <si>
    <t>广东省深圳市宝安区西乡街道河西三坊176号</t>
  </si>
  <si>
    <t>卫杰</t>
  </si>
  <si>
    <t>河南省三门峡市湖滨区建设路东段13号</t>
  </si>
  <si>
    <t>河南省三门峡市湖滨区宋会路下横渠71号</t>
  </si>
  <si>
    <t>孙迹</t>
  </si>
  <si>
    <t>黑龙江省牡丹江市宁安市恋恋山城美食一条街</t>
  </si>
  <si>
    <t>黑龙江省牡丹江市宁安市恋恋山城小区</t>
  </si>
  <si>
    <t>张圣毅</t>
  </si>
  <si>
    <t>吉林省辽源市龙山区宝丰路48号</t>
  </si>
  <si>
    <t>吉林省辽源市西安区仙城小区19号楼5单元301</t>
  </si>
  <si>
    <t>郝嵘</t>
  </si>
  <si>
    <t>山西省太原市杏花岭区华宇国际</t>
  </si>
  <si>
    <t>山西省太原市迎泽区海边街17</t>
  </si>
  <si>
    <t>王伟成</t>
  </si>
  <si>
    <t>浙江省衢州市常山县梅园路70号</t>
  </si>
  <si>
    <t>浙江省衢州市常山县芳村镇芙蓉湖村</t>
  </si>
  <si>
    <t>徐超</t>
  </si>
  <si>
    <t>湖北省宜昌市西陵区港窑路5号</t>
  </si>
  <si>
    <t>湖北省宜昌市西陵区东罗路69号</t>
  </si>
  <si>
    <t>张慧明</t>
  </si>
  <si>
    <t>浙江省衢州市柯城区上街南湖桥96号</t>
  </si>
  <si>
    <t>浙江省衢州市衢江区浮石街道航东村190号</t>
  </si>
  <si>
    <t>黄娜娜</t>
  </si>
  <si>
    <t>河南省焦作市修武县为民路东段</t>
  </si>
  <si>
    <t>河南省焦作市修武县七贤大道269号附16号</t>
  </si>
  <si>
    <t>马广东</t>
  </si>
  <si>
    <t>山东省青岛市即墨市南泉镇乔戈庄村</t>
  </si>
  <si>
    <t>山东省青岛市即墨市南泉镇金泉二路8号福慧嘉苑</t>
  </si>
  <si>
    <t>郭威</t>
  </si>
  <si>
    <t>呼晓鹏</t>
  </si>
  <si>
    <t>山西省太原市小店区亲贤北街108号</t>
  </si>
  <si>
    <t>山西省吕梁市孝义市胜溪润泽院4楼3201室</t>
  </si>
  <si>
    <t>伏涛</t>
  </si>
  <si>
    <t>山东省潍坊市安丘市市北区明湖路新兴街路南10号</t>
  </si>
  <si>
    <t>山东省潍坊市安丘市市北区中央世家小区</t>
  </si>
  <si>
    <t>杨多会</t>
  </si>
  <si>
    <t>开米尔丁·卡迪尔</t>
  </si>
  <si>
    <t>张东亮</t>
  </si>
  <si>
    <t>许家强</t>
  </si>
  <si>
    <t>广西北海市海城区解放路133号</t>
  </si>
  <si>
    <t>广西北海市海城区地角上寮801号</t>
  </si>
  <si>
    <t>王小东</t>
  </si>
  <si>
    <t>尚元杰</t>
  </si>
  <si>
    <t>安徽省合肥市包河区西南大学</t>
  </si>
  <si>
    <t>王港</t>
  </si>
  <si>
    <t>唐小叶</t>
  </si>
  <si>
    <t>江苏省常州市武进区长虹东路403号</t>
  </si>
  <si>
    <t>江苏省常州市武进区大学新村193-己-201</t>
  </si>
  <si>
    <t>李振宇</t>
  </si>
  <si>
    <t>辽宁省营口市站前区渤海大街东19号工业大厦107室</t>
  </si>
  <si>
    <t>辽宁省营口市老边区捻线街构件小区2单元202</t>
  </si>
  <si>
    <t>黄泽巧</t>
  </si>
  <si>
    <t>朱修承</t>
  </si>
  <si>
    <t>湖北省武汉市蔡甸区政务职工医疗保险中心</t>
  </si>
  <si>
    <t>湖北省武汉市武昌区汪家墩西区79号</t>
  </si>
  <si>
    <t>丁永峰</t>
  </si>
  <si>
    <t>辽宁省沈阳市沈河区奉天街251号</t>
  </si>
  <si>
    <t>辽宁省沈阳市沈河区小西路66号楼233</t>
  </si>
  <si>
    <t>余翁达</t>
  </si>
  <si>
    <t>北京市北京市大兴区大兴区双羊路18号</t>
  </si>
  <si>
    <t>河南省南阳市镇平县张林乡黑龙集太平观村106号</t>
  </si>
  <si>
    <t>田龙</t>
  </si>
  <si>
    <t>湖南省怀化市鹤城区顺天大道鹏程大厦A座205</t>
  </si>
  <si>
    <t>湖南省怀化市鹤城区红星南路辰昱财富小区</t>
  </si>
  <si>
    <t>陈春林</t>
  </si>
  <si>
    <t>张松玉</t>
  </si>
  <si>
    <t>江苏省南通市通州区金沙镇世纪大道999号</t>
  </si>
  <si>
    <t>江苏省南通市通州区金沙镇银河路68号</t>
  </si>
  <si>
    <t>王一纯</t>
  </si>
  <si>
    <t>陕西省咸阳市秦都区体育场十字西南角</t>
  </si>
  <si>
    <t>陕西省咸阳市秦都区人民西路陶瓷厂小区2号楼一单元1102</t>
  </si>
  <si>
    <t>黄晓东</t>
  </si>
  <si>
    <t>黄煌辉</t>
  </si>
  <si>
    <t>福建省福州市鼓楼区歧阳南路1041号</t>
  </si>
  <si>
    <t>福建省福州市罗源县东环路世纪花园小区五栋203</t>
  </si>
  <si>
    <t>牛倩</t>
  </si>
  <si>
    <t>云南省曲靖市麒麟区珍珠街160号</t>
  </si>
  <si>
    <t>云南省曲靖市麒麟区泰丽锦苑3栋101</t>
  </si>
  <si>
    <t>周悦</t>
  </si>
  <si>
    <t>上海市上海市杨浦区殷行路1286号</t>
  </si>
  <si>
    <t>上海市上海市闸北区柳营路1025弄39号602</t>
  </si>
  <si>
    <t>李晓龙</t>
  </si>
  <si>
    <t>浙江省嘉兴市南湖区内蒙古包头市东河区南绕城高速公路南</t>
  </si>
  <si>
    <t>浙江省嘉兴市南湖区内蒙古包头市昆都仑区团结大街十七号街坊9栋2号</t>
  </si>
  <si>
    <t>王兆辉</t>
  </si>
  <si>
    <t>黑龙江省大庆市大同区郭尔罗斯大街302号</t>
  </si>
  <si>
    <t>黑龙江省大庆市肇源县解放路龙祥花园三号楼二单元301室</t>
  </si>
  <si>
    <t>王洋</t>
  </si>
  <si>
    <t>贵州省贵阳市南明区贵阳市南明区玉厂路107号</t>
  </si>
  <si>
    <t>贵州省贵阳市开阳县贵州省贵阳市开阳县高寨乡杠寨村沙子坳组</t>
  </si>
  <si>
    <t>邹先铭</t>
  </si>
  <si>
    <t>福建省龙岩市新罗区龙州工业园区江龙路13号</t>
  </si>
  <si>
    <t>福建省龙岩市新罗区中城新中路20号</t>
  </si>
  <si>
    <t>王宇新</t>
  </si>
  <si>
    <t>李俊</t>
  </si>
  <si>
    <t>董婷婷</t>
  </si>
  <si>
    <t>安徽省合肥市包河区难兄难弟看到</t>
  </si>
  <si>
    <t>安徽省合肥市包河区看到你的呢大年三十呢</t>
  </si>
  <si>
    <t>黄小聪</t>
  </si>
  <si>
    <t>广东省深圳市罗湖区爱联A片422号</t>
  </si>
  <si>
    <t>广东省深圳市龙岗区爱联A片85号</t>
  </si>
  <si>
    <t>刘娇</t>
  </si>
  <si>
    <t>福建省厦门市集美区霞梧路</t>
  </si>
  <si>
    <t>福建省厦门市集美区临泉路12号</t>
  </si>
  <si>
    <t>苏凯</t>
  </si>
  <si>
    <t>施洪霞</t>
  </si>
  <si>
    <t>重庆市重庆市万州区观音桥蔚蓝世纪兴隆路通惠大道16号</t>
  </si>
  <si>
    <t>重庆市重庆市万州区金渝大道鸳鸯街道蔚蓝世纪兴隆路16号</t>
  </si>
  <si>
    <t>罗鹏</t>
  </si>
  <si>
    <t>江苏省常州市新北区通江中路三井大厦1001</t>
  </si>
  <si>
    <t>江苏省常州市武进区武宜北路嘉禾公寓107</t>
  </si>
  <si>
    <t>罗定国</t>
  </si>
  <si>
    <t>云南省普洱市思茅区茶苑路36号</t>
  </si>
  <si>
    <t>云南省普洱市思茅区宁洱大道79号</t>
  </si>
  <si>
    <t>殷港雄</t>
  </si>
  <si>
    <t>江苏省无锡市锡山区江苏省无锡市锡山区团结中路6号</t>
  </si>
  <si>
    <t>江苏省无锡市惠山区江苏省无锡市惠山区迎宾路长馨家园23栋201</t>
  </si>
  <si>
    <t>覃维国</t>
  </si>
  <si>
    <t>广东省佛山市顺德区杏坛镇逢简村直街2号</t>
  </si>
  <si>
    <t>广东省佛山市顺德区容桂镇新马路17座207号</t>
  </si>
  <si>
    <t>李昇昇</t>
  </si>
  <si>
    <t>广西南宁市青秀区泰富大厦11楼11B-1</t>
  </si>
  <si>
    <t>广西南宁市江南区广西扶绥县渠黎镇岜桑村下屯253号</t>
  </si>
  <si>
    <t>钟翰茜</t>
  </si>
  <si>
    <t>广西来宾市兴宾区来宾市长梅路</t>
  </si>
  <si>
    <t>广西来宾市兴宾区来宾市兴宾区红水河大道上宾官邸</t>
  </si>
  <si>
    <t>赵建</t>
  </si>
  <si>
    <t>湖南省株洲市荷塘区株洲市荷塘区明照道领村新屋组</t>
  </si>
  <si>
    <t>湖南省株洲市荷塘区桂花街道新塘坡村泥湾里组61号</t>
  </si>
  <si>
    <t>卢伟锋</t>
  </si>
  <si>
    <t>广东省清远市清新县太和镇玄真路太和工业园</t>
  </si>
  <si>
    <t>广东省清远市清新县太和镇明霞路山湖世纪花园4栋1108</t>
  </si>
  <si>
    <t>徐峰</t>
  </si>
  <si>
    <t>浙江省嘉兴市桐乡市振东新区城南新村锦苑三号</t>
  </si>
  <si>
    <t>浙江省嘉兴市桐乡市北港花园8幢1单元202室</t>
  </si>
  <si>
    <t>张健芝</t>
  </si>
  <si>
    <t>广西南宁市江南区国凯大道东19号金凯工业园</t>
  </si>
  <si>
    <t>广西南宁市兴宁区南梧路金禾湾东区25栋一单元402</t>
  </si>
  <si>
    <t>金柯</t>
  </si>
  <si>
    <t>江苏省常州市天宁区北环新村44幢甲单元103</t>
  </si>
  <si>
    <t>江苏省常州市天宁区采菱公寓28幢甲单元602</t>
  </si>
  <si>
    <t>毛灵伟</t>
  </si>
  <si>
    <t>江西省吉安市吉州区吉州区井冈山大道51号</t>
  </si>
  <si>
    <t>江西省吉安市吉州区白塘街道年丰公寓2栋2单元302</t>
  </si>
  <si>
    <t>杨万征</t>
  </si>
  <si>
    <t>吉林省通化市梅河口市铁北街拥军路15号</t>
  </si>
  <si>
    <t>吉林省通化市梅河口市和平街道丽园小区1017栋3单元601</t>
  </si>
  <si>
    <t>国佳琦</t>
  </si>
  <si>
    <t>吉林省白山市抚松县松江河镇长白大街二号</t>
  </si>
  <si>
    <t>吉林省白山市抚松县优山美地小区五号楼四单元401</t>
  </si>
  <si>
    <t>习林</t>
  </si>
  <si>
    <t>浙江省温州市瑞安市飞云下厂新工业区</t>
  </si>
  <si>
    <t>罗承林</t>
  </si>
  <si>
    <t>贵州省黔南布依族苗族自治州罗甸县罗甸县解放东路128号</t>
  </si>
  <si>
    <t>贵州省黔南布依族苗族自治州罗甸县贵州省罗甸县永龙玉石城</t>
  </si>
  <si>
    <t>向坤</t>
  </si>
  <si>
    <t>吴建金</t>
  </si>
  <si>
    <t>福建省南平市延平区紫云街道环城中路210号</t>
  </si>
  <si>
    <t>福建省南平市延平区四鹤街道府后路7号403室</t>
  </si>
  <si>
    <t>邓玉春</t>
  </si>
  <si>
    <t>四川省遂宁市船山区凯旋下路168号</t>
  </si>
  <si>
    <t>四川省绵阳市三台县学林路陈家巷003号</t>
  </si>
  <si>
    <t>农佳翰</t>
  </si>
  <si>
    <t>广西南宁市青秀区星湖路14号电子科技广场4号楼505</t>
  </si>
  <si>
    <t>广西南宁市良庆区良庆镇天誉花园五组团18栋2703</t>
  </si>
  <si>
    <t>汪思宇</t>
  </si>
  <si>
    <t>四川省成都市双流县中和镇中和大道二段天益国际</t>
  </si>
  <si>
    <t>四川省成都市双流县中和镇中和大道二段69号</t>
  </si>
  <si>
    <t>甘肃省庆阳市西峰区建材市场西门16号</t>
  </si>
  <si>
    <t>甘肃省庆阳市西峰区气象局巷寨子乡家属区65号</t>
  </si>
  <si>
    <t>何明林</t>
  </si>
  <si>
    <t>四川省成都市武侯区晋吉北路282号</t>
  </si>
  <si>
    <t>四川省广元市利州区工农镇联盟村二组21号</t>
  </si>
  <si>
    <t>陈和香</t>
  </si>
  <si>
    <t>广东省深圳市宝安区光明新区怡景工业城A1栋6楼</t>
  </si>
  <si>
    <t>广东省深圳市宝安区公明街道合水口社区泥围新村小区1巷12号501</t>
  </si>
  <si>
    <t>赵阳</t>
  </si>
  <si>
    <t>山东省济南市市中区七贤街道后龙窝庄西路212号</t>
  </si>
  <si>
    <t>山东省济南市历下区七贤街道后龙小学南邻317号</t>
  </si>
  <si>
    <t>徐剑雄</t>
  </si>
  <si>
    <t>浙江省杭州市西湖区天目山路313号18号楼401</t>
  </si>
  <si>
    <t>浙江省杭州市余杭区中泰街道新明半岛7幢701</t>
  </si>
  <si>
    <t>王栋梁</t>
  </si>
  <si>
    <t>河南省郑州市二七区二七区金博大大厦b座1801</t>
  </si>
  <si>
    <t>河南省郑州市中原区阳光世纪城15号楼一单元六楼601</t>
  </si>
  <si>
    <t>龚芬</t>
  </si>
  <si>
    <t>福建省厦门市湖里区梧桐西路76号</t>
  </si>
  <si>
    <t>福建省厦门市湖里区金湖二里16号之一402</t>
  </si>
  <si>
    <t>黄俊瑚</t>
  </si>
  <si>
    <t>李立</t>
  </si>
  <si>
    <t>湖北省荆州市松滋市新江口镇民主路与五一路交汇处天利财富广场3楼</t>
  </si>
  <si>
    <t>湖北省荆州市松滋市新江口镇二环路红草坪花园6栋701</t>
  </si>
  <si>
    <t>梁家杰</t>
  </si>
  <si>
    <t>广西南宁市西乡塘区广西壮族自治区南宁市西乡塘区高新技术开发区南二路</t>
  </si>
  <si>
    <t>郑海霞</t>
  </si>
  <si>
    <t>甘肃省张掖市甘州区县府街佛城广场利郎男装专卖店</t>
  </si>
  <si>
    <t>甘肃省张掖市甘州区美联国际小区四号楼</t>
  </si>
  <si>
    <t>杜金玉</t>
  </si>
  <si>
    <t>河北省石家庄市桥西区石家庄桥西区新石北路368号软件大厦A区801</t>
  </si>
  <si>
    <t>河北省石家庄市新华区联盟路东三庄街弘石湾C2区3栋二单元1202室</t>
  </si>
  <si>
    <t>张文敏</t>
  </si>
  <si>
    <t>福建省福州市鼓楼区五四路128号恒力城写字楼13层</t>
  </si>
  <si>
    <t>福建省福州市鼓楼区建新南路269号阳光城新界7座1003</t>
  </si>
  <si>
    <t>余兴林</t>
  </si>
  <si>
    <t>广东省珠海市香洲区前山街道翠微东路68号君临酒店3楼</t>
  </si>
  <si>
    <t>广东省珠海市香洲区翠微东路118号翠雅苑205号</t>
  </si>
  <si>
    <t>廖柱清</t>
  </si>
  <si>
    <t>王海洋</t>
  </si>
  <si>
    <t>山东省青岛市黄岛区双珠路卓越西海岸二楼</t>
  </si>
  <si>
    <t>山东省青岛市市南区灵山湾路书香泮城10号楼一单元</t>
  </si>
  <si>
    <t>侯亚光</t>
  </si>
  <si>
    <t>江苏省无锡市江阴市澄江东路97号</t>
  </si>
  <si>
    <t>江苏省无锡市江阴市长山镇石牌一村41栋1楼</t>
  </si>
  <si>
    <t>李磊</t>
  </si>
  <si>
    <t>河北省石家庄市桥西区大经街中山华府14号楼101</t>
  </si>
  <si>
    <t>河北省石家庄市桥西区平安小区北区4号楼5单元202</t>
  </si>
  <si>
    <t>徐可顺</t>
  </si>
  <si>
    <t>黑龙江省绥化市肇东市东发乡增收村</t>
  </si>
  <si>
    <t>黑龙江省哈尔滨市松北区学院路街道泓林金色地标七号楼3单元301</t>
  </si>
  <si>
    <t>张旭东</t>
  </si>
  <si>
    <t>甘肃省定西市安定区甘肃省定西市安定区教育大道1号</t>
  </si>
  <si>
    <t>甘肃省定西市安定区甘肃省定西市安定区交通北路34号</t>
  </si>
  <si>
    <t>黄泰维</t>
  </si>
  <si>
    <t>张自丹</t>
  </si>
  <si>
    <t>四川省阿坝藏族羌族自治州马尔康县达萨街546号</t>
  </si>
  <si>
    <t>四川省阿坝藏族羌族自治州汶川县威州镇较场街下段三栋三单元501</t>
  </si>
  <si>
    <t>张亚龙</t>
  </si>
  <si>
    <t>河南省平顶山市新华区中兴路与和平路交叉口东北角</t>
  </si>
  <si>
    <t>河南省平顶山市新华区和平路步行街2号楼三单元五楼西户</t>
  </si>
  <si>
    <t>占扬俊</t>
  </si>
  <si>
    <t>浙江省衢州市常山县常山县金川街道童家村101号</t>
  </si>
  <si>
    <t>浙江省衢州市常山县常山县金川街道胡家淤村156号</t>
  </si>
  <si>
    <t>滕刘</t>
  </si>
  <si>
    <t>原军杰</t>
  </si>
  <si>
    <t>王冠钦</t>
  </si>
  <si>
    <t>山西省大同市城区魏都新城B区南门</t>
  </si>
  <si>
    <t>山西省大同市城区华阳日月城20号楼2单元1104</t>
  </si>
  <si>
    <t>陈栖莹</t>
  </si>
  <si>
    <t>宁夏石嘴山市惠农区北富胡同10号楼九单元401</t>
  </si>
  <si>
    <t>宁夏石嘴山市惠农区嘉和苑小区10号楼一单元101</t>
  </si>
  <si>
    <t>徐辉</t>
  </si>
  <si>
    <t>陕西省西安市未央区汉城乡石化大道东段2号</t>
  </si>
  <si>
    <t>陕西省西安市未央区汉城乡西查村59付2号</t>
  </si>
  <si>
    <t>亓协富</t>
  </si>
  <si>
    <t>山东省聊城市东昌府区经济开发区辽河路南燕山路东</t>
  </si>
  <si>
    <t>山东省聊城市东昌府区财干路金丰苑小区</t>
  </si>
  <si>
    <t>蔡扶庚</t>
  </si>
  <si>
    <t>福建省莆田市城厢区涵江区六一路周麻婆</t>
  </si>
  <si>
    <t>福建省莆田市涵江区涵江区涵华小区85号</t>
  </si>
  <si>
    <t>陈苏忠</t>
  </si>
  <si>
    <t>李绍东</t>
  </si>
  <si>
    <t>潘巍</t>
  </si>
  <si>
    <t>江苏省苏州市昆山市昆山市巴城镇前进中路666号</t>
  </si>
  <si>
    <t>江苏省苏州市昆山市苏州市昆山市玉山镇前进西路湖滨花园89栋403室</t>
  </si>
  <si>
    <t>黎孟春</t>
  </si>
  <si>
    <t>李温馨</t>
  </si>
  <si>
    <t>沈恩奇</t>
  </si>
  <si>
    <t>喜虎成</t>
  </si>
  <si>
    <t>宁夏银川市西夏区西花园北巷164号</t>
  </si>
  <si>
    <t>宁夏银川市西夏区西花园街圆梦园小区十号楼一单元401</t>
  </si>
  <si>
    <t>于俊杰</t>
  </si>
  <si>
    <t>史竺可</t>
  </si>
  <si>
    <t>徐利刚</t>
  </si>
  <si>
    <t>曾杰</t>
  </si>
  <si>
    <t>河南省郑州市惠济区汽车贸易中心</t>
  </si>
  <si>
    <t>河南省郑州市二七区二道街243号一单元2号</t>
  </si>
  <si>
    <t>小明</t>
  </si>
  <si>
    <t>叶育明</t>
  </si>
  <si>
    <t>广东省茂名市电白县霞洞镇石顶瓦窑村</t>
  </si>
  <si>
    <t>王小刚</t>
  </si>
  <si>
    <t>河南省商丘市梁园区民主路与哈森路交叉口路北王家大院</t>
  </si>
  <si>
    <t>河南省商丘市梁园区民主东路72号1号楼1单元2号</t>
  </si>
  <si>
    <t>耿唯佳</t>
  </si>
  <si>
    <t>吉林省延边朝鲜族自治州安图县汪清县天河路五号</t>
  </si>
  <si>
    <t>吉林省延边朝鲜族自治州汪清县汪清县二十八场四号楼六单元303</t>
  </si>
  <si>
    <t>潘锦</t>
  </si>
  <si>
    <t>江苏省南京市江宁区南京市江宁区科学园至道路1号</t>
  </si>
  <si>
    <t>江苏省南京市江宁区南京市江宁区老虎</t>
  </si>
  <si>
    <t>高静</t>
  </si>
  <si>
    <t>毛志强</t>
  </si>
  <si>
    <t>四川省广元市利州区下西坝国际商贸城</t>
  </si>
  <si>
    <t>四川省广元市利州区会展中心维多利亚温泉社区</t>
  </si>
  <si>
    <t>智金朋</t>
  </si>
  <si>
    <t>河北省石家庄市裕华区东京北村华坊街9号</t>
  </si>
  <si>
    <t>河北省石家庄市裕华区富强小区沁舒园12栋3单元502</t>
  </si>
  <si>
    <t>金赵薇</t>
  </si>
  <si>
    <t>宋美辰</t>
  </si>
  <si>
    <t>浙江省杭州市临安市玲珑街道华兴汽车城</t>
  </si>
  <si>
    <t>浙江省杭州市临安市左邻右里</t>
  </si>
  <si>
    <t>余志明</t>
  </si>
  <si>
    <t>广东省广州市增城市新塘牛仔城</t>
  </si>
  <si>
    <t>湖北省咸宁市赤壁市赵李桥镇赵李桥村五组</t>
  </si>
  <si>
    <t>陈家伟</t>
  </si>
  <si>
    <t>广东省清远市清新县广东省惠州市惠阳区镇隆镇捷普绿点科技有限公司</t>
  </si>
  <si>
    <t>广东省清远市清新县飞水大街脚塔南路A梯802</t>
  </si>
  <si>
    <t>徐昭胜</t>
  </si>
  <si>
    <t>山东省临沂市兰山区兰山区沂蒙路交汇处</t>
  </si>
  <si>
    <t>山东省临沂市兰山区前十居委会</t>
  </si>
  <si>
    <t>河南省郑州市中原区河南省郑州市二七区二马路80号</t>
  </si>
  <si>
    <t>河南省三门峡市灵宝市河南省灵宝市新华东路五街坊9栋416号</t>
  </si>
  <si>
    <t>卓胜兰</t>
  </si>
  <si>
    <t>魏子涵</t>
  </si>
  <si>
    <t>江栋</t>
  </si>
  <si>
    <t>湖南省长沙市雨花区长沙市雨花区东二环一段74号</t>
  </si>
  <si>
    <t>湖南省长沙市长沙县长沙县高桥镇百录村万福组388</t>
  </si>
  <si>
    <t>范礼军</t>
  </si>
  <si>
    <t>云南省昆明市宜良县北古城镇古城街道22号</t>
  </si>
  <si>
    <t>云南省昆明市宜良县北古城镇古城街道30号</t>
  </si>
  <si>
    <t>薛礼</t>
  </si>
  <si>
    <t>海南省三亚市海南省三亚市吉阳区师部农场升源风管加工厂</t>
  </si>
  <si>
    <t>山东省济宁市兖州市山东省济宁市兖州市颜店镇薛郗村</t>
  </si>
  <si>
    <t>陆健林</t>
  </si>
  <si>
    <t>广西贵港市平南县贵港市平南县江滨路125号</t>
  </si>
  <si>
    <t>广西贵港市平南县平南县朝阳高中</t>
  </si>
  <si>
    <t>李传</t>
  </si>
  <si>
    <t>谢金珍</t>
  </si>
  <si>
    <t>广西南宁市青秀区南宁市东葛路18-1号</t>
  </si>
  <si>
    <t>广西南宁市青秀区青秀区麻村二街二巷2号</t>
  </si>
  <si>
    <t>王安全</t>
  </si>
  <si>
    <t>山东省临沂市河东区相公镇东朱团</t>
  </si>
  <si>
    <t>山东省临沂市河东区相公镇红岭布</t>
  </si>
  <si>
    <t>周超</t>
  </si>
  <si>
    <t>高明艳</t>
  </si>
  <si>
    <t>赵东东</t>
  </si>
  <si>
    <t>山西省太原市小店区山西省太原市小店区太榆路蓝海汽配城物流园区17号</t>
  </si>
  <si>
    <t>山西省太原市小店区太榆路武宿村泰达花园2栋1单元101</t>
  </si>
  <si>
    <t>刁睿</t>
  </si>
  <si>
    <t>安徽省安庆市宿松县安丰商城6栋6号</t>
  </si>
  <si>
    <t>安徽省安庆市宿松县宿松路61号</t>
  </si>
  <si>
    <t>李北江</t>
  </si>
  <si>
    <t>杨伟</t>
  </si>
  <si>
    <t>张鹏辉</t>
  </si>
  <si>
    <t>天津市天津市和平区云南路8增2号</t>
  </si>
  <si>
    <t>天津市天津市和平区天津市和平区南京路瑞竹大厦二号楼1007</t>
  </si>
  <si>
    <t>徐莉薇</t>
  </si>
  <si>
    <t>胡定华</t>
  </si>
  <si>
    <t>福建省泉州市晋江市龙湖镇埔锦开发区苗圃工业园1号</t>
  </si>
  <si>
    <t>福建省泉州市晋江市龙湖镇埔锦开发区盈丰服装宿舍楼</t>
  </si>
  <si>
    <t>周宗莲</t>
  </si>
  <si>
    <t>候玉华</t>
  </si>
  <si>
    <t>安徽省合肥市包河区县政府</t>
  </si>
  <si>
    <t>安徽省合肥市包河区南梁镇</t>
  </si>
  <si>
    <t>戴志浩</t>
  </si>
  <si>
    <t>许东阳</t>
  </si>
  <si>
    <t>浙江省宁波市慈溪市三北达蓬山三北路</t>
  </si>
  <si>
    <t>彭忠校</t>
  </si>
  <si>
    <t>周乾</t>
  </si>
  <si>
    <t>湖北省孝感市孝南区湖北省孝感市孝南区长征路106号</t>
  </si>
  <si>
    <t>湖北省孝感市孝南区湖北省孝感市孝南区书院街西门外北壕沟边22号</t>
  </si>
  <si>
    <t>卢静雅</t>
  </si>
  <si>
    <t>广东省广州市荔湾区宝华路恒宝广场2层</t>
  </si>
  <si>
    <t>广东省广州市荔湾区南岸路荔港南湾E21栋902房</t>
  </si>
  <si>
    <t>魏前辉</t>
  </si>
  <si>
    <t>林建中</t>
  </si>
  <si>
    <t>福建省南平市武夷山市仙店工业园区仙安路1号</t>
  </si>
  <si>
    <t>孙燕</t>
  </si>
  <si>
    <t>山东省烟台市莱阳市龙门西路18号</t>
  </si>
  <si>
    <t>山东省烟台市莱阳市宝山西巷四号楼二单元201</t>
  </si>
  <si>
    <t>杨升</t>
  </si>
  <si>
    <t>吉林省长春市二道区四通路御景名都</t>
  </si>
  <si>
    <t>吉林省长春市朝阳区宽平大路铭仁大厦</t>
  </si>
  <si>
    <t>侯健溢</t>
  </si>
  <si>
    <t>杨倩兰</t>
  </si>
  <si>
    <t>付美</t>
  </si>
  <si>
    <t>赵习习</t>
  </si>
  <si>
    <t>朱子璇</t>
  </si>
  <si>
    <t>李曜</t>
  </si>
  <si>
    <t>湖北省咸宁市通城县通城县隽水镇旭红路356号</t>
  </si>
  <si>
    <t>湖北省咸宁市通城县通城县隽水镇沿河巷1号</t>
  </si>
  <si>
    <t>滕少威</t>
  </si>
  <si>
    <t>广西南宁市兴宁区广西南宁市兴宁区五塘镇东宁路89号</t>
  </si>
  <si>
    <t>广西南宁市兴宁区五塘镇东宁路89号</t>
  </si>
  <si>
    <t>赵翠妹</t>
  </si>
  <si>
    <t>侯宝虎</t>
  </si>
  <si>
    <t>江苏省苏州市吴中区丰茂巷51号</t>
  </si>
  <si>
    <t>山西省运城市绛县横水镇东外村</t>
  </si>
  <si>
    <t>严泽武</t>
  </si>
  <si>
    <t>广东省潮州市潮安县登塘镇工业区18号</t>
  </si>
  <si>
    <t>广东省潮州市潮安县登塘镇笔埔村朝凤巷1号</t>
  </si>
  <si>
    <t>张宏</t>
  </si>
  <si>
    <t>甘肃省张掖市甘州区甘肃省张掖市甘州区滨湖南苑A区</t>
  </si>
  <si>
    <t>甘肃省张掖市甘州区甘肃省张掖市甘州区北关名苑1号楼1单元1102</t>
  </si>
  <si>
    <t>郑恩生</t>
  </si>
  <si>
    <t>福建省福州市鼓楼区鼓楼区杨桥中路161号11号店面</t>
  </si>
  <si>
    <t>福建省福州市闽侯县上街镇源通东路118号福晟钱隆城9栋603</t>
  </si>
  <si>
    <t>许盼盼</t>
  </si>
  <si>
    <t>宋谦</t>
  </si>
  <si>
    <t>辽宁省大连市甘井子区华北路花锦园35号36k</t>
  </si>
  <si>
    <t>辽宁省大连市甘井子区华北路新加坡花园10号楼10楼7号</t>
  </si>
  <si>
    <t>苗宁</t>
  </si>
  <si>
    <t>邬革峰</t>
  </si>
  <si>
    <t>浙江省舟山市岱山县岱山县教育路155号</t>
  </si>
  <si>
    <t>浙江省舟山市岱山县岱山碧水豪园18幢202室</t>
  </si>
  <si>
    <t>颜旭</t>
  </si>
  <si>
    <t>山东省临沂市郯城县郯东路75号</t>
  </si>
  <si>
    <t>山东省临沂市沂南县马头镇高寺村三组72号</t>
  </si>
  <si>
    <t>郭兆哲</t>
  </si>
  <si>
    <t>河北省邢台市宁晋县宁晋县苏家庄乡</t>
  </si>
  <si>
    <t>河北省邢台市宁晋县苏家庄乡东丁村</t>
  </si>
  <si>
    <t>方国华</t>
  </si>
  <si>
    <t>陈幸园</t>
  </si>
  <si>
    <t>浙江省宁波市余姚市浙江省余姚市朗霞街道香玲路2号</t>
  </si>
  <si>
    <t>浙江省宁波市余姚市浙江省余姚市朗霞街道天华村</t>
  </si>
  <si>
    <t>曹云峰</t>
  </si>
  <si>
    <t>林江翔</t>
  </si>
  <si>
    <t>福建省漳州市龙文区龙文北路9号</t>
  </si>
  <si>
    <t>福建省漳州市芗城区大通北路91号</t>
  </si>
  <si>
    <t>夏亭飞</t>
  </si>
  <si>
    <t>覃茂生</t>
  </si>
  <si>
    <t>代兴华</t>
  </si>
  <si>
    <t>浙江省杭州市西湖区浙江省杭州市西湖区三墩镇申花路796号</t>
  </si>
  <si>
    <t>浙江省杭州市余杭区良渚镇金家渡南苑小区45号</t>
  </si>
  <si>
    <t>黄瑞</t>
  </si>
  <si>
    <t>云南省昆明市官渡区吴井路春城交叉口百富琪商业广场A座二楼38号</t>
  </si>
  <si>
    <t>云南省昆明市官渡区佴家湾医药公司宿舍302</t>
  </si>
  <si>
    <t>傅远强</t>
  </si>
  <si>
    <t>福建省泉州市鲤城区浮桥街道新步社区鲤景湾三期江滨商苑一层156</t>
  </si>
  <si>
    <t>福建省泉州市鲤城区丰州镇南门80号街锦源楼b梯501</t>
  </si>
  <si>
    <t>王番</t>
  </si>
  <si>
    <t>湖南省长沙市雨花区新建东路阳光锦城2201</t>
  </si>
  <si>
    <t>湖南省长沙市雨花区雨花亭都市兰亭2栋504</t>
  </si>
  <si>
    <t>梁泽琦</t>
  </si>
  <si>
    <t>重庆市重庆市巴南区巴南中路36号</t>
  </si>
  <si>
    <t>重庆市重庆市南岸区巴中午路36号</t>
  </si>
  <si>
    <t>姜菊芹</t>
  </si>
  <si>
    <t>宋杰</t>
  </si>
  <si>
    <t>湖北省宜昌市夷陵区小溪塔街道云高路8-7</t>
  </si>
  <si>
    <t>湖北省宜昌市夷陵区小溪塔街道锦绣路34号</t>
  </si>
  <si>
    <t>蔡桂芳</t>
  </si>
  <si>
    <t>成婷婷</t>
  </si>
  <si>
    <t>江苏省无锡市北塘区凤翔路987号</t>
  </si>
  <si>
    <t>江苏省无锡市滨湖区水秀新村475号502</t>
  </si>
  <si>
    <t>吴建</t>
  </si>
  <si>
    <t>广东省深圳市福田区福田区梅华路106号</t>
  </si>
  <si>
    <t>广东省深圳市福田区上梅林新村16栋205</t>
  </si>
  <si>
    <t>代美娇</t>
  </si>
  <si>
    <t>柯军军</t>
  </si>
  <si>
    <t>胡浩</t>
  </si>
  <si>
    <t>山东省德州市德城区大学东路1186号</t>
  </si>
  <si>
    <t>山东省德州市德城区长河街道星凯国际小区二号楼二单元2202</t>
  </si>
  <si>
    <t>闰亚飞</t>
  </si>
  <si>
    <t>王文斌</t>
  </si>
  <si>
    <t>湖北省武汉市黄陂区横店街特一号</t>
  </si>
  <si>
    <t>湖北省武汉市江岸区二七路劳动新一村40号302</t>
  </si>
  <si>
    <t>宁扬</t>
  </si>
  <si>
    <t>万柏彬</t>
  </si>
  <si>
    <t>何佳迎</t>
  </si>
  <si>
    <t>广东省肇庆市四会市将军街东一号</t>
  </si>
  <si>
    <t>广东省肇庆市四会市广东达利食品有限公司</t>
  </si>
  <si>
    <t>黄铄翔</t>
  </si>
  <si>
    <t>刘彦东</t>
  </si>
  <si>
    <t>临沂市莒南县团林镇</t>
  </si>
  <si>
    <t>山东省临沂市莒南县山东省莒南县洙边镇洙边村444号</t>
  </si>
  <si>
    <t>吴新玲</t>
  </si>
  <si>
    <t>曹中其</t>
  </si>
  <si>
    <t>江苏省盐城市建湖县明珠路336号</t>
  </si>
  <si>
    <t>江苏省盐城市建湖县钟庄街道办事处桥东村王墩组62号</t>
  </si>
  <si>
    <t>陈洋</t>
  </si>
  <si>
    <t>陈新露</t>
  </si>
  <si>
    <t>郑林</t>
  </si>
  <si>
    <t>徐锋</t>
  </si>
  <si>
    <t>周宗辉</t>
  </si>
  <si>
    <t>福建省福州市福清市清昌大道万达广场a2707</t>
  </si>
  <si>
    <t>福建省福州市福清市松潭村东段南52号</t>
  </si>
  <si>
    <t>吴祖银</t>
  </si>
  <si>
    <t>贵州省黔南布依族苗族自治州都匀市南方出租车公司</t>
  </si>
  <si>
    <t>贵州省黔南布依族苗族自治州都匀市老山可乐夜市一条街二期68号</t>
  </si>
  <si>
    <t>陈浩鑫</t>
  </si>
  <si>
    <t>广东省广州市海珠区基立南街21号</t>
  </si>
  <si>
    <t>广东省广州市海珠区新民五街海逸半岛6栋503</t>
  </si>
  <si>
    <t>朱荣明</t>
  </si>
  <si>
    <t>广东省韶关市浈江区十里亭镇十里亭大道</t>
  </si>
  <si>
    <t>广东省韶关市浈江区犁市镇黄沙村委会上门50号</t>
  </si>
  <si>
    <t>陕西省西安市莲湖区西梆子市街</t>
  </si>
  <si>
    <t>陕西省西安市碑林区长安大街三号小区</t>
  </si>
  <si>
    <t>单成纲</t>
  </si>
  <si>
    <t>仇月平</t>
  </si>
  <si>
    <t>桂伟</t>
  </si>
  <si>
    <t>广东省深圳市宝安区松岗燕罗街道燕川松罗路鹏鼎控股</t>
  </si>
  <si>
    <t>广东省深圳市宝安区松岗燕罗街道罗田社区华成楼高田大道72号</t>
  </si>
  <si>
    <t>陈海生</t>
  </si>
  <si>
    <t>广东省深圳市宝安区深圳市宝安区福永街道兴围村南六巷3号</t>
  </si>
  <si>
    <t>广东省茂名市化州市深圳市宝安区福永街道兴围村旧四巷3号</t>
  </si>
  <si>
    <t>戢彬</t>
  </si>
  <si>
    <t>贵州省遵义市汇川区上海路常青藤五号</t>
  </si>
  <si>
    <t>贵州省遵义市红花岗区延安路164号一栋二单元18号</t>
  </si>
  <si>
    <t>唐毅</t>
  </si>
  <si>
    <t>重庆市重庆市合川区申明亭94号</t>
  </si>
  <si>
    <t>重庆市重庆市合川区丁市街17号</t>
  </si>
  <si>
    <t>赵志怀</t>
  </si>
  <si>
    <t>蒋开国</t>
  </si>
  <si>
    <t>樊苗福</t>
  </si>
  <si>
    <t>甘肃省张掖市甘州区县府南街58号</t>
  </si>
  <si>
    <t>甘肃省张掖市甘州区新来小区64号楼二单元302</t>
  </si>
  <si>
    <t>赵梅芳</t>
  </si>
  <si>
    <t>刘菖军</t>
  </si>
  <si>
    <t>山西省朔州市怀仁县同仁家园仁里路</t>
  </si>
  <si>
    <t>山西省朔州市怀仁县怀仁县同仁家园</t>
  </si>
  <si>
    <t>韦孝龙</t>
  </si>
  <si>
    <t>江苏省苏州市昆山市北门路999号</t>
  </si>
  <si>
    <t>江苏省苏州市昆山市方正名门八栋107室</t>
  </si>
  <si>
    <t>刘奔奔</t>
  </si>
  <si>
    <t>山东省枣庄市台儿庄区文化西路金贵家园对过</t>
  </si>
  <si>
    <t>山东省枣庄市台儿庄区马兰屯镇彭楼村176号</t>
  </si>
  <si>
    <t>张啸</t>
  </si>
  <si>
    <t>辽宁省本溪市本溪满族自治县辽宁省本溪满族自治县小市镇康泰街22-2-103</t>
  </si>
  <si>
    <t>辽宁省本溪市本溪满族自治县辽宁省本溪满族自治县观音阁长江路熔炼二巷6栋1-1</t>
  </si>
  <si>
    <t>黄宋军</t>
  </si>
  <si>
    <t>安徽省合肥市肥西县安徽省合肥市肥西县三河镇滨光五队</t>
  </si>
  <si>
    <t>安徽省六安市舒城县安徽省舒城县千人桥镇完备</t>
  </si>
  <si>
    <t>刘长存</t>
  </si>
  <si>
    <t>河北省保定市新市区保定市时代路国茂大厦1218室</t>
  </si>
  <si>
    <t>河北省保定市新市区保定市新市区北章村6o4号</t>
  </si>
  <si>
    <t>陈芳</t>
  </si>
  <si>
    <t>盛祎</t>
  </si>
  <si>
    <t>印川建</t>
  </si>
  <si>
    <t>重庆市重庆市万州区重庆市万州区百安大道1008号</t>
  </si>
  <si>
    <t>重庆市重庆市万州区重庆市万州区黑龙江路184号一幢1单元2-1</t>
  </si>
  <si>
    <t>李彦燊</t>
  </si>
  <si>
    <t>广东省佛山市禅城区张槎镇玉带北区兴发路</t>
  </si>
  <si>
    <t>广东省佛山市禅城区张槎镇下朗明星新村全美便利店</t>
  </si>
  <si>
    <t>郑小娟</t>
  </si>
  <si>
    <t>安徽省芜湖市无为县无为县襄安镇步行街</t>
  </si>
  <si>
    <t>安徽省芜湖市无为县安徽省芜湖市无为县襄安镇新街</t>
  </si>
  <si>
    <t>张婷婷</t>
  </si>
  <si>
    <t>么立东</t>
  </si>
  <si>
    <t>河北省唐山市丰南区岔河镇小稻地天主教堂斜对面</t>
  </si>
  <si>
    <t>河北省唐山市丰南区岔河镇孙庄子村北五街13号</t>
  </si>
  <si>
    <t>聂有鑫</t>
  </si>
  <si>
    <t>山西省临汾市尧都区县政府路东80米</t>
  </si>
  <si>
    <t>山西省临汾市尧都区南梁镇</t>
  </si>
  <si>
    <t>李世东</t>
  </si>
  <si>
    <t>马鑫鑫</t>
  </si>
  <si>
    <t>宁夏吴忠市利通区利通区开元大道262号</t>
  </si>
  <si>
    <t>宁夏吴忠市利通区利通区上桥镇秦渠华苑2-4-101</t>
  </si>
  <si>
    <t>程蒙亚</t>
  </si>
  <si>
    <t>温阳明</t>
  </si>
  <si>
    <t>陕西省西安市未央区纬29街经贸小区2-2号</t>
  </si>
  <si>
    <t>陕西省西安市未央区玄武路79号玄武花园4号楼2单元703</t>
  </si>
  <si>
    <t>李冬雷</t>
  </si>
  <si>
    <t>江苏省南通市海门市开发区新安江路1号</t>
  </si>
  <si>
    <t>江苏省南通市海门市江心沙农场十七大队居民组44号</t>
  </si>
  <si>
    <t>张栋</t>
  </si>
  <si>
    <t>白玉迪</t>
  </si>
  <si>
    <t>董学彬</t>
  </si>
  <si>
    <t>浙江省温州市鹿城区温州大道国光大厦</t>
  </si>
  <si>
    <t>浙江省温州市鹿城区南汇街道云锦花苑</t>
  </si>
  <si>
    <t>龙腾</t>
  </si>
  <si>
    <t>贵州省毕节市黔西县莲城大道147</t>
  </si>
  <si>
    <t>贵州省毕节市大方县文峰路街道61</t>
  </si>
  <si>
    <t>潘明坤</t>
  </si>
  <si>
    <t>魏翠霞</t>
  </si>
  <si>
    <t>山东省济南市章丘市刁镇圣泉集团工业园</t>
  </si>
  <si>
    <t>山东省济南市章丘市辛寨镇魏家村昌盛大街49号</t>
  </si>
  <si>
    <t>陶斯盛</t>
  </si>
  <si>
    <t>安徽省黄山市屯溪区上塘新村农民小区202</t>
  </si>
  <si>
    <t>王立群</t>
  </si>
  <si>
    <t>山西省长治市城区南关五针街路口</t>
  </si>
  <si>
    <t>山西省长治市城区南营一巷4号</t>
  </si>
  <si>
    <t>杜朋德</t>
  </si>
  <si>
    <t>河北省石家庄市新华区中华北大街210号</t>
  </si>
  <si>
    <t>河北省石家庄市新华区滨华路十号</t>
  </si>
  <si>
    <t>张建晨</t>
  </si>
  <si>
    <t>山西省朔州市怀仁县如意家园小区旁50米</t>
  </si>
  <si>
    <t>山西省朔州市怀仁县弘文苑小区12号楼3单元601室</t>
  </si>
  <si>
    <t>刘辉</t>
  </si>
  <si>
    <t>陶瑞奎</t>
  </si>
  <si>
    <t>广东省广州市番禺区广州市番禺区市桥镇沙头街横江村中心三街八巷6号</t>
  </si>
  <si>
    <t>广东省广州市番禺区广州市番禺区市桥镇沙头街横江村北片七巷3号101</t>
  </si>
  <si>
    <t>陈冰</t>
  </si>
  <si>
    <t>广东省佛山市顺德区容桂街道体育路3号</t>
  </si>
  <si>
    <t>广东省佛山市顺德区容桂街道乐善北路20号</t>
  </si>
  <si>
    <t>黄雄明</t>
  </si>
  <si>
    <t>广东省广州市番禺区化龙镇金山大道东633号</t>
  </si>
  <si>
    <t>广东省广州市番禺区化龙镇草堂村北社大街4号</t>
  </si>
  <si>
    <t>林锦忠</t>
  </si>
  <si>
    <t>广东省广州市从化市街口镇北街市场</t>
  </si>
  <si>
    <t>广东省广州市从化市街口镇田边新村村前路五巷五号</t>
  </si>
  <si>
    <t>唐光辉</t>
  </si>
  <si>
    <t>赵增田</t>
  </si>
  <si>
    <t>杨辉</t>
  </si>
  <si>
    <t>贵州省贵阳市开阳县城北路县车队四号门面</t>
  </si>
  <si>
    <t>贵州省贵阳市开阳县城北路县车队3栋301室</t>
  </si>
  <si>
    <t>葛言凡</t>
  </si>
  <si>
    <t>万永翔</t>
  </si>
  <si>
    <t>王云</t>
  </si>
  <si>
    <t>河南省安阳市林州市振林路与龙山路交叉口西50米路北</t>
  </si>
  <si>
    <t>河南省安阳市林州市青年家园1期5号楼3单元502</t>
  </si>
  <si>
    <t>喻纲亮</t>
  </si>
  <si>
    <t>重庆市重庆市永川区兴龙大道777号</t>
  </si>
  <si>
    <t>重庆市重庆市永川区胜利路176号1-1-9</t>
  </si>
  <si>
    <t>王晓凯</t>
  </si>
  <si>
    <t>赵佳保</t>
  </si>
  <si>
    <t>蒲任洁</t>
  </si>
  <si>
    <t>广东省广州市花都区镜湖大道北8号</t>
  </si>
  <si>
    <t>广东省广州市花都区培正大道53号广东培正学院</t>
  </si>
  <si>
    <t>李国庆</t>
  </si>
  <si>
    <t>浙江省杭州市西湖区古墩路红星美凯龙一楼顾家</t>
  </si>
  <si>
    <t>浙江省杭州市西湖区文三西路五联东苑南门43号</t>
  </si>
  <si>
    <t>李小刚</t>
  </si>
  <si>
    <t>湖北省武汉市洪山区武汉市洪山区光谷国际广场1808室</t>
  </si>
  <si>
    <t>湖北省武汉市洪山区武汉市洪山区虎泉街东湖御院3栋二单元802室</t>
  </si>
  <si>
    <t>黎世中</t>
  </si>
  <si>
    <t>广东省江门市蓬江区江门市建达北路5号</t>
  </si>
  <si>
    <t>广东省江门市蓬江区蓬江区迎宾路356号4楼402</t>
  </si>
  <si>
    <t>刘禄平</t>
  </si>
  <si>
    <t>河南省平顶山市汝州市宁庄村村口</t>
  </si>
  <si>
    <t>河南省平顶山市汝州市中江县永兴镇南峰村2组</t>
  </si>
  <si>
    <t>印美峰</t>
  </si>
  <si>
    <t>浙江省嘉兴市海宁市尖山新区永兴路6号</t>
  </si>
  <si>
    <t>浙江省嘉兴市海宁市尖山新区金牛路8号</t>
  </si>
  <si>
    <t>吕孟君</t>
  </si>
  <si>
    <t>安徽省阜阳市太和县沙河东路华源保健品大厅</t>
  </si>
  <si>
    <t>安徽省阜阳市太和县城关镇北关外街67号1户</t>
  </si>
  <si>
    <t>陈凯</t>
  </si>
  <si>
    <t>江西省抚州市乐安县鳌溪镇广场路老公安局旁</t>
  </si>
  <si>
    <t>江西省抚州市乐安县龙腾花园D区一栋二单元205</t>
  </si>
  <si>
    <t>董大国</t>
  </si>
  <si>
    <t>贵州省安顺市普定县普定县鑫旺大市场</t>
  </si>
  <si>
    <t>贵州省安顺市普定县普定县城关镇龙上村212号</t>
  </si>
  <si>
    <t>陶传滨</t>
  </si>
  <si>
    <t>山东省德州市夏津县东李镇张官屯村</t>
  </si>
  <si>
    <t>山东省德州市夏津县东李镇陶桥村</t>
  </si>
  <si>
    <t>董纯洪</t>
  </si>
  <si>
    <t>贵州省遵义市湄潭县清华园2702室</t>
  </si>
  <si>
    <t>贵州省遵义市红花岗区海尔大道东方星城1栋一单元1102室</t>
  </si>
  <si>
    <t>李少航</t>
  </si>
  <si>
    <t>福建省泉州市晋江市金井镇石圳村圳西区120号</t>
  </si>
  <si>
    <t>福建省泉州市晋江市金井镇石圳村圳西区35号</t>
  </si>
  <si>
    <t>向有福</t>
  </si>
  <si>
    <t>申冲</t>
  </si>
  <si>
    <t>河南省焦作市解放区人民路林科所8楼806</t>
  </si>
  <si>
    <t>河南省焦作市山阳区博大世纪华庭小区8号楼13楼50号</t>
  </si>
  <si>
    <t>贺春霞</t>
  </si>
  <si>
    <t>陈峰</t>
  </si>
  <si>
    <t>河南省郑州市金水区高新技术产业开发区长椿路23号25号楼</t>
  </si>
  <si>
    <t>河南省信阳市光山县牌坊路东方明珠家园a栋3楼301室</t>
  </si>
  <si>
    <t>朱棣</t>
  </si>
  <si>
    <t>江西省南昌市南昌县紫阳大道紫阳明珠d栋705</t>
  </si>
  <si>
    <t>江西省南昌市东湖区中大青山湖花园32栋3单元801</t>
  </si>
  <si>
    <t>代国虎</t>
  </si>
  <si>
    <t>云南省昆明市盘龙区穿金路591号</t>
  </si>
  <si>
    <t>云南省昆明市五华区白云路金尚俊园8栋2901室</t>
  </si>
  <si>
    <t>徐佳宁</t>
  </si>
  <si>
    <t>孙雪双</t>
  </si>
  <si>
    <t>谢志华</t>
  </si>
  <si>
    <t>广东省深圳市南山区桃园街道新屋村工业园区6-609</t>
  </si>
  <si>
    <t>广东省深圳市龙岗区横岗荷坳荷康路1908-202</t>
  </si>
  <si>
    <t>李韦锋</t>
  </si>
  <si>
    <t>杨涛</t>
  </si>
  <si>
    <t>湖北省宜昌市猇亭区西陵区团结路24</t>
  </si>
  <si>
    <t>湖北省宜昌市夷陵区长江市场夷陵楼锦绣路34</t>
  </si>
  <si>
    <t>李文君</t>
  </si>
  <si>
    <t>江苏省南通市港闸区江海大厦B栋1202室</t>
  </si>
  <si>
    <t>江苏省南通市港闸区濠西路179号财富商城221室</t>
  </si>
  <si>
    <t>李畑龙</t>
  </si>
  <si>
    <t>河南省郑州市金水区勤工路米兰阳光5号楼一单元901</t>
  </si>
  <si>
    <t>河南省郑州市中原区文化路90号院6号楼五号</t>
  </si>
  <si>
    <t>颜世帅</t>
  </si>
  <si>
    <t>山东省济南市历下区历山路70号</t>
  </si>
  <si>
    <t>山东省济南市市中区舜玉小区南区13号楼1单元401</t>
  </si>
  <si>
    <t>赵阔</t>
  </si>
  <si>
    <t>湖南省株洲市芦淞区芦淞区芦淞工业园35栋一单元</t>
  </si>
  <si>
    <t>徐庆</t>
  </si>
  <si>
    <t>浙江省宁波市慈溪市古塘街道西洋寺路105号</t>
  </si>
  <si>
    <t>江西省宜春市高安市建山镇东村社区东一村32栋389号</t>
  </si>
  <si>
    <t>金成杰</t>
  </si>
  <si>
    <t>尹凯</t>
  </si>
  <si>
    <t>陈安圣</t>
  </si>
  <si>
    <t>山东省淄博市沂源县健康路32号</t>
  </si>
  <si>
    <t>山东省淄博市沂源县石桥镇石龙官庄村</t>
  </si>
  <si>
    <t>孟庆旭</t>
  </si>
  <si>
    <t>辽宁省大连市甘井子区华南晶品枫林祥龙市场</t>
  </si>
  <si>
    <t>辽宁省大连市甘井子区悦岭街36号</t>
  </si>
  <si>
    <t>卢君</t>
  </si>
  <si>
    <t>吉林省长春市宽城区汉口大街杭州路21号</t>
  </si>
  <si>
    <t>吉林省长春市宽城区汉口大街杭州路交汇金街大厦416</t>
  </si>
  <si>
    <t>王红星</t>
  </si>
  <si>
    <t>广东省深圳市南山区前海路南岗大厦808</t>
  </si>
  <si>
    <t>广东省深圳市南山区西苑小区9栋801</t>
  </si>
  <si>
    <t>梁超</t>
  </si>
  <si>
    <t>四川省乐山市市中区高新区车子镇南兴路20号</t>
  </si>
  <si>
    <t>四川省乐山市市中区通江街杨山路815号王河惠名小区</t>
  </si>
  <si>
    <t>李文茜</t>
  </si>
  <si>
    <t>上海市上海市浦东新区罗山路1589号</t>
  </si>
  <si>
    <t>上海市上海市浦东新区居家桥路1030弄46号503</t>
  </si>
  <si>
    <t>冯利平</t>
  </si>
  <si>
    <t>四川省成都市龙泉驿区十陵镇江华社区48幢</t>
  </si>
  <si>
    <t>四川省成都市龙泉驿区十陵镇现代新居a区</t>
  </si>
  <si>
    <t>吴燕丽</t>
  </si>
  <si>
    <t>广西柳州市城中区中山中路37号</t>
  </si>
  <si>
    <t>广西柳州市鱼峰区柳石路234号</t>
  </si>
  <si>
    <t>韩晗</t>
  </si>
  <si>
    <t>李亮亮</t>
  </si>
  <si>
    <t>河北省保定市安国市大五女镇大李庄村平安路西18号148号</t>
  </si>
  <si>
    <t>赵明</t>
  </si>
  <si>
    <t>李虎</t>
  </si>
  <si>
    <t>陕西省西安市未央区西安市长安南路75号</t>
  </si>
  <si>
    <t>陕西省西安市未央区未央路盛龙广场B座三单元2305</t>
  </si>
  <si>
    <t>何浩</t>
  </si>
  <si>
    <t>四川省成都市锦江区成双大道南段1425号</t>
  </si>
  <si>
    <t>四川省成都市青白江区九江街道蛟龙港世纪花园10幢1单元3-2</t>
  </si>
  <si>
    <t>林庆强</t>
  </si>
  <si>
    <t>张锐</t>
  </si>
  <si>
    <t>上海市上海市浦东新区康桥镇康桥东路1388号A</t>
  </si>
  <si>
    <t>上海市上海市浦东新区浦东新区周东路543号</t>
  </si>
  <si>
    <t>丁永超</t>
  </si>
  <si>
    <t>黑龙江省哈尔滨市平房区联盟大街139号</t>
  </si>
  <si>
    <t>黑龙江省哈尔滨市阿城区上京大道金海小区3号楼9单元302</t>
  </si>
  <si>
    <t>霍天良</t>
  </si>
  <si>
    <t>甘亭镇羊獬村</t>
  </si>
  <si>
    <t>山西省临汾市洪洞县甘亭镇羊獬村</t>
  </si>
  <si>
    <t>游锦鹏</t>
  </si>
  <si>
    <t>广东省广州市天河区龙口东路354号517</t>
  </si>
  <si>
    <t>广东省广州市天河区岑村松岗大街九巷二十五号</t>
  </si>
  <si>
    <t>刘恒城</t>
  </si>
  <si>
    <t>赵卫春</t>
  </si>
  <si>
    <t>广西北海市海城区北部湾中路39号</t>
  </si>
  <si>
    <t>广西北海市海城区高德街道上海路香槟郡1期二单元1102室</t>
  </si>
  <si>
    <t>刘辉灵</t>
  </si>
  <si>
    <t>宁夏银川市灵武市富兴路2号营业房</t>
  </si>
  <si>
    <t>宁夏银川市灵武市城市花园8号楼3单元302室</t>
  </si>
  <si>
    <t>陆兵兵</t>
  </si>
  <si>
    <t>广西南宁市兴宁区邕武路二塘破邕江驾校</t>
  </si>
  <si>
    <t>广西南宁市西乡塘区北湖路尾北湖村一队163号</t>
  </si>
  <si>
    <t>张元秀</t>
  </si>
  <si>
    <t>李进</t>
  </si>
  <si>
    <t>湖北省黄冈市红安县城关镇城南大道</t>
  </si>
  <si>
    <t>湖北省黄冈市红安县城关镇红华村六组肖家田六</t>
  </si>
  <si>
    <t>陈凤岚</t>
  </si>
  <si>
    <t>广西南宁市兴宁区昆仑大道大嘉汇汽车配件厂场</t>
  </si>
  <si>
    <t>广西南宁市西乡塘区秀厢大道恒大新城金菊苑</t>
  </si>
  <si>
    <t>丁爱阳</t>
  </si>
  <si>
    <t>李志军</t>
  </si>
  <si>
    <t>河南省洛阳市新安县铁门镇钢铁大道西一百米</t>
  </si>
  <si>
    <t>河南省洛阳市新安县石寺镇林岭村一组193号</t>
  </si>
  <si>
    <t>刁林岗</t>
  </si>
  <si>
    <t>广东省广州市荔湾区官洲街道33号顺接通讯</t>
  </si>
  <si>
    <t>广东省广州市海珠区官洲街道33号顺接通讯</t>
  </si>
  <si>
    <t>赵燕燕</t>
  </si>
  <si>
    <t>陕西省西安市莲湖区白家口方欣冷库市场一楼13号</t>
  </si>
  <si>
    <t>陕西省西安市未央区梨园路梨园公馆1号楼一单元2003</t>
  </si>
  <si>
    <t>周灿</t>
  </si>
  <si>
    <t>邓天龙</t>
  </si>
  <si>
    <t>四川省成都市武侯区晋阳路1009号</t>
  </si>
  <si>
    <t>四川省成都市成华区双桥路南四街126栋3单元</t>
  </si>
  <si>
    <t>韩龙</t>
  </si>
  <si>
    <t>安徽省宿州市埇桥区天山路1235号</t>
  </si>
  <si>
    <t>安徽省宿州市泗县黑塔镇顺河村谢沟庄105号</t>
  </si>
  <si>
    <t>何冬冬</t>
  </si>
  <si>
    <t>河南省安阳市文峰区文昌大道三里屯对面广电龙兴汽配城</t>
  </si>
  <si>
    <t>河南省安阳市文峰区彰德路华豫锦绣花园</t>
  </si>
  <si>
    <t>吴颖</t>
  </si>
  <si>
    <t>朱炜</t>
  </si>
  <si>
    <t>江苏省苏州市吴中区东平街299号欧瑞大厦305</t>
  </si>
  <si>
    <t>江苏省苏州市姑苏区石灰南弄10号</t>
  </si>
  <si>
    <t>刘若男</t>
  </si>
  <si>
    <t>黑龙江省哈尔滨市呼兰区学院路群英街</t>
  </si>
  <si>
    <t>黑龙江省哈尔滨市松北区利民大道博文路</t>
  </si>
  <si>
    <t>王天水</t>
  </si>
  <si>
    <t>向怡</t>
  </si>
  <si>
    <t>湖北省宜昌市当阳市湖北省宜昌市当阳市坝陵办事处何畈招待所</t>
  </si>
  <si>
    <t>湖北省宜昌市点军区湖北省宜昌市点军区朱市街郭家岭一组</t>
  </si>
  <si>
    <t>邓林波</t>
  </si>
  <si>
    <t>广东省惠州市惠城区水口镇龙湖大道东平工业区</t>
  </si>
  <si>
    <t>广东省惠州市惠城区水口真龙湖大道东平工业区</t>
  </si>
  <si>
    <t>刘四平</t>
  </si>
  <si>
    <t>范志强</t>
  </si>
  <si>
    <t>山东省济南市天桥区滨河南路1120号</t>
  </si>
  <si>
    <t>山东省济南市天桥区泺南五街3号七巧公寓</t>
  </si>
  <si>
    <t>朱少杰</t>
  </si>
  <si>
    <t>河南省开封市龙亭区嘉斯茂数码广场4024室</t>
  </si>
  <si>
    <t>河南省开封市开封县兴隆乡杨砦村一组72号</t>
  </si>
  <si>
    <t>程金</t>
  </si>
  <si>
    <t>湖北省武汉市黄陂区湖北武汉汉口北工业园蜘蛛王集团</t>
  </si>
  <si>
    <t>湖北省武汉市黄陂区盘龙城卓尔企业社区2b-2-610</t>
  </si>
  <si>
    <t>田喜庆</t>
  </si>
  <si>
    <t>北京市北京市丰台区北京市丰台区开阳桥瀚海花园大厦2层203</t>
  </si>
  <si>
    <t>北京市北京市丰台区芳菲路88号院8号楼一单元205</t>
  </si>
  <si>
    <t>程鹏亮</t>
  </si>
  <si>
    <t>山西省太原市迎泽区太原市迎泽区东峰路1号民营区</t>
  </si>
  <si>
    <t>山西省太原市杏花岭区太原市杏花岭区解放北路上北关小区2-3-702</t>
  </si>
  <si>
    <t>郭鑫</t>
  </si>
  <si>
    <t>山东省青岛市李沧区振华路150号</t>
  </si>
  <si>
    <t>山东省青岛市市南区兴宁路一号一单元201</t>
  </si>
  <si>
    <t>杨立娟</t>
  </si>
  <si>
    <t>林泽凯</t>
  </si>
  <si>
    <t>罗洪远</t>
  </si>
  <si>
    <t>古智尧</t>
  </si>
  <si>
    <t>重庆市重庆市合川区重庆市合川区南办处南园东路99号</t>
  </si>
  <si>
    <t>重庆市重庆市合川区重庆市合川区瑞山西路2号2单元5-2</t>
  </si>
  <si>
    <t>聂凯</t>
  </si>
  <si>
    <t>吉林省四平市双辽市茂林镇茂林中学东侧50米</t>
  </si>
  <si>
    <t>吉林省长春市宽城区吉林省四平市茂林镇东升村</t>
  </si>
  <si>
    <t>徐倩</t>
  </si>
  <si>
    <t>杨秀平</t>
  </si>
  <si>
    <t>孙建鑫</t>
  </si>
  <si>
    <t>李苗</t>
  </si>
  <si>
    <t>曾守兵</t>
  </si>
  <si>
    <t>四川省成都市邛崃市平乐镇黄嘴村</t>
  </si>
  <si>
    <t>四川省成都市邛崃市平乐镇东乐村11组</t>
  </si>
  <si>
    <t>刘东</t>
  </si>
  <si>
    <t>山东省荷泽市曹县工业路东段</t>
  </si>
  <si>
    <t>山东省荷泽市曹县步行街f栋301室</t>
  </si>
  <si>
    <t>李小平</t>
  </si>
  <si>
    <t>陕西省榆林市神木县神木县大柳塔鑫泽项目部</t>
  </si>
  <si>
    <t>陕西省延安市富县富县茶坊广盛花园</t>
  </si>
  <si>
    <t>胡佳伟</t>
  </si>
  <si>
    <t>四川省德阳市中江县伍城中路粮贸大厦</t>
  </si>
  <si>
    <t>四川省德阳市中江县江城丽景5单元401</t>
  </si>
  <si>
    <t>袁磊</t>
  </si>
  <si>
    <t>贵州省毕节市大方县天河村惠泉路127号</t>
  </si>
  <si>
    <t>张艳华</t>
  </si>
  <si>
    <t>张云雷</t>
  </si>
  <si>
    <t>福建省泉州市晋江市青阳街道市标泉安中路265号</t>
  </si>
  <si>
    <t>福建省泉州市晋江市青阳街道市标曾井西区38号201室</t>
  </si>
  <si>
    <t>宋大琼</t>
  </si>
  <si>
    <t>刘松睿</t>
  </si>
  <si>
    <t>王超</t>
  </si>
  <si>
    <t>浙江省嘉兴市海盐县海盐县澉浦镇澉南社区卫生服务中心旁</t>
  </si>
  <si>
    <t>浙江省嘉兴市海盐县秦山街道落塘社区渡船头28号</t>
  </si>
  <si>
    <t>陈瑶瑶</t>
  </si>
  <si>
    <t>四川省内江市市中区安吉街456号</t>
  </si>
  <si>
    <t>四川省内江市市中区凌家镇乌鸡冲村4社8号</t>
  </si>
  <si>
    <t>石贺伟</t>
  </si>
  <si>
    <t>江西省南昌市南昌县江西省南昌市南昌县</t>
  </si>
  <si>
    <t>江西省南昌市南昌县江西省南昌市南昌县向塘镇</t>
  </si>
  <si>
    <t>山东省烟台市福山区烟台开发区珠江路</t>
  </si>
  <si>
    <t>山东省烟台市蓬莱市蓬莱市刘家沟镇安香于家村</t>
  </si>
  <si>
    <t>袁豪钧</t>
  </si>
  <si>
    <t>麻美云</t>
  </si>
  <si>
    <t>浙江省丽水市缙云县新碧街道新中东路16号</t>
  </si>
  <si>
    <t>浙江省丽水市缙云县新建镇新二巷33号</t>
  </si>
  <si>
    <t>相起风</t>
  </si>
  <si>
    <t>山东省济宁市邹城市邹城市国宏大道</t>
  </si>
  <si>
    <t>山东省济宁市邹城市张庄镇北山北村203号</t>
  </si>
  <si>
    <t>邹政</t>
  </si>
  <si>
    <t>安徽省合肥市包河区大兴庞各庄</t>
  </si>
  <si>
    <t>杨健</t>
  </si>
  <si>
    <t>韩凯</t>
  </si>
  <si>
    <t>张俊俊</t>
  </si>
  <si>
    <t>栾启明</t>
  </si>
  <si>
    <t>吉林省长春市绿园区安庆路五号</t>
  </si>
  <si>
    <t>吉林省长春市绿园区长沈路西湖一号十六栋三单元四零六</t>
  </si>
  <si>
    <t>缪松</t>
  </si>
  <si>
    <t>广东省深圳市南山区大冲铜鼓路华润二期</t>
  </si>
  <si>
    <t>广东省深圳市南山区大冲铜鼓路都市花园</t>
  </si>
  <si>
    <t>刘秀娥</t>
  </si>
  <si>
    <t>姜孝</t>
  </si>
  <si>
    <t>江雄意</t>
  </si>
  <si>
    <t>湖北省黄冈市红安县城关镇陵园大道118号</t>
  </si>
  <si>
    <t>湖北省黄冈市红安县城关镇盛地公馆六栋二单元1703</t>
  </si>
  <si>
    <t>左聪</t>
  </si>
  <si>
    <t>广东省佛山市顺德区北滘镇怡兴路8号</t>
  </si>
  <si>
    <t>广东省广州市黄埔区大沙地168号</t>
  </si>
  <si>
    <t>丁一</t>
  </si>
  <si>
    <t>河南省南阳市社旗县社旗县建设路97号</t>
  </si>
  <si>
    <t>河南省南阳市社旗县社旗县赊店镇福寿街58号</t>
  </si>
  <si>
    <t>罗晗瑞</t>
  </si>
  <si>
    <t>吉林省吉林市丰满区江南新玛特四楼</t>
  </si>
  <si>
    <t>吉林省吉林市昌邑区造纸厂南厂宅胡同</t>
  </si>
  <si>
    <t>韦特生</t>
  </si>
  <si>
    <t>广西防城港市上思县思阳镇环城西路六巷</t>
  </si>
  <si>
    <t>广西防城港市上思县思阳镇环城西路六巷8号</t>
  </si>
  <si>
    <t>黄晓平</t>
  </si>
  <si>
    <t>王玉发</t>
  </si>
  <si>
    <t>四川省自贡市富顺县富州大道远达盛景一期101栋</t>
  </si>
  <si>
    <t>贵州省黔南布依族苗族自治州都匀市沙坝小罗新村2-5号</t>
  </si>
  <si>
    <t>夏群群</t>
  </si>
  <si>
    <t>安徽省合肥市包河区洗剪吹你那次今年</t>
  </si>
  <si>
    <t>安徽省合肥市包河区睡觉觉想办法好吃不</t>
  </si>
  <si>
    <t>周倩</t>
  </si>
  <si>
    <t>安徽省滁州市明光市山前路中段</t>
  </si>
  <si>
    <t>安徽省滁州市明光市体育路金港世纪天城24栋一单元602</t>
  </si>
  <si>
    <t>董志国</t>
  </si>
  <si>
    <t>河南省安阳市文峰区河南省安阳市文峰区玄鸟往北300米路西</t>
  </si>
  <si>
    <t>河南省安阳市文峰区河南省安阳市文峰区聂村永安小区</t>
  </si>
  <si>
    <t>苗菲菲</t>
  </si>
  <si>
    <t>北京市北京市朝阳区双井乐成购物中心</t>
  </si>
  <si>
    <t>北京市北京市丰台区万年花城三期9号楼1单元1701</t>
  </si>
  <si>
    <t>覃泽湘</t>
  </si>
  <si>
    <t>陈俊</t>
  </si>
  <si>
    <t>河北省保定市涞水县遒城街126号</t>
  </si>
  <si>
    <t>河北省保定市涞水县东文山乡淮河村149号</t>
  </si>
  <si>
    <t>刘朝义</t>
  </si>
  <si>
    <t>安徽省阜阳市颍州区阜阳市颍州区西湖镇华佗村柏树庄58号</t>
  </si>
  <si>
    <t>安徽省阜阳市颍州区西湖镇华佗村柏树庄14号</t>
  </si>
  <si>
    <t>陆存应</t>
  </si>
  <si>
    <t>福建省福州市仓山区盘屿路850号6号楼</t>
  </si>
  <si>
    <t>福建省福州市晋安区王庄街道世欧王庄二区1503</t>
  </si>
  <si>
    <t>张洪晨</t>
  </si>
  <si>
    <t>天津市天津市西青区天津市西青区王稳庄开发区盛达一支路</t>
  </si>
  <si>
    <t>天津市天津市西青区天津市西青区大寺镇芦欣家园五区</t>
  </si>
  <si>
    <t>黄友毅</t>
  </si>
  <si>
    <t>广西梧州市岑溪市岑城镇义州二街66号</t>
  </si>
  <si>
    <t>余友训</t>
  </si>
  <si>
    <t>广东省汕尾市陆丰市东海镇龙头村全合大道1号</t>
  </si>
  <si>
    <t>广东省汕尾市陆丰市东海镇金华路西9号</t>
  </si>
  <si>
    <t>刘松</t>
  </si>
  <si>
    <t>江苏省常州市金坛市沿河东路204号</t>
  </si>
  <si>
    <t>江苏省常州市金坛市金坛区沿河东路204号</t>
  </si>
  <si>
    <t>吴文星</t>
  </si>
  <si>
    <t>山东省青岛市即墨市即墨通济街道城马路150</t>
  </si>
  <si>
    <t>江西省抚州市资溪县兄弟市镇三源村小组</t>
  </si>
  <si>
    <t>陈宜良</t>
  </si>
  <si>
    <t>广东省广州市白云区人和镇人和大街28号</t>
  </si>
  <si>
    <t>广东省广州市白云区人和镇鹤龙六路150号505</t>
  </si>
  <si>
    <t>刘超</t>
  </si>
  <si>
    <t>山东省日照市东港区南湖工业园区内101号</t>
  </si>
  <si>
    <t>山东省日照市岚山区碑廓镇田家寨二村208号</t>
  </si>
  <si>
    <t>王丹丹</t>
  </si>
  <si>
    <t>上海市上海市松江区九亭镇九亭大街299_1号</t>
  </si>
  <si>
    <t>上海市上海市松江区九亭镇黎星宛1区九亭中心小学五零三弄82号101室</t>
  </si>
  <si>
    <t>王敏</t>
  </si>
  <si>
    <t>安徽省合肥市包河区甘肃省陇西县西大街</t>
  </si>
  <si>
    <t>甘肃省陇西县马河镇贺家川村</t>
  </si>
  <si>
    <t>罗庆伟</t>
  </si>
  <si>
    <t>贵州省贵阳市南明区新寨路17号</t>
  </si>
  <si>
    <t>贵州省贵阳市南明区新寨路22号2栋一单元四楼</t>
  </si>
  <si>
    <t>梁珊</t>
  </si>
  <si>
    <t>河北省邯郸市复兴区河北省邯郸市复兴区</t>
  </si>
  <si>
    <t>河北省邯郸学步</t>
  </si>
  <si>
    <t>郑文胜</t>
  </si>
  <si>
    <t>张唯龙</t>
  </si>
  <si>
    <t>四川省南充市阆中市老观镇奉国大道西段270号</t>
  </si>
  <si>
    <t>四川省南充市阆中市皮房街33号附2号</t>
  </si>
  <si>
    <t>杨小勇</t>
  </si>
  <si>
    <t>贵州省贵阳市南明区右板镇西部建材城b八栋</t>
  </si>
  <si>
    <t>贵州省贵阳市花溪区小河铭星印象1单元901</t>
  </si>
  <si>
    <t>林时銮</t>
  </si>
  <si>
    <t>广东省广州市白云区江南果菜交易中心市场611档口</t>
  </si>
  <si>
    <t>福建省宁德市福鼎市中山南路凉坪下34号</t>
  </si>
  <si>
    <t>曾念平</t>
  </si>
  <si>
    <t>吉林省松原市宁江区沿江东路1578号</t>
  </si>
  <si>
    <t>吉林省松原市宁江区隆原路90号飞宇金花园三期21号楼四单元1602室</t>
  </si>
  <si>
    <t>许达林</t>
  </si>
  <si>
    <t>海南省海口市龙华区海南省海口市龙华区一同路106号</t>
  </si>
  <si>
    <t>海南省海口市龙华区海南省海口市龙华区解放西路世纪花园A栋306房</t>
  </si>
  <si>
    <t>谢君纪</t>
  </si>
  <si>
    <t>湖北省武汉市汉阳区快活林三眼桥吴湾123号</t>
  </si>
  <si>
    <t>刘大海</t>
  </si>
  <si>
    <t>薛磊</t>
  </si>
  <si>
    <t>江苏省苏州市张家港市张家港市金港镇金桥路45号</t>
  </si>
  <si>
    <t>江苏省苏州市张家港市张家港市金港镇金桥花园26幢502室</t>
  </si>
  <si>
    <t>李宇轩</t>
  </si>
  <si>
    <t>山西省临汾市尧都区临汾高速有限公司</t>
  </si>
  <si>
    <t>车站街汾铁佳苑8号楼1224</t>
  </si>
  <si>
    <t>袁岚廷</t>
  </si>
  <si>
    <t>陈欣</t>
  </si>
  <si>
    <t>辽宁省沈阳市东陵区营盘北街七星财富中心写字间9楼</t>
  </si>
  <si>
    <t>辽宁省沈阳市东陵区彩霞街5号楼清河湾2号楼二单元3001</t>
  </si>
  <si>
    <t>高风营</t>
  </si>
  <si>
    <t>河南省平顶山市叶县健康路西段县医院西一百米</t>
  </si>
  <si>
    <t>河南省平顶山市叶县龚店乡汝坟店村三甲组</t>
  </si>
  <si>
    <t>程发顺</t>
  </si>
  <si>
    <t>陕西省西安市雁塔区陕西省西安市高新四路创业广场A座204室至208室</t>
  </si>
  <si>
    <t>陕西省西安市雁塔区高新路甘家寨25号楼3单元3层302室</t>
  </si>
  <si>
    <t>王新忠</t>
  </si>
  <si>
    <t>魏佑军</t>
  </si>
  <si>
    <t>湖南省永州市零陵区湖南省永州市零陵区黄古山中路152号</t>
  </si>
  <si>
    <t>湖南省永州市零陵区南津渡办事处安居工程9栋1单元101号</t>
  </si>
  <si>
    <t>沈澳</t>
  </si>
  <si>
    <t>辽宁省沈阳市铁西区辽宁省沈阳市铁西区北一路万达金街1-35</t>
  </si>
  <si>
    <t>辽宁省沈阳市铁西区辽宁省沈阳市铁西区卫工街北三路万科蓝山公寓楼507</t>
  </si>
  <si>
    <t>王宁</t>
  </si>
  <si>
    <t>黑龙江省牡丹江市东安区太平路31号</t>
  </si>
  <si>
    <t>黑龙江省牡丹江市东安区东居华庭小区10号楼三单元303</t>
  </si>
  <si>
    <t>王志平</t>
  </si>
  <si>
    <t>河北省邯郸市肥乡县建设大街56号</t>
  </si>
  <si>
    <t>河北省邯郸市肥乡县河北省邯郸市肥乡区肥乡镇北西罗堡村6号</t>
  </si>
  <si>
    <t>王启科</t>
  </si>
  <si>
    <t>重庆市重庆市綦江区长青路30号付6号</t>
  </si>
  <si>
    <t>重庆市重庆市沙坪坝区陈家桥街道充电苑14栋614室</t>
  </si>
  <si>
    <t>陈哲</t>
  </si>
  <si>
    <t>吉林省吉林市磐石市河南大街美团服务中心</t>
  </si>
  <si>
    <t>吉林省吉林市蛟河市新区大石头B楼一单元403</t>
  </si>
  <si>
    <t>王海清</t>
  </si>
  <si>
    <t>山东省潍坊市寿光市西范村北50米</t>
  </si>
  <si>
    <t>山东省潍坊市寿光市阳光温泉花园14号楼中单元302</t>
  </si>
  <si>
    <t>邹向荣</t>
  </si>
  <si>
    <t>江西省赣州市石城县东方明珠水晶阁</t>
  </si>
  <si>
    <t>江西省赣州市石城县龙岗乡下迳村新田寺组13号</t>
  </si>
  <si>
    <t>李显飞</t>
  </si>
  <si>
    <t>吉林省长春市南关区经济开发区嘉惠红山郡小区14号楼</t>
  </si>
  <si>
    <t>吉林省长春市绿园区西安花园5栋1单元402</t>
  </si>
  <si>
    <t>段文彦</t>
  </si>
  <si>
    <t>潘德权</t>
  </si>
  <si>
    <t>广东省肇庆市四会市四会市东城区清东路168号</t>
  </si>
  <si>
    <t>广东省肇庆市四会市东城区清塘大道海伦堡6座1302</t>
  </si>
  <si>
    <t>徐娜娜</t>
  </si>
  <si>
    <t>安徽省蚌埠市蚌山区蚌埠市航苑路238号</t>
  </si>
  <si>
    <t>安徽省蚌埠市龙子湖区长淮卫镇淮光村徐郢23号</t>
  </si>
  <si>
    <t>王婷</t>
  </si>
  <si>
    <t>河南省郑州市荥阳市成皋路丽景花园5号楼</t>
  </si>
  <si>
    <t>河南省郑州市荥阳市城关乡南周村凤凰台</t>
  </si>
  <si>
    <t>陈艳建</t>
  </si>
  <si>
    <t>福建省福州市台江区交通路7号</t>
  </si>
  <si>
    <t>福建省福州市福清市江镜镇玉仑村292号</t>
  </si>
  <si>
    <t>万建东</t>
  </si>
  <si>
    <t>张育威</t>
  </si>
  <si>
    <t>广东省深圳市宝安区西乡街道办固戍一路东华工业区D栋103</t>
  </si>
  <si>
    <t>广东省深圳市南山区西乡街道办固戍一路正奇隆大厦B座306</t>
  </si>
  <si>
    <t>王安庆</t>
  </si>
  <si>
    <t>重庆市重庆市涪陵区江东街道黄桷嘴居委</t>
  </si>
  <si>
    <t>重庆市重庆市涪陵区仁义乡百汇村</t>
  </si>
  <si>
    <t>周发青</t>
  </si>
  <si>
    <t>赵万州</t>
  </si>
  <si>
    <t>贵州省黔南布依族苗族自治州瓮安县河滨社区县人民政府</t>
  </si>
  <si>
    <t>贵州省黔南布依族苗族自治州瓮安县贵州省瓮安县老坟嘴乡关塘村观塘湾组</t>
  </si>
  <si>
    <t>杨世杰</t>
  </si>
  <si>
    <t>四川省内江市资中县五菱大道冰河花园小区77号</t>
  </si>
  <si>
    <t>四川省内江市资中县中铁城市中心7栋一单元1306</t>
  </si>
  <si>
    <t>李洋</t>
  </si>
  <si>
    <t>河北省沧州市运河区庆云镇黑牛王村</t>
  </si>
  <si>
    <t>河北省沧州市新华区天成郡府西区9号楼2单元1302</t>
  </si>
  <si>
    <t>李净</t>
  </si>
  <si>
    <t>四川省泸州市江阳区世纪锦源三江房产</t>
  </si>
  <si>
    <t>四川省泸州市江阳区红树湾6号楼二单元1112</t>
  </si>
  <si>
    <t>罗前宝</t>
  </si>
  <si>
    <t>江苏省淮安市淮阴区江苏省淮安市准阴区钱江路267号御林汽配有限公司</t>
  </si>
  <si>
    <t>江苏省淮安市淮阴区江苏省淮安市准阴区王兴镇长兴村八组48号罗庄</t>
  </si>
  <si>
    <t>胡万君</t>
  </si>
  <si>
    <t>山东省济宁市任城区任城大道中德广场c座二楼</t>
  </si>
  <si>
    <t>山东省济宁市任城区南张街道办事处姜郑村中心胡同33号</t>
  </si>
  <si>
    <t>杨春香</t>
  </si>
  <si>
    <t>山西省临汾市霍州市石林村</t>
  </si>
  <si>
    <t>山西省临汾市霍州市霍州市后塞路142号</t>
  </si>
  <si>
    <t>罗刚</t>
  </si>
  <si>
    <t>重庆市重庆市璧山县重庆市璧山区金剑路522号附4号</t>
  </si>
  <si>
    <t>重庆市重庆市璧山县重庆市璧山区大路街道福里村4组54号</t>
  </si>
  <si>
    <t>赵玉仔</t>
  </si>
  <si>
    <t>北京市北京市丰台区北大街北里甲1号9幢229</t>
  </si>
  <si>
    <t>北京市北京市大兴区青云店镇四村三队京福路六条三号</t>
  </si>
  <si>
    <t>秦江鹏</t>
  </si>
  <si>
    <t>河南省郑州市中原区国家大学科技园西区1号楼611</t>
  </si>
  <si>
    <t>河南省郑州市管城回族区中岳七里香堤6号楼1单元602</t>
  </si>
  <si>
    <t>付瑞文</t>
  </si>
  <si>
    <t>广东省深圳市福田区福华路31号荣超城市中心</t>
  </si>
  <si>
    <t>广东省深圳市福田区八卦四路深大电话公寓2402</t>
  </si>
  <si>
    <t>张丽霞</t>
  </si>
  <si>
    <t>甘肃省天水市甘谷县甘谷县康庄路县医院</t>
  </si>
  <si>
    <t>甘肃省天水市甘谷县甘谷县新兴镇渭阳乡槐沟村槐沟门14号</t>
  </si>
  <si>
    <t>刘原峰</t>
  </si>
  <si>
    <t>河南省商丘市永城市东城区东方大道西段</t>
  </si>
  <si>
    <t>河南省商丘市永城市健康西路137号</t>
  </si>
  <si>
    <t>范江林</t>
  </si>
  <si>
    <t>云南省文山壮族苗族自治州富宁县山上城08号</t>
  </si>
  <si>
    <t>云南省文山壮族苗族自治州富宁县园丁小区四巷6号</t>
  </si>
  <si>
    <t>陶彩霞</t>
  </si>
  <si>
    <t>安徽省马鞍山市博望区安徽省马鞍山市博望镇巨星北路</t>
  </si>
  <si>
    <t>安徽省马鞍山市博望区安徽省马鞍山市博望镇新联村陶家自然村5号</t>
  </si>
  <si>
    <t>赵丽春</t>
  </si>
  <si>
    <t>山东省青岛市即墨市鹤山路外贸城6号楼</t>
  </si>
  <si>
    <t>山东省青岛市即墨市技校小区5号楼三单元402</t>
  </si>
  <si>
    <t>郑秀琴</t>
  </si>
  <si>
    <t>甘长生</t>
  </si>
  <si>
    <t>重庆市重庆市潼南县桂林街道办事处金佛大道64号2层</t>
  </si>
  <si>
    <t>重庆市重庆市潼南县江南山庄2栋4楼1号</t>
  </si>
  <si>
    <t>马芳</t>
  </si>
  <si>
    <t>王鑫纲</t>
  </si>
  <si>
    <t>山西省晋中市榆次区汇通南路汇通新城4幢1单元2703</t>
  </si>
  <si>
    <t>山西省晋中市榆次区思凤街南苑新区31号楼5单元301</t>
  </si>
  <si>
    <t>冯艳</t>
  </si>
  <si>
    <t>河南省洛阳市西工区体育场西路洛浦御博城6-2-901</t>
  </si>
  <si>
    <t>河南省洛阳市涧西区新疆路浅一街坊4-3-603</t>
  </si>
  <si>
    <t>刘有能</t>
  </si>
  <si>
    <t>云南省昆明市五华区裕康路裕康花园</t>
  </si>
  <si>
    <t>昆明市呈贡区吴家营街道前卫营小区</t>
  </si>
  <si>
    <t>刘达</t>
  </si>
  <si>
    <t>甘国英</t>
  </si>
  <si>
    <t>四川省达州市大竹县东大街农行家属院</t>
  </si>
  <si>
    <t>四川省达州市大竹县</t>
  </si>
  <si>
    <t>李梦楠</t>
  </si>
  <si>
    <t>陈浩</t>
  </si>
  <si>
    <t>何国标</t>
  </si>
  <si>
    <t>浙江省杭州市富阳市东洲街道五号路25号</t>
  </si>
  <si>
    <t>浙江省杭州市富阳市东洲街道何埭村何家埭路292号</t>
  </si>
  <si>
    <t>钟鸿斌</t>
  </si>
  <si>
    <t>福建省厦门市集美区灌口镇铁山路海翼物流园5栋17-18号</t>
  </si>
  <si>
    <t>福建省厦门市集美区灌口镇黄庄里407号</t>
  </si>
  <si>
    <t>靳春贵</t>
  </si>
  <si>
    <t>山东省聊城市东昌府区郑家镇开发区173号</t>
  </si>
  <si>
    <t>山东省聊城市东昌府区山东省聊城市东昌府区郑家镇后靳村54号</t>
  </si>
  <si>
    <t>陈永强</t>
  </si>
  <si>
    <t>广东省云浮市云城区广东云浮市环市西路21号</t>
  </si>
  <si>
    <t>广东省云浮市云城区高峰84幢604号</t>
  </si>
  <si>
    <t>李金红</t>
  </si>
  <si>
    <t>吉林省长春市二道区秦皇岛路500号</t>
  </si>
  <si>
    <t>吉林省长春市绿园区吉林省长春市西环城上海绿地</t>
  </si>
  <si>
    <t>令文广</t>
  </si>
  <si>
    <t>甘肃省定西市陇西县东大街小巷</t>
  </si>
  <si>
    <t>甘肃省定西市陇西县金泰润园十号楼一单元1002</t>
  </si>
  <si>
    <t>兰万锋</t>
  </si>
  <si>
    <t>浙江省宁波市慈溪市横河镇梅湖路29号</t>
  </si>
  <si>
    <t>浙江省宁波市慈溪市横河镇龙泉村</t>
  </si>
  <si>
    <t>张前政</t>
  </si>
  <si>
    <t>甘肃省酒泉市肃州区玉门油田生活基地街道欣露园5-1-10</t>
  </si>
  <si>
    <t>甘肃省酒泉市肃州区玉门油田生活基地街道鸿硕园5栋二单元501</t>
  </si>
  <si>
    <t>杨志坤</t>
  </si>
  <si>
    <t>福建省漳州市芗城区南坑街道北环城路岱山蔬菜批发市场</t>
  </si>
  <si>
    <t>福建省漳州市芗城区天宝镇后巷村190号</t>
  </si>
  <si>
    <t>刘朝阳</t>
  </si>
  <si>
    <t>北京市北京市东城区窦店镇交道西大街5号</t>
  </si>
  <si>
    <t>河北省保定市涿州市东城坊镇贾村200号</t>
  </si>
  <si>
    <t>郑伟海</t>
  </si>
  <si>
    <t>浙江省湖州市长兴县解放西路192号</t>
  </si>
  <si>
    <t>浙江省湖州市长兴县水口乡徽州庄</t>
  </si>
  <si>
    <t>黄钟泰</t>
  </si>
  <si>
    <t>王定红</t>
  </si>
  <si>
    <t>广东省东莞市横沥镇田头第二工业区元贝路三号</t>
  </si>
  <si>
    <t>湖南省郴州市嘉禾县广发乡广发村15号</t>
  </si>
  <si>
    <t>张宁</t>
  </si>
  <si>
    <t>年理想</t>
  </si>
  <si>
    <t>江苏省苏州市昆山市淀山湖镇曙光路19-26号</t>
  </si>
  <si>
    <t>江苏省苏州市昆山市淀山湖镇曙光新城24-101</t>
  </si>
  <si>
    <t>黄宁锐</t>
  </si>
  <si>
    <t>广东省广州市增城市东山路8号</t>
  </si>
  <si>
    <t>广东省广州市增城市汇翠湾17幢104</t>
  </si>
  <si>
    <t>常瑶</t>
  </si>
  <si>
    <t>刘康</t>
  </si>
  <si>
    <t>山东省聊城市临清市东外环工业园区</t>
  </si>
  <si>
    <t>山东省聊城市临清市大辛庄街道后八里居委会</t>
  </si>
  <si>
    <t>蔡克奕</t>
  </si>
  <si>
    <t>海南省海口市龙华区海南省万宁市长丰镇镇政府对面</t>
  </si>
  <si>
    <t>海南省海口市龙华区海南省万宁市长丰镇长安村委会福田村37号</t>
  </si>
  <si>
    <t>王昭</t>
  </si>
  <si>
    <t>北京市北京市朝阳区十里河宾馆底商4号</t>
  </si>
  <si>
    <t>北京市北京市东城区交道口东公街12</t>
  </si>
  <si>
    <t>张燕</t>
  </si>
  <si>
    <t>甘肃省张掖市甘州区南环路679号</t>
  </si>
  <si>
    <t>甘肃省张掖市甘州区华大丰泽园B区10号楼二单元902</t>
  </si>
  <si>
    <t>侯永伟</t>
  </si>
  <si>
    <t>张汉忠</t>
  </si>
  <si>
    <t>浙江省杭州市萧山区临浦镇工业园区越兴路5号</t>
  </si>
  <si>
    <t>浙江省杭州市萧山区所前镇城南村灯郎张73号</t>
  </si>
  <si>
    <t>滕维成</t>
  </si>
  <si>
    <t>康美玲</t>
  </si>
  <si>
    <t>郭志强</t>
  </si>
  <si>
    <t>江苏省苏州市吴中区苏州葑亭大道598号</t>
  </si>
  <si>
    <t>江苏省苏州市吴中区甪直镇淞南云龙村123号</t>
  </si>
  <si>
    <t>毕泗彤</t>
  </si>
  <si>
    <t>陈奇达</t>
  </si>
  <si>
    <t>浙江省绍兴市上虞市上浦镇昆仑村</t>
  </si>
  <si>
    <t>浙江省绍兴市上虞市百官街道路东村</t>
  </si>
  <si>
    <t>余江</t>
  </si>
  <si>
    <t>重庆市重庆市九龙坡区九龙坡区民安华府大道</t>
  </si>
  <si>
    <t>重庆市重庆市巴南区鱼洞街道办事处昌福盛景丽城3栋18-10</t>
  </si>
  <si>
    <t>陈清云</t>
  </si>
  <si>
    <t>广东省清远市清新县广东省清远市清新县朝阳路18号</t>
  </si>
  <si>
    <t>广东省清远市清新县康怡新苑建设南路26号</t>
  </si>
  <si>
    <t>杨春花</t>
  </si>
  <si>
    <t>云南省保山市隆阳区太保集萃步行街31</t>
  </si>
  <si>
    <t>云南省保山市隆阳区玉泉小区128号</t>
  </si>
  <si>
    <t>邵迎辉</t>
  </si>
  <si>
    <t>山东省潍坊市昌邑市围子街道办东邵村</t>
  </si>
  <si>
    <t>山东省潍坊市昌邑市围子街道办东邵村111号</t>
  </si>
  <si>
    <t>梁杰明</t>
  </si>
  <si>
    <t>广西钦州市浦北县张黄镇车站小区48号</t>
  </si>
  <si>
    <t>广西钦州市浦北县泉水镇横流村委会水鸣滩下村11号</t>
  </si>
  <si>
    <t>潘志贤</t>
  </si>
  <si>
    <t>福建省泉州市南安市乐峰镇湖内村加洋1号</t>
  </si>
  <si>
    <t>山东省烟台市莱阳市柏林庄镇小莱路98号</t>
  </si>
  <si>
    <t>山东省烟台市莱阳市羊郡镇西埠前村182号</t>
  </si>
  <si>
    <t>宋航杰</t>
  </si>
  <si>
    <t>陕西省西安市阎良区人民路西100号</t>
  </si>
  <si>
    <t>陕西省西安市阎良区人民路十所北苑七号楼二单元三楼东户</t>
  </si>
  <si>
    <t>谢富畴</t>
  </si>
  <si>
    <t>郎需超</t>
  </si>
  <si>
    <t>山东省烟台市福山区太华路东侧恒发机械有限公司1号门市</t>
  </si>
  <si>
    <t>山东省烟台市福山区福山区天府街19号富豪青年国际广场1号楼2单元56室</t>
  </si>
  <si>
    <t>于萍</t>
  </si>
  <si>
    <t>辽宁省铁岭市调兵山市辽宁省铁岭市调兵山市站前路商业大厦</t>
  </si>
  <si>
    <t>辽宁省铁岭市调兵山市辽宁省铁岭市调兵山市东方家园小区一号楼一单元501</t>
  </si>
  <si>
    <t>杨辰</t>
  </si>
  <si>
    <t>江苏省无锡市崇安区崇宁路28号3幢211</t>
  </si>
  <si>
    <t>江苏省无锡市惠山区堰新苑四期108号2403</t>
  </si>
  <si>
    <t>李兵</t>
  </si>
  <si>
    <t>广东省深圳市福田区皇岗三农花园6栋</t>
  </si>
  <si>
    <t>深圳市福田区沙尾西村109栋</t>
  </si>
  <si>
    <t>张金龙</t>
  </si>
  <si>
    <t>辽宁省鞍山市铁东区新开河镇张荒村</t>
  </si>
  <si>
    <t>辽宁省鞍山市台安县新开河镇张荒村</t>
  </si>
  <si>
    <t>张晓</t>
  </si>
  <si>
    <t>安徽省六安市金安区千人桥镇中铁一局</t>
  </si>
  <si>
    <t>陕西省渭南市临渭区下庙镇牛市一局</t>
  </si>
  <si>
    <t>叶建平</t>
  </si>
  <si>
    <t>广西桂林市临桂县沙塘村委会叶家村70号</t>
  </si>
  <si>
    <t>黄凤婵</t>
  </si>
  <si>
    <t>广西南宁市兴宁区民主路8号斯壮大厦20楼</t>
  </si>
  <si>
    <t>广西百色市德保县广西南宁市兴宁区民主路8号斯壮大厦</t>
  </si>
  <si>
    <t>胡文龙</t>
  </si>
  <si>
    <t>重庆市重庆市九龙坡区红狮大道6号巴国城F栋</t>
  </si>
  <si>
    <t>重庆市重庆市渝中区德兴里4号6-1</t>
  </si>
  <si>
    <t>冯洋</t>
  </si>
  <si>
    <t>重庆市重庆市奉节县夔门街道袁梁社区9组</t>
  </si>
  <si>
    <t>重庆市重庆市奉节县三台社保局对面建工建材宿舍三单元203</t>
  </si>
  <si>
    <t>金继良</t>
  </si>
  <si>
    <t>李德刚</t>
  </si>
  <si>
    <t>海南省海口市秀英区老城区盈滨路东二区</t>
  </si>
  <si>
    <t>海南省海口市秀英区海口新村282号</t>
  </si>
  <si>
    <t>王涛</t>
  </si>
  <si>
    <t>吉林省长春市宽城区榆树北街东华泰世纪新城</t>
  </si>
  <si>
    <t>吉林省长春市绿园区通达路顺通花园39栋一单元201</t>
  </si>
  <si>
    <t>龙辉</t>
  </si>
  <si>
    <t>四川省绵阳市涪城区绵兴东路99号</t>
  </si>
  <si>
    <t>四川省绵阳市涪城区双碑十组二栋四单元三楼</t>
  </si>
  <si>
    <t>曾凯峰</t>
  </si>
  <si>
    <t>内蒙古呼和浩特市回民区光明路119号</t>
  </si>
  <si>
    <t>内蒙古呼和浩特市玉泉区南二环科苑家园小区十二号楼一单元五楼东户</t>
  </si>
  <si>
    <t>余永波</t>
  </si>
  <si>
    <t>湖南省长沙市雨花区韶山南路259号香颂国际10029</t>
  </si>
  <si>
    <t>湖南省长沙市雨花区湘府中路华悦城2一2一1305</t>
  </si>
  <si>
    <t>魏明宽</t>
  </si>
  <si>
    <t>青海省海东地区民和回族土族自治县民和县巴州镇人民政府向北300你鑫盛不锈钢</t>
  </si>
  <si>
    <t>青海省海东地区民和回族土族自治县巴州镇巴二村56号</t>
  </si>
  <si>
    <t>侯晓亮</t>
  </si>
  <si>
    <t>山东省聊城市东昌府区东昌路当代国际大厦18楼1807B</t>
  </si>
  <si>
    <t>山东省聊城市东昌府区山东省聊城市东昌府区燕山路久和社区45号楼三单元6楼东</t>
  </si>
  <si>
    <t>李琼楠</t>
  </si>
  <si>
    <t>河南省信阳市浉河区新华东路盐业小区</t>
  </si>
  <si>
    <t>河南省信阳市浉河区老城区南关社区</t>
  </si>
  <si>
    <t>郑东</t>
  </si>
  <si>
    <t>梁引</t>
  </si>
  <si>
    <t>黎维领</t>
  </si>
  <si>
    <t>广东省阳江市阳东县那味工业园</t>
  </si>
  <si>
    <t>贵州省黔南布依族苗族自治州独山县本寨乡玉水镇</t>
  </si>
  <si>
    <t>卢刚</t>
  </si>
  <si>
    <t>于健</t>
  </si>
  <si>
    <t>陈国斌</t>
  </si>
  <si>
    <t>广东省深圳市宝安区西乡文具市场</t>
  </si>
  <si>
    <t>广东省深圳市宝安区西乡宝莲新村十一巷八号</t>
  </si>
  <si>
    <t>韩军</t>
  </si>
  <si>
    <t>山东省淄博市沂源县翡翠山居137号楼2单元201</t>
  </si>
  <si>
    <t>韩吉福</t>
  </si>
  <si>
    <t>山东省临沂市罗庄区文化路与罗七路向东100米路南</t>
  </si>
  <si>
    <t>山东省临沂市罗庄区开元路与建设路向东100米</t>
  </si>
  <si>
    <t>唐世红</t>
  </si>
  <si>
    <t>重庆市重庆市荣昌县汇宇建材市场一期一栋1-12</t>
  </si>
  <si>
    <t>重庆市重庆市荣昌县财信中央大街五栋10-5</t>
  </si>
  <si>
    <t>梁亚辉</t>
  </si>
  <si>
    <t>河南省周口市淮阳县郑集乡梅庙大队屯民村</t>
  </si>
  <si>
    <t>河南省周口市淮阳县周口市淮阳县郑集乡梅庙大队屯民村</t>
  </si>
  <si>
    <t>王吉</t>
  </si>
  <si>
    <t>云南省保山市隆阳区保岫西路94号</t>
  </si>
  <si>
    <t>云南省保山市隆阳区景盛花园7栋402</t>
  </si>
  <si>
    <t>李齐</t>
  </si>
  <si>
    <t>重庆市重庆市黔江区南海鑫城二楼</t>
  </si>
  <si>
    <t>重庆市重庆市黔江区城北公社41号2-2</t>
  </si>
  <si>
    <t>赵新发</t>
  </si>
  <si>
    <t>云南省曲靖市沾益县东风北路84号</t>
  </si>
  <si>
    <t>云南省曲靖市沾益县龙华街道办事处清河社区居委会红瓦房村113号</t>
  </si>
  <si>
    <t>赵春美</t>
  </si>
  <si>
    <t>云南省曲靖市沾益县云南曲靖花山工业园区</t>
  </si>
  <si>
    <t>云南省曲靖市沾益县云南曲靖花山农场26幢102</t>
  </si>
  <si>
    <t>云南省玉溪市易门县龙泉街道南园巷139号</t>
  </si>
  <si>
    <t>云南省玉溪市易门县云南省玉溪市易门县龙泉街道兴文街111号</t>
  </si>
  <si>
    <t>阳毅</t>
  </si>
  <si>
    <t>湖南省郴州市苏仙区郴州市苏仙区香雪大道6-7号</t>
  </si>
  <si>
    <t>湖南省郴州市苏仙区郴州市苏仙区马头岭乡荷叶塘村</t>
  </si>
  <si>
    <t>田青青</t>
  </si>
  <si>
    <t>贵州省贵阳市南明区市南路57号阳光100小区</t>
  </si>
  <si>
    <t>贵州省遵义市红花岗区东欣彩虹城</t>
  </si>
  <si>
    <t>卢六成</t>
  </si>
  <si>
    <t>广东省广州市白云区鹤龙街黄边南街7号</t>
  </si>
  <si>
    <t>广东省广州市白云区鹤龙街黄边南街后花园一巷301号</t>
  </si>
  <si>
    <t>袁妃</t>
  </si>
  <si>
    <t>广东省深圳市宝安区深圳观澜观光路1412</t>
  </si>
  <si>
    <t>广东省深圳市宝安区深圳观澜大水坑大三村304</t>
  </si>
  <si>
    <t>曹一丁</t>
  </si>
  <si>
    <t>北京市北京市通州区宋庄镇工厂路E</t>
  </si>
  <si>
    <t>北京市北京市通州区宋庄镇国防艺术区</t>
  </si>
  <si>
    <t>林丙乙</t>
  </si>
  <si>
    <t>广东省揭阳市惠来县隆江镇新寨油园五巷27号</t>
  </si>
  <si>
    <t>广东省揭阳市惠来县溪西镇埔洋管区刘畔村东五巷4号</t>
  </si>
  <si>
    <t>王科</t>
  </si>
  <si>
    <t>安徽省合肥市包河区箱子滨江</t>
  </si>
  <si>
    <t>胡燕宇</t>
  </si>
  <si>
    <t>曹升岺</t>
  </si>
  <si>
    <t>徐永杰</t>
  </si>
  <si>
    <t>江苏省泰州市海陵区中国医药城数据大厦A座</t>
  </si>
  <si>
    <t>江苏省泰州市海陵区城南街道永泰路永泰花园5号楼303室</t>
  </si>
  <si>
    <t>柯兵</t>
  </si>
  <si>
    <t>广东省广州市增城市西坊西兴三街18号</t>
  </si>
  <si>
    <t>广东省广州市增城市西坊西兴三街</t>
  </si>
  <si>
    <t>陈娟</t>
  </si>
  <si>
    <t>熊路</t>
  </si>
  <si>
    <t>蒋殷</t>
  </si>
  <si>
    <t>梁庆成</t>
  </si>
  <si>
    <t>山西省太原市杏花岭区杏花岭区电信大楼</t>
  </si>
  <si>
    <t>山西省太原市杏花岭区桃园小区</t>
  </si>
  <si>
    <t>梁晓东</t>
  </si>
  <si>
    <t>陕西省榆林市榆阳区航宇路长丰大厦4楼404</t>
  </si>
  <si>
    <t>陕西省榆林市榆阳区航宇路建设路建强巷13排4号</t>
  </si>
  <si>
    <t>赖素珍</t>
  </si>
  <si>
    <t>江西省赣州市龙南县新工业园232号</t>
  </si>
  <si>
    <t>江西省赣州市龙南县奥园b1栋2单元1602</t>
  </si>
  <si>
    <t>陈天意</t>
  </si>
  <si>
    <t>北京市北京市平谷区府前西街七号楼二号</t>
  </si>
  <si>
    <t>北京市北京市平谷区向阳南街八号</t>
  </si>
  <si>
    <t>张明升</t>
  </si>
  <si>
    <t>广东省广州市天河区广东省广州市天河区光谱路25号</t>
  </si>
  <si>
    <t>广东省茂名市化州市广东省化州市中垌镇坡头勒筒村48号</t>
  </si>
  <si>
    <t>段新明</t>
  </si>
  <si>
    <t>湖北省十堰市郧县郧县城关镇东岭坝头人民大坝五组</t>
  </si>
  <si>
    <t>湖北省十堰市郧县湖北省郧县城关镇中岭街7号4栋01室</t>
  </si>
  <si>
    <t>杨婷</t>
  </si>
  <si>
    <t>四川省成都市锦江区龙腾东路5路</t>
  </si>
  <si>
    <t>四川省成都市武侯区聚荟街华宇静苑一期一栋三单元203</t>
  </si>
  <si>
    <t>张三杰</t>
  </si>
  <si>
    <t>河南省南阳市宛城区长江路中段万邦家具城</t>
  </si>
  <si>
    <t>河南省南阳市宛城区瓦店镇岳庙村四组152号</t>
  </si>
  <si>
    <t>丁勇</t>
  </si>
  <si>
    <t>上海市上海市浦东新区上海市浦东新区张扬路838号</t>
  </si>
  <si>
    <t>上海市浦东新区陆家嘴环路168号</t>
  </si>
  <si>
    <t>张展聪</t>
  </si>
  <si>
    <t>广东省广州市白云区广东省广州市白云区东华移民工业区</t>
  </si>
  <si>
    <t>陈萧</t>
  </si>
  <si>
    <t>贵州省贵阳市云岩区贵阳市百花大道41号</t>
  </si>
  <si>
    <t>贵州省贵阳市云岩区贵州省湄潭县西河镇仁合村龙孔组62号</t>
  </si>
  <si>
    <t>郑权</t>
  </si>
  <si>
    <t>江苏省徐州市邳州市邳州市邳新路二号</t>
  </si>
  <si>
    <t>江苏省徐州市邳州市运河镇市场路北跃进四巷一号</t>
  </si>
  <si>
    <t>胡建红</t>
  </si>
  <si>
    <t>浙江省宁波市余姚市世南西路1819号</t>
  </si>
  <si>
    <t>浙江省宁波市余姚市兰江北路唯尔激光科技园</t>
  </si>
  <si>
    <t>郭倩倩</t>
  </si>
  <si>
    <t>马啸</t>
  </si>
  <si>
    <t>甘肃省兰州市城关区盘旋路西口499号</t>
  </si>
  <si>
    <t>甘肃省兰州市城关区雁西路159号</t>
  </si>
  <si>
    <t>赖高宇</t>
  </si>
  <si>
    <t>广东省河源市源城区高新区科技六路</t>
  </si>
  <si>
    <t>广东省河源市连平县忠信镇上坣村下坣屋</t>
  </si>
  <si>
    <t>余培源</t>
  </si>
  <si>
    <t>浙江省宁波市鄞州区和邦大厦c座909</t>
  </si>
  <si>
    <t>浙江省宁波市鄞州区锦寓路58号永泰花园302</t>
  </si>
  <si>
    <t>薄龙洋</t>
  </si>
  <si>
    <t>甘肃省兰州市城关区甘肃省兰州市城关区火车站广场</t>
  </si>
  <si>
    <t>甘肃省兰州市城关区甘肃省兰州市城关区南山路红山雅轩</t>
  </si>
  <si>
    <t>钟磊</t>
  </si>
  <si>
    <t>安华伟</t>
  </si>
  <si>
    <t>甘肃省酒泉市瓜州县瓜州县文化街25号</t>
  </si>
  <si>
    <t>甘肃省酒泉市瓜州县瓜州县渊泉镇公园街66号</t>
  </si>
  <si>
    <t>陈清波</t>
  </si>
  <si>
    <t>福建省厦门市思明区白鹭洲公园一号A座</t>
  </si>
  <si>
    <t>福建省厦门市湖里区寨上1064</t>
  </si>
  <si>
    <t>蒋小丽</t>
  </si>
  <si>
    <t>金高杰</t>
  </si>
  <si>
    <t>武斌</t>
  </si>
  <si>
    <t>江苏省无锡市惠山区禾健物流园f栋23号</t>
  </si>
  <si>
    <t>江苏省无锡市惠山区前洲街道锦绣北路5号</t>
  </si>
  <si>
    <t>文波</t>
  </si>
  <si>
    <t>四川省遂宁市船山区花溪路旧家具市场25号</t>
  </si>
  <si>
    <t>四川省遂宁市船山区凯旋下路梭子巷75号8单元402室</t>
  </si>
  <si>
    <t>欧翊</t>
  </si>
  <si>
    <t>司树峰</t>
  </si>
  <si>
    <t>江苏省南通市如皋市长江镇滨江路一号</t>
  </si>
  <si>
    <t>江苏省南通市通州区平潮镇吉坝村村四十四组105号1室</t>
  </si>
  <si>
    <t>唐清华</t>
  </si>
  <si>
    <t>四川省成都市金堂县四川阿坝州松潘县靖安镇顺江村</t>
  </si>
  <si>
    <t>四川省成都市金堂县福兴镇牛角村6组</t>
  </si>
  <si>
    <t>冯明安</t>
  </si>
  <si>
    <t>广西北海市海城区广西北海市海城区四川南路驿马街道九洲城94号</t>
  </si>
  <si>
    <t>广西北海市银海区银滩镇龙潭村委会龙潭村十九队10号</t>
  </si>
  <si>
    <t>刘岩</t>
  </si>
  <si>
    <t>张帆</t>
  </si>
  <si>
    <t>河北省邢台市桥西区中华路23号</t>
  </si>
  <si>
    <t>河北省邢台市桥西区建设路现代城6号1单1804</t>
  </si>
  <si>
    <t>扎西拉姆</t>
  </si>
  <si>
    <t>四川省甘孜藏族自治州白玉县白玉县章都乡</t>
  </si>
  <si>
    <t>四川省甘孜藏族自治州白玉县白玉县章都乡人民政府</t>
  </si>
  <si>
    <t>关凯</t>
  </si>
  <si>
    <t>宦斌</t>
  </si>
  <si>
    <t>邸林</t>
  </si>
  <si>
    <t>刘荣</t>
  </si>
  <si>
    <t>四川省攀枝花市东区攀枝花市东区弄弄坪中路</t>
  </si>
  <si>
    <t>四川省攀枝花市东区四川省攀枝花东区五十四金福街</t>
  </si>
  <si>
    <t>张金阳</t>
  </si>
  <si>
    <t>杨红</t>
  </si>
  <si>
    <t>重庆市重庆市九龙坡区杨家坪兴胜路58号</t>
  </si>
  <si>
    <t>重庆市重庆市九龙坡区杨家坪保利花半里玫瑰园2栋</t>
  </si>
  <si>
    <t>董智鹏</t>
  </si>
  <si>
    <t>北京市北京市朝阳区北京市朝阳区望花路西里临25楼</t>
  </si>
  <si>
    <t>北京市朝阳区望花路东里2号楼404</t>
  </si>
  <si>
    <t>邢贵武</t>
  </si>
  <si>
    <t>杨国其</t>
  </si>
  <si>
    <t>陆新强</t>
  </si>
  <si>
    <t>浙江省嘉兴市桐乡市桐乡乌镇民合集镇和谐街8号</t>
  </si>
  <si>
    <t>浙江省嘉兴市桐乡市浙江省桐乡市乌镇镇五星村王家门67号</t>
  </si>
  <si>
    <t>伍海锋</t>
  </si>
  <si>
    <t>四川省达州市通川区北外镇肖公庙路265号</t>
  </si>
  <si>
    <t>四川省达州市通川区罗江镇洞巴村7组027号</t>
  </si>
  <si>
    <t>胡旭文</t>
  </si>
  <si>
    <t>福建省龙岩市新罗区龙腾北路宏泰帝景1层</t>
  </si>
  <si>
    <t>福建省龙岩市新罗区登高西路名都汇2号楼401</t>
  </si>
  <si>
    <t>武杰</t>
  </si>
  <si>
    <t>云南省昆明市五华区普吉路298号</t>
  </si>
  <si>
    <t>云南省昆明市五华区教场北路巴士家园</t>
  </si>
  <si>
    <t>韦新脑</t>
  </si>
  <si>
    <t>广西柳州市柳南区柳邕路293号</t>
  </si>
  <si>
    <t>广西柳州市柳南区民鑫市场6号10栋</t>
  </si>
  <si>
    <t>李娇</t>
  </si>
  <si>
    <t>四川省成都市成华区二环路东二段10号</t>
  </si>
  <si>
    <t>四川省成都市成华区二环路东二段29号</t>
  </si>
  <si>
    <t>许一钧</t>
  </si>
  <si>
    <t>上海市上海市浦东新区上海浦东新区陆家嘴环路168号</t>
  </si>
  <si>
    <t>上海市上海市黄浦区上海黄浦区蓬莱路405弄3号</t>
  </si>
  <si>
    <t>许浩</t>
  </si>
  <si>
    <t>湖北省恩施土家族苗族自治州恩施市六角亭街道办事处首府壹品7楼0604号</t>
  </si>
  <si>
    <t>湖北省恩施土家族苗族自治州恩施市虎民路首府一品7-1-603</t>
  </si>
  <si>
    <t>暴素萍</t>
  </si>
  <si>
    <t>苏欣</t>
  </si>
  <si>
    <t>湖南省长沙市开福区三一大道273号</t>
  </si>
  <si>
    <t>湖南省长沙市开福区三一大道273号4栋 804</t>
  </si>
  <si>
    <t>杨劲涛</t>
  </si>
  <si>
    <t>云南省大理白族自治州大理市下关镇万花路森林武警后面</t>
  </si>
  <si>
    <t>云南省大理白族自治州大理市下关镇富海路金牛小区2栋306室</t>
  </si>
  <si>
    <t>张朦朦</t>
  </si>
  <si>
    <t>山东省淄博市博山区白塔镇颜北路185号</t>
  </si>
  <si>
    <t>山东省淄博市博山区山头街道秋谷村转天岭47号院5号</t>
  </si>
  <si>
    <t>农俊杰</t>
  </si>
  <si>
    <t>广西崇左市龙州县龙州城北路路龙达有限责任公司</t>
  </si>
  <si>
    <t>广西崇左市龙州县龙州县上龙乡上龙村板凹屯</t>
  </si>
  <si>
    <t>唐海波</t>
  </si>
  <si>
    <t>董磊</t>
  </si>
  <si>
    <t>上海市上海市嘉定区江桥镇临潭路5弄501</t>
  </si>
  <si>
    <t>安徽省宿州市泗县泗城镇荣辉国际花园1幢1单元1401</t>
  </si>
  <si>
    <t>谢耀荣</t>
  </si>
  <si>
    <t>广东省广州市荔湾区南岸路二号之三</t>
  </si>
  <si>
    <t>广东省广州市越秀区广州市越秀区西坑后街19号</t>
  </si>
  <si>
    <t>谭子鹏</t>
  </si>
  <si>
    <t>江西省赣州市于都县教育局旁米尼酒店</t>
  </si>
  <si>
    <t>江西省赣州市于都县葛坳乡黄屋乾村</t>
  </si>
  <si>
    <t>张露</t>
  </si>
  <si>
    <t>郭东华</t>
  </si>
  <si>
    <t>浙江省温州市乐清市虹桥镇幸福东路1098号</t>
  </si>
  <si>
    <t>浙江省温州市乐清市虹桥镇幸福东路</t>
  </si>
  <si>
    <t>郭亚飞</t>
  </si>
  <si>
    <t>河南省郑州市金水区花园路农科路西南角2F</t>
  </si>
  <si>
    <t>河南省郑州市中原区商城东路130号30室</t>
  </si>
  <si>
    <t>张传旭</t>
  </si>
  <si>
    <t>云南省昭通市昭阳区墨瀚乡墨瀚街道</t>
  </si>
  <si>
    <t>云南省昭通市永善县墨瀚乡富民村拱桥社1号</t>
  </si>
  <si>
    <t>朱耀祖</t>
  </si>
  <si>
    <t>云南省大理白族自治州祥云县祥云县祥城镇马军村3组</t>
  </si>
  <si>
    <t>云南省大理白族自治州祥云县祥云县祥城镇于官村11组</t>
  </si>
  <si>
    <t>陈乾财</t>
  </si>
  <si>
    <t>邓秋明</t>
  </si>
  <si>
    <t>江苏省苏州市昆山市模具城四期D26栋7号</t>
  </si>
  <si>
    <t>江苏省苏州市昆山市北大资源119栋一单元2103</t>
  </si>
  <si>
    <t>杨思伟</t>
  </si>
  <si>
    <t>曾利清</t>
  </si>
  <si>
    <t>广东省清远市清城区横荷街道百加大街</t>
  </si>
  <si>
    <t>广东省清远市佛冈县石角镇科旺村委会西潭村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</si>
</sst>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6BF2A-C11A-412E-97E4-AB5697AA5F62}">
  <dimension ref="A1:F2375"/>
  <sheetViews>
    <sheetView tabSelected="1" workbookViewId="0">
      <selection sqref="A1:XFD100"/>
    </sheetView>
  </sheetViews>
  <sheetFormatPr defaultRowHeight="14" x14ac:dyDescent="0.3"/>
  <sheetData>
    <row r="1" spans="1:6" x14ac:dyDescent="0.3">
      <c r="A1" t="s">
        <v>0</v>
      </c>
      <c r="B1" t="str">
        <f>"18512277354"</f>
        <v>18512277354</v>
      </c>
      <c r="C1" t="s">
        <v>0</v>
      </c>
      <c r="D1" t="s">
        <v>0</v>
      </c>
      <c r="E1" t="s">
        <v>0</v>
      </c>
      <c r="F1" t="str">
        <f>"2019-01-14 10:37:50"</f>
        <v>2019-01-14 10:37:50</v>
      </c>
    </row>
    <row r="2" spans="1:6" x14ac:dyDescent="0.3">
      <c r="A2" t="s">
        <v>1</v>
      </c>
      <c r="B2" t="str">
        <f>"15800394063"</f>
        <v>15800394063</v>
      </c>
      <c r="C2" t="str">
        <f>"430681198309284919"</f>
        <v>430681198309284919</v>
      </c>
      <c r="D2" t="s">
        <v>0</v>
      </c>
      <c r="E2" t="s">
        <v>0</v>
      </c>
      <c r="F2" t="str">
        <f>"2019-01-14 10:37:36"</f>
        <v>2019-01-14 10:37:36</v>
      </c>
    </row>
    <row r="3" spans="1:6" x14ac:dyDescent="0.3">
      <c r="A3" t="s">
        <v>0</v>
      </c>
      <c r="B3" t="str">
        <f>"13848690160"</f>
        <v>13848690160</v>
      </c>
      <c r="C3" t="s">
        <v>0</v>
      </c>
      <c r="D3" t="s">
        <v>0</v>
      </c>
      <c r="E3" t="s">
        <v>0</v>
      </c>
      <c r="F3" t="str">
        <f>"2019-01-14 10:36:46"</f>
        <v>2019-01-14 10:36:46</v>
      </c>
    </row>
    <row r="4" spans="1:6" x14ac:dyDescent="0.3">
      <c r="A4" t="s">
        <v>2</v>
      </c>
      <c r="B4" t="str">
        <f>"13102747526"</f>
        <v>13102747526</v>
      </c>
      <c r="C4" t="str">
        <f>"141034197502260054"</f>
        <v>141034197502260054</v>
      </c>
      <c r="D4" t="s">
        <v>3</v>
      </c>
      <c r="E4" t="s">
        <v>4</v>
      </c>
      <c r="F4" t="str">
        <f>"2019-01-14 10:34:27"</f>
        <v>2019-01-14 10:34:27</v>
      </c>
    </row>
    <row r="5" spans="1:6" x14ac:dyDescent="0.3">
      <c r="A5" t="s">
        <v>5</v>
      </c>
      <c r="B5" t="str">
        <f>"15865357111"</f>
        <v>15865357111</v>
      </c>
      <c r="C5" t="str">
        <f>"370612198010180016"</f>
        <v>370612198010180016</v>
      </c>
      <c r="D5" t="s">
        <v>6</v>
      </c>
      <c r="E5" t="s">
        <v>7</v>
      </c>
      <c r="F5" t="str">
        <f>"2019-01-14 10:31:05"</f>
        <v>2019-01-14 10:31:05</v>
      </c>
    </row>
    <row r="6" spans="1:6" x14ac:dyDescent="0.3">
      <c r="A6" t="s">
        <v>8</v>
      </c>
      <c r="B6" t="str">
        <f>"13902251853"</f>
        <v>13902251853</v>
      </c>
      <c r="C6" t="str">
        <f>"441302198406076637"</f>
        <v>441302198406076637</v>
      </c>
      <c r="D6" t="s">
        <v>9</v>
      </c>
      <c r="E6" t="s">
        <v>10</v>
      </c>
      <c r="F6" t="str">
        <f>"2019-01-14 10:28:49"</f>
        <v>2019-01-14 10:28:49</v>
      </c>
    </row>
    <row r="7" spans="1:6" x14ac:dyDescent="0.3">
      <c r="A7" t="s">
        <v>11</v>
      </c>
      <c r="B7" t="str">
        <f>"13987428514"</f>
        <v>13987428514</v>
      </c>
      <c r="C7" t="str">
        <f>"530381198402061573"</f>
        <v>530381198402061573</v>
      </c>
      <c r="D7" t="s">
        <v>12</v>
      </c>
      <c r="E7" t="s">
        <v>13</v>
      </c>
      <c r="F7" t="str">
        <f>"2019-01-14 10:28:37"</f>
        <v>2019-01-14 10:28:37</v>
      </c>
    </row>
    <row r="8" spans="1:6" x14ac:dyDescent="0.3">
      <c r="A8" t="s">
        <v>0</v>
      </c>
      <c r="B8" t="str">
        <f>"18312925371"</f>
        <v>18312925371</v>
      </c>
      <c r="C8" t="s">
        <v>0</v>
      </c>
      <c r="D8" t="s">
        <v>0</v>
      </c>
      <c r="E8" t="s">
        <v>0</v>
      </c>
      <c r="F8" t="str">
        <f>"2019-01-14 10:27:25"</f>
        <v>2019-01-14 10:27:25</v>
      </c>
    </row>
    <row r="9" spans="1:6" x14ac:dyDescent="0.3">
      <c r="A9" t="s">
        <v>0</v>
      </c>
      <c r="B9" t="str">
        <f>"18486194062"</f>
        <v>18486194062</v>
      </c>
      <c r="C9" t="s">
        <v>0</v>
      </c>
      <c r="D9" t="s">
        <v>0</v>
      </c>
      <c r="E9" t="s">
        <v>0</v>
      </c>
      <c r="F9" t="str">
        <f>"2019-01-14 10:21:45"</f>
        <v>2019-01-14 10:21:45</v>
      </c>
    </row>
    <row r="10" spans="1:6" x14ac:dyDescent="0.3">
      <c r="A10" t="s">
        <v>14</v>
      </c>
      <c r="B10" t="str">
        <f>"13422867511"</f>
        <v>13422867511</v>
      </c>
      <c r="C10" t="str">
        <f>"460022198402235110"</f>
        <v>460022198402235110</v>
      </c>
      <c r="D10" t="s">
        <v>15</v>
      </c>
      <c r="E10" t="s">
        <v>16</v>
      </c>
      <c r="F10" t="str">
        <f>"2019-01-14 10:21:11"</f>
        <v>2019-01-14 10:21:11</v>
      </c>
    </row>
    <row r="11" spans="1:6" x14ac:dyDescent="0.3">
      <c r="A11" t="s">
        <v>17</v>
      </c>
      <c r="B11" t="str">
        <f>"18382700004"</f>
        <v>18382700004</v>
      </c>
      <c r="C11" t="str">
        <f>"513721198906152297"</f>
        <v>513721198906152297</v>
      </c>
      <c r="D11" t="s">
        <v>18</v>
      </c>
      <c r="E11" t="s">
        <v>19</v>
      </c>
      <c r="F11" t="str">
        <f>"2019-01-14 10:20:47"</f>
        <v>2019-01-14 10:20:47</v>
      </c>
    </row>
    <row r="12" spans="1:6" x14ac:dyDescent="0.3">
      <c r="A12" t="s">
        <v>0</v>
      </c>
      <c r="B12" t="str">
        <f>"17638093195"</f>
        <v>17638093195</v>
      </c>
      <c r="C12" t="s">
        <v>0</v>
      </c>
      <c r="D12" t="s">
        <v>0</v>
      </c>
      <c r="E12" t="s">
        <v>0</v>
      </c>
      <c r="F12" t="str">
        <f>"2019-01-14 10:17:10"</f>
        <v>2019-01-14 10:17:10</v>
      </c>
    </row>
    <row r="13" spans="1:6" x14ac:dyDescent="0.3">
      <c r="A13" t="s">
        <v>20</v>
      </c>
      <c r="B13" t="str">
        <f>"13711840513"</f>
        <v>13711840513</v>
      </c>
      <c r="C13" t="str">
        <f>"440883199401061718"</f>
        <v>440883199401061718</v>
      </c>
      <c r="D13" t="s">
        <v>0</v>
      </c>
      <c r="E13" t="s">
        <v>0</v>
      </c>
      <c r="F13" t="str">
        <f>"2019-01-14 10:11:22"</f>
        <v>2019-01-14 10:11:22</v>
      </c>
    </row>
    <row r="14" spans="1:6" x14ac:dyDescent="0.3">
      <c r="A14" t="s">
        <v>21</v>
      </c>
      <c r="B14" t="str">
        <f>"15217190904"</f>
        <v>15217190904</v>
      </c>
      <c r="C14" t="str">
        <f>"450203197805090310"</f>
        <v>450203197805090310</v>
      </c>
      <c r="D14" t="s">
        <v>22</v>
      </c>
      <c r="E14" t="s">
        <v>23</v>
      </c>
      <c r="F14" t="str">
        <f>"2019-01-14 10:11:09"</f>
        <v>2019-01-14 10:11:09</v>
      </c>
    </row>
    <row r="15" spans="1:6" x14ac:dyDescent="0.3">
      <c r="A15" t="s">
        <v>24</v>
      </c>
      <c r="B15" t="str">
        <f>"18100428864"</f>
        <v>18100428864</v>
      </c>
      <c r="C15" t="str">
        <f>"21122419940116531X"</f>
        <v>21122419940116531X</v>
      </c>
      <c r="D15" t="s">
        <v>25</v>
      </c>
      <c r="E15" t="s">
        <v>26</v>
      </c>
      <c r="F15" t="str">
        <f>"2019-01-14 10:07:08"</f>
        <v>2019-01-14 10:07:08</v>
      </c>
    </row>
    <row r="16" spans="1:6" x14ac:dyDescent="0.3">
      <c r="A16" t="s">
        <v>27</v>
      </c>
      <c r="B16" t="str">
        <f>"15120829597"</f>
        <v>15120829597</v>
      </c>
      <c r="C16" t="str">
        <f>"460022197008141234"</f>
        <v>460022197008141234</v>
      </c>
      <c r="D16" t="s">
        <v>28</v>
      </c>
      <c r="E16" t="s">
        <v>29</v>
      </c>
      <c r="F16" t="str">
        <f>"2019-01-14 10:07:04"</f>
        <v>2019-01-14 10:07:04</v>
      </c>
    </row>
    <row r="17" spans="1:6" x14ac:dyDescent="0.3">
      <c r="A17" t="s">
        <v>0</v>
      </c>
      <c r="B17" t="str">
        <f>"18684769319"</f>
        <v>18684769319</v>
      </c>
      <c r="C17" t="s">
        <v>0</v>
      </c>
      <c r="D17" t="s">
        <v>0</v>
      </c>
      <c r="E17" t="s">
        <v>0</v>
      </c>
      <c r="F17" t="str">
        <f>"2019-01-14 10:06:58"</f>
        <v>2019-01-14 10:06:58</v>
      </c>
    </row>
    <row r="18" spans="1:6" x14ac:dyDescent="0.3">
      <c r="A18" t="s">
        <v>30</v>
      </c>
      <c r="B18" t="str">
        <f>"15257582490"</f>
        <v>15257582490</v>
      </c>
      <c r="C18" t="str">
        <f>"330621198610034257"</f>
        <v>330621198610034257</v>
      </c>
      <c r="D18" t="s">
        <v>31</v>
      </c>
      <c r="E18" t="s">
        <v>32</v>
      </c>
      <c r="F18" t="str">
        <f>"2019-01-14 10:06:28"</f>
        <v>2019-01-14 10:06:28</v>
      </c>
    </row>
    <row r="19" spans="1:6" x14ac:dyDescent="0.3">
      <c r="A19" t="s">
        <v>33</v>
      </c>
      <c r="B19" t="str">
        <f>"15051955170"</f>
        <v>15051955170</v>
      </c>
      <c r="C19" t="str">
        <f>"320483198903198817"</f>
        <v>320483198903198817</v>
      </c>
      <c r="D19" t="s">
        <v>34</v>
      </c>
      <c r="E19" t="s">
        <v>35</v>
      </c>
      <c r="F19" t="str">
        <f>"2019-01-14 10:03:28"</f>
        <v>2019-01-14 10:03:28</v>
      </c>
    </row>
    <row r="20" spans="1:6" x14ac:dyDescent="0.3">
      <c r="A20" t="s">
        <v>0</v>
      </c>
      <c r="B20" t="str">
        <f>"18238479329"</f>
        <v>18238479329</v>
      </c>
      <c r="C20" t="s">
        <v>0</v>
      </c>
      <c r="D20" t="s">
        <v>0</v>
      </c>
      <c r="E20" t="s">
        <v>0</v>
      </c>
      <c r="F20" t="str">
        <f>"2019-01-14 09:58:20"</f>
        <v>2019-01-14 09:58:20</v>
      </c>
    </row>
    <row r="21" spans="1:6" x14ac:dyDescent="0.3">
      <c r="A21" t="s">
        <v>36</v>
      </c>
      <c r="B21" t="str">
        <f>"18874791513"</f>
        <v>18874791513</v>
      </c>
      <c r="C21" t="str">
        <f>"432524199905085119"</f>
        <v>432524199905085119</v>
      </c>
      <c r="D21" t="s">
        <v>37</v>
      </c>
      <c r="E21" t="s">
        <v>38</v>
      </c>
      <c r="F21" t="str">
        <f>"2019-01-14 09:57:26"</f>
        <v>2019-01-14 09:57:26</v>
      </c>
    </row>
    <row r="22" spans="1:6" x14ac:dyDescent="0.3">
      <c r="A22" t="s">
        <v>39</v>
      </c>
      <c r="B22" t="str">
        <f>"15155624533"</f>
        <v>15155624533</v>
      </c>
      <c r="C22" t="str">
        <f>"340881199811220017"</f>
        <v>340881199811220017</v>
      </c>
      <c r="D22" t="s">
        <v>40</v>
      </c>
      <c r="E22" t="s">
        <v>41</v>
      </c>
      <c r="F22" t="str">
        <f>"2019-01-14 09:56:43"</f>
        <v>2019-01-14 09:56:43</v>
      </c>
    </row>
    <row r="23" spans="1:6" x14ac:dyDescent="0.3">
      <c r="A23" t="s">
        <v>42</v>
      </c>
      <c r="B23" t="str">
        <f>"18911661554"</f>
        <v>18911661554</v>
      </c>
      <c r="C23" t="str">
        <f>"130621199308015415"</f>
        <v>130621199308015415</v>
      </c>
      <c r="D23" t="s">
        <v>43</v>
      </c>
      <c r="E23" t="s">
        <v>44</v>
      </c>
      <c r="F23" t="str">
        <f>"2019-01-14 09:54:20"</f>
        <v>2019-01-14 09:54:20</v>
      </c>
    </row>
    <row r="24" spans="1:6" x14ac:dyDescent="0.3">
      <c r="A24" t="s">
        <v>45</v>
      </c>
      <c r="B24" t="str">
        <f>"15962407363"</f>
        <v>15962407363</v>
      </c>
      <c r="C24" t="str">
        <f>"142630199610271225"</f>
        <v>142630199610271225</v>
      </c>
      <c r="D24" t="s">
        <v>0</v>
      </c>
      <c r="E24" t="s">
        <v>0</v>
      </c>
      <c r="F24" t="str">
        <f>"2019-01-14 09:43:48"</f>
        <v>2019-01-14 09:43:48</v>
      </c>
    </row>
    <row r="25" spans="1:6" x14ac:dyDescent="0.3">
      <c r="A25" t="s">
        <v>46</v>
      </c>
      <c r="B25" t="str">
        <f>"13290117021"</f>
        <v>13290117021</v>
      </c>
      <c r="C25" t="str">
        <f>"370302197704292537"</f>
        <v>370302197704292537</v>
      </c>
      <c r="D25" t="s">
        <v>47</v>
      </c>
      <c r="E25" t="s">
        <v>47</v>
      </c>
      <c r="F25" t="str">
        <f>"2019-01-14 09:42:57"</f>
        <v>2019-01-14 09:42:57</v>
      </c>
    </row>
    <row r="26" spans="1:6" x14ac:dyDescent="0.3">
      <c r="A26" t="s">
        <v>48</v>
      </c>
      <c r="B26" t="str">
        <f>"15867589596"</f>
        <v>15867589596</v>
      </c>
      <c r="C26" t="str">
        <f>"152122199211196015"</f>
        <v>152122199211196015</v>
      </c>
      <c r="D26" t="s">
        <v>49</v>
      </c>
      <c r="E26" t="s">
        <v>50</v>
      </c>
      <c r="F26" t="str">
        <f>"2019-01-14 09:35:57"</f>
        <v>2019-01-14 09:35:57</v>
      </c>
    </row>
    <row r="27" spans="1:6" x14ac:dyDescent="0.3">
      <c r="A27" t="s">
        <v>51</v>
      </c>
      <c r="B27" t="str">
        <f>"15053177767"</f>
        <v>15053177767</v>
      </c>
      <c r="C27" t="str">
        <f>"370102197508163315"</f>
        <v>370102197508163315</v>
      </c>
      <c r="D27" t="s">
        <v>0</v>
      </c>
      <c r="E27" t="s">
        <v>0</v>
      </c>
      <c r="F27" t="str">
        <f>"2019-01-14 09:21:34"</f>
        <v>2019-01-14 09:21:34</v>
      </c>
    </row>
    <row r="28" spans="1:6" x14ac:dyDescent="0.3">
      <c r="A28" t="s">
        <v>0</v>
      </c>
      <c r="B28" t="str">
        <f>"13054973905"</f>
        <v>13054973905</v>
      </c>
      <c r="C28" t="s">
        <v>0</v>
      </c>
      <c r="D28" t="s">
        <v>0</v>
      </c>
      <c r="E28" t="s">
        <v>0</v>
      </c>
      <c r="F28" t="str">
        <f>"2019-01-14 09:11:32"</f>
        <v>2019-01-14 09:11:32</v>
      </c>
    </row>
    <row r="29" spans="1:6" x14ac:dyDescent="0.3">
      <c r="A29" t="s">
        <v>52</v>
      </c>
      <c r="B29" t="str">
        <f>"15140194749"</f>
        <v>15140194749</v>
      </c>
      <c r="C29" t="str">
        <f>"21011119950905252X"</f>
        <v>21011119950905252X</v>
      </c>
      <c r="D29" t="s">
        <v>53</v>
      </c>
      <c r="E29" t="s">
        <v>54</v>
      </c>
      <c r="F29" t="str">
        <f>"2019-01-14 09:06:31"</f>
        <v>2019-01-14 09:06:31</v>
      </c>
    </row>
    <row r="30" spans="1:6" x14ac:dyDescent="0.3">
      <c r="A30" t="s">
        <v>55</v>
      </c>
      <c r="B30" t="str">
        <f>"15869320632"</f>
        <v>15869320632</v>
      </c>
      <c r="C30" t="str">
        <f>"34242119740120131X"</f>
        <v>34242119740120131X</v>
      </c>
      <c r="D30" t="s">
        <v>56</v>
      </c>
      <c r="E30" t="s">
        <v>57</v>
      </c>
      <c r="F30" t="str">
        <f>"2019-01-14 08:21:37"</f>
        <v>2019-01-14 08:21:37</v>
      </c>
    </row>
    <row r="31" spans="1:6" x14ac:dyDescent="0.3">
      <c r="A31" t="s">
        <v>58</v>
      </c>
      <c r="B31" t="str">
        <f>"15074762051"</f>
        <v>15074762051</v>
      </c>
      <c r="C31" t="str">
        <f>"430422197906180012"</f>
        <v>430422197906180012</v>
      </c>
      <c r="D31" t="s">
        <v>59</v>
      </c>
      <c r="E31" t="s">
        <v>60</v>
      </c>
      <c r="F31" t="str">
        <f>"2019-01-14 07:08:01"</f>
        <v>2019-01-14 07:08:01</v>
      </c>
    </row>
    <row r="32" spans="1:6" x14ac:dyDescent="0.3">
      <c r="A32" t="s">
        <v>61</v>
      </c>
      <c r="B32" t="str">
        <f>"15151622129"</f>
        <v>15151622129</v>
      </c>
      <c r="C32" t="str">
        <f>"32068119890719503X"</f>
        <v>32068119890719503X</v>
      </c>
      <c r="D32" t="s">
        <v>62</v>
      </c>
      <c r="E32" t="s">
        <v>63</v>
      </c>
      <c r="F32" t="str">
        <f>"2019-01-14 05:12:41"</f>
        <v>2019-01-14 05:12:41</v>
      </c>
    </row>
    <row r="33" spans="1:6" x14ac:dyDescent="0.3">
      <c r="A33" t="s">
        <v>0</v>
      </c>
      <c r="B33" t="str">
        <f>"13546689156"</f>
        <v>13546689156</v>
      </c>
      <c r="C33" t="s">
        <v>0</v>
      </c>
      <c r="D33" t="s">
        <v>0</v>
      </c>
      <c r="E33" t="s">
        <v>0</v>
      </c>
      <c r="F33" t="str">
        <f>"2019-01-14 04:14:42"</f>
        <v>2019-01-14 04:14:42</v>
      </c>
    </row>
    <row r="34" spans="1:6" x14ac:dyDescent="0.3">
      <c r="A34" t="s">
        <v>64</v>
      </c>
      <c r="B34" t="str">
        <f>"13454010773"</f>
        <v>13454010773</v>
      </c>
      <c r="C34" t="str">
        <f>"330622197507252215"</f>
        <v>330622197507252215</v>
      </c>
      <c r="D34" t="s">
        <v>65</v>
      </c>
      <c r="E34" t="s">
        <v>66</v>
      </c>
      <c r="F34" t="str">
        <f>"2019-01-14 02:03:14"</f>
        <v>2019-01-14 02:03:14</v>
      </c>
    </row>
    <row r="35" spans="1:6" x14ac:dyDescent="0.3">
      <c r="A35" t="s">
        <v>0</v>
      </c>
      <c r="B35" t="str">
        <f>"15102837386"</f>
        <v>15102837386</v>
      </c>
      <c r="C35" t="s">
        <v>0</v>
      </c>
      <c r="D35" t="s">
        <v>0</v>
      </c>
      <c r="E35" t="s">
        <v>0</v>
      </c>
      <c r="F35" t="str">
        <f>"2019-01-14 01:33:41"</f>
        <v>2019-01-14 01:33:41</v>
      </c>
    </row>
    <row r="36" spans="1:6" x14ac:dyDescent="0.3">
      <c r="A36" t="s">
        <v>0</v>
      </c>
      <c r="B36" t="str">
        <f>"15250053398"</f>
        <v>15250053398</v>
      </c>
      <c r="C36" t="s">
        <v>0</v>
      </c>
      <c r="D36" t="s">
        <v>0</v>
      </c>
      <c r="E36" t="s">
        <v>0</v>
      </c>
      <c r="F36" t="str">
        <f>"2019-01-14 00:51:45"</f>
        <v>2019-01-14 00:51:45</v>
      </c>
    </row>
    <row r="37" spans="1:6" x14ac:dyDescent="0.3">
      <c r="A37" t="s">
        <v>67</v>
      </c>
      <c r="B37" t="str">
        <f>"18372567306"</f>
        <v>18372567306</v>
      </c>
      <c r="C37" t="str">
        <f>"430381199504291418"</f>
        <v>430381199504291418</v>
      </c>
      <c r="D37" t="s">
        <v>68</v>
      </c>
      <c r="E37" t="s">
        <v>69</v>
      </c>
      <c r="F37" t="str">
        <f>"2019-01-14 00:37:17"</f>
        <v>2019-01-14 00:37:17</v>
      </c>
    </row>
    <row r="38" spans="1:6" x14ac:dyDescent="0.3">
      <c r="A38" t="s">
        <v>0</v>
      </c>
      <c r="B38" t="str">
        <f>"15963052709"</f>
        <v>15963052709</v>
      </c>
      <c r="C38" t="s">
        <v>0</v>
      </c>
      <c r="D38" t="s">
        <v>0</v>
      </c>
      <c r="E38" t="s">
        <v>0</v>
      </c>
      <c r="F38" t="str">
        <f>"2019-01-13 23:37:29"</f>
        <v>2019-01-13 23:37:29</v>
      </c>
    </row>
    <row r="39" spans="1:6" x14ac:dyDescent="0.3">
      <c r="A39" t="s">
        <v>70</v>
      </c>
      <c r="B39" t="str">
        <f>"15967673479"</f>
        <v>15967673479</v>
      </c>
      <c r="C39" t="str">
        <f>"331081199505176527"</f>
        <v>331081199505176527</v>
      </c>
      <c r="D39" t="s">
        <v>71</v>
      </c>
      <c r="E39" t="s">
        <v>72</v>
      </c>
      <c r="F39" t="str">
        <f>"2019-01-13 23:30:03"</f>
        <v>2019-01-13 23:30:03</v>
      </c>
    </row>
    <row r="40" spans="1:6" x14ac:dyDescent="0.3">
      <c r="A40" t="s">
        <v>73</v>
      </c>
      <c r="B40" t="str">
        <f>"13263386000"</f>
        <v>13263386000</v>
      </c>
      <c r="C40" t="str">
        <f>"210213198607164430"</f>
        <v>210213198607164430</v>
      </c>
      <c r="D40" t="s">
        <v>0</v>
      </c>
      <c r="E40" t="s">
        <v>0</v>
      </c>
      <c r="F40" t="str">
        <f>"2019-01-13 23:08:06"</f>
        <v>2019-01-13 23:08:06</v>
      </c>
    </row>
    <row r="41" spans="1:6" x14ac:dyDescent="0.3">
      <c r="A41" t="s">
        <v>74</v>
      </c>
      <c r="B41" t="str">
        <f>"18823281189"</f>
        <v>18823281189</v>
      </c>
      <c r="C41" t="str">
        <f>"450721199512152222"</f>
        <v>450721199512152222</v>
      </c>
      <c r="D41" t="s">
        <v>75</v>
      </c>
      <c r="E41" t="s">
        <v>76</v>
      </c>
      <c r="F41" t="str">
        <f>"2019-01-13 22:03:07"</f>
        <v>2019-01-13 22:03:07</v>
      </c>
    </row>
    <row r="42" spans="1:6" x14ac:dyDescent="0.3">
      <c r="A42" t="s">
        <v>77</v>
      </c>
      <c r="B42" t="str">
        <f>"18270529494"</f>
        <v>18270529494</v>
      </c>
      <c r="C42" t="str">
        <f>"362202199003222038"</f>
        <v>362202199003222038</v>
      </c>
      <c r="D42" t="s">
        <v>78</v>
      </c>
      <c r="E42" t="s">
        <v>79</v>
      </c>
      <c r="F42" t="str">
        <f>"2019-01-13 21:33:41"</f>
        <v>2019-01-13 21:33:41</v>
      </c>
    </row>
    <row r="43" spans="1:6" x14ac:dyDescent="0.3">
      <c r="A43" t="s">
        <v>80</v>
      </c>
      <c r="B43" t="str">
        <f>"18287587286"</f>
        <v>18287587286</v>
      </c>
      <c r="C43" t="str">
        <f>"533001198709105125"</f>
        <v>533001198709105125</v>
      </c>
      <c r="D43" t="s">
        <v>81</v>
      </c>
      <c r="E43" t="s">
        <v>81</v>
      </c>
      <c r="F43" t="str">
        <f>"2019-01-13 21:22:07"</f>
        <v>2019-01-13 21:22:07</v>
      </c>
    </row>
    <row r="44" spans="1:6" x14ac:dyDescent="0.3">
      <c r="A44" t="s">
        <v>82</v>
      </c>
      <c r="B44" t="str">
        <f>"13989359305"</f>
        <v>13989359305</v>
      </c>
      <c r="C44" t="str">
        <f>"430623198003186132"</f>
        <v>430623198003186132</v>
      </c>
      <c r="D44" t="s">
        <v>83</v>
      </c>
      <c r="E44" t="s">
        <v>83</v>
      </c>
      <c r="F44" t="str">
        <f>"2019-01-13 21:19:22"</f>
        <v>2019-01-13 21:19:22</v>
      </c>
    </row>
    <row r="45" spans="1:6" x14ac:dyDescent="0.3">
      <c r="A45" t="s">
        <v>84</v>
      </c>
      <c r="B45" t="str">
        <f>"13691997484"</f>
        <v>13691997484</v>
      </c>
      <c r="C45" t="str">
        <f>"445281199207284351"</f>
        <v>445281199207284351</v>
      </c>
      <c r="D45" t="s">
        <v>85</v>
      </c>
      <c r="E45" t="s">
        <v>86</v>
      </c>
      <c r="F45" t="str">
        <f>"2019-01-13 21:14:49"</f>
        <v>2019-01-13 21:14:49</v>
      </c>
    </row>
    <row r="46" spans="1:6" x14ac:dyDescent="0.3">
      <c r="A46" t="s">
        <v>87</v>
      </c>
      <c r="B46" t="str">
        <f>"15899958150"</f>
        <v>15899958150</v>
      </c>
      <c r="C46" t="str">
        <f>"441421199209023412"</f>
        <v>441421199209023412</v>
      </c>
      <c r="D46" t="s">
        <v>88</v>
      </c>
      <c r="E46" t="s">
        <v>89</v>
      </c>
      <c r="F46" t="str">
        <f>"2019-01-13 21:13:08"</f>
        <v>2019-01-13 21:13:08</v>
      </c>
    </row>
    <row r="47" spans="1:6" x14ac:dyDescent="0.3">
      <c r="A47" t="s">
        <v>90</v>
      </c>
      <c r="B47" t="str">
        <f>"15182230653"</f>
        <v>15182230653</v>
      </c>
      <c r="C47" t="str">
        <f>"522223198506140445"</f>
        <v>522223198506140445</v>
      </c>
      <c r="D47" t="s">
        <v>91</v>
      </c>
      <c r="E47" t="s">
        <v>92</v>
      </c>
      <c r="F47" t="str">
        <f>"2019-01-13 21:10:05"</f>
        <v>2019-01-13 21:10:05</v>
      </c>
    </row>
    <row r="48" spans="1:6" x14ac:dyDescent="0.3">
      <c r="A48" t="s">
        <v>93</v>
      </c>
      <c r="B48" t="str">
        <f>"13847286629"</f>
        <v>13847286629</v>
      </c>
      <c r="C48" t="str">
        <f>"612326198408055411"</f>
        <v>612326198408055411</v>
      </c>
      <c r="D48" t="s">
        <v>94</v>
      </c>
      <c r="E48" t="s">
        <v>95</v>
      </c>
      <c r="F48" t="str">
        <f>"2019-01-13 21:04:06"</f>
        <v>2019-01-13 21:04:06</v>
      </c>
    </row>
    <row r="49" spans="1:6" x14ac:dyDescent="0.3">
      <c r="A49" t="s">
        <v>96</v>
      </c>
      <c r="B49" t="str">
        <f>"18385289899"</f>
        <v>18385289899</v>
      </c>
      <c r="C49" t="str">
        <f>"520382199606259812"</f>
        <v>520382199606259812</v>
      </c>
      <c r="D49" t="s">
        <v>97</v>
      </c>
      <c r="E49" t="s">
        <v>98</v>
      </c>
      <c r="F49" t="str">
        <f>"2019-01-13 20:46:03"</f>
        <v>2019-01-13 20:46:03</v>
      </c>
    </row>
    <row r="50" spans="1:6" x14ac:dyDescent="0.3">
      <c r="A50" t="s">
        <v>99</v>
      </c>
      <c r="B50" t="str">
        <f>"13825157556"</f>
        <v>13825157556</v>
      </c>
      <c r="C50" t="str">
        <f>"44152219890219062X"</f>
        <v>44152219890219062X</v>
      </c>
      <c r="D50" t="s">
        <v>0</v>
      </c>
      <c r="E50" t="s">
        <v>0</v>
      </c>
      <c r="F50" t="str">
        <f>"2019-01-13 20:38:59"</f>
        <v>2019-01-13 20:38:59</v>
      </c>
    </row>
    <row r="51" spans="1:6" x14ac:dyDescent="0.3">
      <c r="A51" t="s">
        <v>0</v>
      </c>
      <c r="B51" t="str">
        <f>"13913004449"</f>
        <v>13913004449</v>
      </c>
      <c r="C51" t="s">
        <v>0</v>
      </c>
      <c r="D51" t="s">
        <v>0</v>
      </c>
      <c r="E51" t="s">
        <v>0</v>
      </c>
      <c r="F51" t="str">
        <f>"2019-01-13 20:31:41"</f>
        <v>2019-01-13 20:31:41</v>
      </c>
    </row>
    <row r="52" spans="1:6" x14ac:dyDescent="0.3">
      <c r="A52" t="s">
        <v>100</v>
      </c>
      <c r="B52" t="str">
        <f>"13927235744"</f>
        <v>13927235744</v>
      </c>
      <c r="C52" t="str">
        <f>"430381199706196013"</f>
        <v>430381199706196013</v>
      </c>
      <c r="D52" t="s">
        <v>0</v>
      </c>
      <c r="E52" t="s">
        <v>0</v>
      </c>
      <c r="F52" t="str">
        <f>"2019-01-13 20:28:18"</f>
        <v>2019-01-13 20:28:18</v>
      </c>
    </row>
    <row r="53" spans="1:6" x14ac:dyDescent="0.3">
      <c r="A53" t="s">
        <v>101</v>
      </c>
      <c r="B53" t="str">
        <f>"15917663832"</f>
        <v>15917663832</v>
      </c>
      <c r="C53" t="str">
        <f>"430223198805250317"</f>
        <v>430223198805250317</v>
      </c>
      <c r="D53" t="s">
        <v>0</v>
      </c>
      <c r="E53" t="s">
        <v>0</v>
      </c>
      <c r="F53" t="str">
        <f>"2019-01-13 20:16:45"</f>
        <v>2019-01-13 20:16:45</v>
      </c>
    </row>
    <row r="54" spans="1:6" x14ac:dyDescent="0.3">
      <c r="A54" t="s">
        <v>102</v>
      </c>
      <c r="B54" t="str">
        <f>"18827633347"</f>
        <v>18827633347</v>
      </c>
      <c r="C54" t="str">
        <f>"422828199509285725"</f>
        <v>422828199509285725</v>
      </c>
      <c r="D54" t="s">
        <v>103</v>
      </c>
      <c r="E54" t="s">
        <v>104</v>
      </c>
      <c r="F54" t="str">
        <f>"2019-01-13 20:03:27"</f>
        <v>2019-01-13 20:03:27</v>
      </c>
    </row>
    <row r="55" spans="1:6" x14ac:dyDescent="0.3">
      <c r="A55" t="s">
        <v>105</v>
      </c>
      <c r="B55" t="str">
        <f>"15990065887"</f>
        <v>15990065887</v>
      </c>
      <c r="C55" t="str">
        <f>"340824197607104012"</f>
        <v>340824197607104012</v>
      </c>
      <c r="D55" t="s">
        <v>106</v>
      </c>
      <c r="E55" t="s">
        <v>107</v>
      </c>
      <c r="F55" t="str">
        <f>"2019-01-13 19:58:38"</f>
        <v>2019-01-13 19:58:38</v>
      </c>
    </row>
    <row r="56" spans="1:6" x14ac:dyDescent="0.3">
      <c r="A56" t="s">
        <v>108</v>
      </c>
      <c r="B56" t="str">
        <f>"15109810954"</f>
        <v>15109810954</v>
      </c>
      <c r="C56" t="str">
        <f>"460200199210100032"</f>
        <v>460200199210100032</v>
      </c>
      <c r="D56" t="s">
        <v>0</v>
      </c>
      <c r="E56" t="s">
        <v>0</v>
      </c>
      <c r="F56" t="str">
        <f>"2019-01-13 19:57:14"</f>
        <v>2019-01-13 19:57:14</v>
      </c>
    </row>
    <row r="57" spans="1:6" x14ac:dyDescent="0.3">
      <c r="A57" t="s">
        <v>109</v>
      </c>
      <c r="B57" t="str">
        <f>"13995970790"</f>
        <v>13995970790</v>
      </c>
      <c r="C57" t="str">
        <f>"420205196304156126"</f>
        <v>420205196304156126</v>
      </c>
      <c r="D57" t="s">
        <v>110</v>
      </c>
      <c r="E57" t="s">
        <v>111</v>
      </c>
      <c r="F57" t="str">
        <f>"2019-01-13 19:53:30"</f>
        <v>2019-01-13 19:53:30</v>
      </c>
    </row>
    <row r="58" spans="1:6" x14ac:dyDescent="0.3">
      <c r="A58" t="s">
        <v>112</v>
      </c>
      <c r="B58" t="str">
        <f>"15834244912"</f>
        <v>15834244912</v>
      </c>
      <c r="C58" t="str">
        <f>"142301199205100301"</f>
        <v>142301199205100301</v>
      </c>
      <c r="D58" t="s">
        <v>113</v>
      </c>
      <c r="E58" t="s">
        <v>114</v>
      </c>
      <c r="F58" t="str">
        <f>"2019-01-13 19:42:40"</f>
        <v>2019-01-13 19:42:40</v>
      </c>
    </row>
    <row r="59" spans="1:6" x14ac:dyDescent="0.3">
      <c r="A59" t="s">
        <v>115</v>
      </c>
      <c r="B59" t="str">
        <f>"18717170374"</f>
        <v>18717170374</v>
      </c>
      <c r="C59" t="str">
        <f>"420103199608030819"</f>
        <v>420103199608030819</v>
      </c>
      <c r="D59" t="s">
        <v>116</v>
      </c>
      <c r="E59" t="s">
        <v>116</v>
      </c>
      <c r="F59" t="str">
        <f>"2019-01-13 19:41:06"</f>
        <v>2019-01-13 19:41:06</v>
      </c>
    </row>
    <row r="60" spans="1:6" x14ac:dyDescent="0.3">
      <c r="A60" t="s">
        <v>0</v>
      </c>
      <c r="B60" t="str">
        <f>"13580188837"</f>
        <v>13580188837</v>
      </c>
      <c r="C60" t="s">
        <v>0</v>
      </c>
      <c r="D60" t="s">
        <v>0</v>
      </c>
      <c r="E60" t="s">
        <v>0</v>
      </c>
      <c r="F60" t="str">
        <f>"2019-01-13 19:36:59"</f>
        <v>2019-01-13 19:36:59</v>
      </c>
    </row>
    <row r="61" spans="1:6" x14ac:dyDescent="0.3">
      <c r="A61" t="s">
        <v>117</v>
      </c>
      <c r="B61" t="str">
        <f>"15253570187"</f>
        <v>15253570187</v>
      </c>
      <c r="C61" t="str">
        <f>"370685199303313022"</f>
        <v>370685199303313022</v>
      </c>
      <c r="D61" t="s">
        <v>118</v>
      </c>
      <c r="E61" t="s">
        <v>119</v>
      </c>
      <c r="F61" t="str">
        <f>"2019-01-13 19:28:46"</f>
        <v>2019-01-13 19:28:46</v>
      </c>
    </row>
    <row r="62" spans="1:6" x14ac:dyDescent="0.3">
      <c r="A62" t="s">
        <v>120</v>
      </c>
      <c r="B62" t="str">
        <f>"15000140692"</f>
        <v>15000140692</v>
      </c>
      <c r="C62" t="str">
        <f>"32130219990306305X"</f>
        <v>32130219990306305X</v>
      </c>
      <c r="D62" t="s">
        <v>121</v>
      </c>
      <c r="E62" t="s">
        <v>122</v>
      </c>
      <c r="F62" t="str">
        <f>"2019-01-13 19:16:42"</f>
        <v>2019-01-13 19:16:42</v>
      </c>
    </row>
    <row r="63" spans="1:6" x14ac:dyDescent="0.3">
      <c r="A63" t="s">
        <v>123</v>
      </c>
      <c r="B63" t="str">
        <f>"13631539505"</f>
        <v>13631539505</v>
      </c>
      <c r="C63" t="str">
        <f>"610429198504164776"</f>
        <v>610429198504164776</v>
      </c>
      <c r="D63" t="s">
        <v>124</v>
      </c>
      <c r="E63" t="s">
        <v>125</v>
      </c>
      <c r="F63" t="str">
        <f>"2019-01-13 18:48:43"</f>
        <v>2019-01-13 18:48:43</v>
      </c>
    </row>
    <row r="64" spans="1:6" x14ac:dyDescent="0.3">
      <c r="A64" t="s">
        <v>126</v>
      </c>
      <c r="B64" t="str">
        <f>"18853683120"</f>
        <v>18853683120</v>
      </c>
      <c r="C64" t="str">
        <f>"370785199605183089"</f>
        <v>370785199605183089</v>
      </c>
      <c r="D64" t="s">
        <v>127</v>
      </c>
      <c r="E64" t="s">
        <v>128</v>
      </c>
      <c r="F64" t="str">
        <f>"2019-01-13 18:22:13"</f>
        <v>2019-01-13 18:22:13</v>
      </c>
    </row>
    <row r="65" spans="1:6" x14ac:dyDescent="0.3">
      <c r="A65" t="s">
        <v>129</v>
      </c>
      <c r="B65" t="str">
        <f>"15285665221"</f>
        <v>15285665221</v>
      </c>
      <c r="C65" t="str">
        <f>"522401198708106811"</f>
        <v>522401198708106811</v>
      </c>
      <c r="D65" t="s">
        <v>0</v>
      </c>
      <c r="E65" t="s">
        <v>0</v>
      </c>
      <c r="F65" t="str">
        <f>"2019-01-13 18:11:05"</f>
        <v>2019-01-13 18:11:05</v>
      </c>
    </row>
    <row r="66" spans="1:6" x14ac:dyDescent="0.3">
      <c r="A66" t="s">
        <v>0</v>
      </c>
      <c r="B66" t="str">
        <f>"18680363637"</f>
        <v>18680363637</v>
      </c>
      <c r="C66" t="s">
        <v>0</v>
      </c>
      <c r="D66" t="s">
        <v>0</v>
      </c>
      <c r="E66" t="s">
        <v>0</v>
      </c>
      <c r="F66" t="str">
        <f>"2019-01-13 18:08:42"</f>
        <v>2019-01-13 18:08:42</v>
      </c>
    </row>
    <row r="67" spans="1:6" x14ac:dyDescent="0.3">
      <c r="A67" t="s">
        <v>0</v>
      </c>
      <c r="B67" t="str">
        <f>"14704649144"</f>
        <v>14704649144</v>
      </c>
      <c r="C67" t="s">
        <v>0</v>
      </c>
      <c r="D67" t="s">
        <v>0</v>
      </c>
      <c r="E67" t="s">
        <v>0</v>
      </c>
      <c r="F67" t="str">
        <f>"2019-01-13 18:08:00"</f>
        <v>2019-01-13 18:08:00</v>
      </c>
    </row>
    <row r="68" spans="1:6" x14ac:dyDescent="0.3">
      <c r="A68" t="s">
        <v>0</v>
      </c>
      <c r="B68" t="str">
        <f>"18316503027"</f>
        <v>18316503027</v>
      </c>
      <c r="C68" t="s">
        <v>0</v>
      </c>
      <c r="D68" t="s">
        <v>0</v>
      </c>
      <c r="E68" t="s">
        <v>0</v>
      </c>
      <c r="F68" t="str">
        <f>"2019-01-13 18:06:03"</f>
        <v>2019-01-13 18:06:03</v>
      </c>
    </row>
    <row r="69" spans="1:6" x14ac:dyDescent="0.3">
      <c r="A69" t="s">
        <v>0</v>
      </c>
      <c r="B69" t="str">
        <f>"18737390824"</f>
        <v>18737390824</v>
      </c>
      <c r="C69" t="s">
        <v>0</v>
      </c>
      <c r="D69" t="s">
        <v>0</v>
      </c>
      <c r="E69" t="s">
        <v>0</v>
      </c>
      <c r="F69" t="str">
        <f>"2019-01-13 18:04:59"</f>
        <v>2019-01-13 18:04:59</v>
      </c>
    </row>
    <row r="70" spans="1:6" x14ac:dyDescent="0.3">
      <c r="A70" t="s">
        <v>0</v>
      </c>
      <c r="B70" t="str">
        <f>"18691400189"</f>
        <v>18691400189</v>
      </c>
      <c r="C70" t="s">
        <v>0</v>
      </c>
      <c r="D70" t="s">
        <v>0</v>
      </c>
      <c r="E70" t="s">
        <v>0</v>
      </c>
      <c r="F70" t="str">
        <f>"2019-01-13 18:04:17"</f>
        <v>2019-01-13 18:04:17</v>
      </c>
    </row>
    <row r="71" spans="1:6" x14ac:dyDescent="0.3">
      <c r="A71" t="s">
        <v>130</v>
      </c>
      <c r="B71" t="str">
        <f>"13296808000"</f>
        <v>13296808000</v>
      </c>
      <c r="C71" t="str">
        <f>"210281197707164317"</f>
        <v>210281197707164317</v>
      </c>
      <c r="D71" t="s">
        <v>0</v>
      </c>
      <c r="E71" t="s">
        <v>0</v>
      </c>
      <c r="F71" t="str">
        <f>"2019-01-13 17:54:54"</f>
        <v>2019-01-13 17:54:54</v>
      </c>
    </row>
    <row r="72" spans="1:6" x14ac:dyDescent="0.3">
      <c r="A72" t="s">
        <v>131</v>
      </c>
      <c r="B72" t="str">
        <f>"15991980305"</f>
        <v>15991980305</v>
      </c>
      <c r="C72" t="str">
        <f>"360124199208240935"</f>
        <v>360124199208240935</v>
      </c>
      <c r="D72" t="s">
        <v>132</v>
      </c>
      <c r="E72" t="s">
        <v>133</v>
      </c>
      <c r="F72" t="str">
        <f>"2019-01-13 17:54:41"</f>
        <v>2019-01-13 17:54:41</v>
      </c>
    </row>
    <row r="73" spans="1:6" x14ac:dyDescent="0.3">
      <c r="A73" t="s">
        <v>134</v>
      </c>
      <c r="B73" t="str">
        <f>"18217839759"</f>
        <v>18217839759</v>
      </c>
      <c r="C73" t="str">
        <f>"46003319981020451X"</f>
        <v>46003319981020451X</v>
      </c>
      <c r="D73" t="s">
        <v>135</v>
      </c>
      <c r="E73" t="s">
        <v>136</v>
      </c>
      <c r="F73" t="str">
        <f>"2019-01-13 17:52:07"</f>
        <v>2019-01-13 17:52:07</v>
      </c>
    </row>
    <row r="74" spans="1:6" x14ac:dyDescent="0.3">
      <c r="A74" t="s">
        <v>137</v>
      </c>
      <c r="B74" t="str">
        <f>"15844961115"</f>
        <v>15844961115</v>
      </c>
      <c r="C74" t="str">
        <f>"220681199004012715"</f>
        <v>220681199004012715</v>
      </c>
      <c r="D74" t="s">
        <v>138</v>
      </c>
      <c r="E74" t="s">
        <v>139</v>
      </c>
      <c r="F74" t="str">
        <f>"2019-01-13 17:50:21"</f>
        <v>2019-01-13 17:50:21</v>
      </c>
    </row>
    <row r="75" spans="1:6" x14ac:dyDescent="0.3">
      <c r="A75" t="s">
        <v>140</v>
      </c>
      <c r="B75" t="str">
        <f>"15207968370"</f>
        <v>15207968370</v>
      </c>
      <c r="C75" t="str">
        <f>"362430197704188116"</f>
        <v>362430197704188116</v>
      </c>
      <c r="D75" t="s">
        <v>141</v>
      </c>
      <c r="E75" t="s">
        <v>142</v>
      </c>
      <c r="F75" t="str">
        <f>"2019-01-13 17:48:30"</f>
        <v>2019-01-13 17:48:30</v>
      </c>
    </row>
    <row r="76" spans="1:6" x14ac:dyDescent="0.3">
      <c r="A76" t="s">
        <v>143</v>
      </c>
      <c r="B76" t="str">
        <f>"15816107310"</f>
        <v>15816107310</v>
      </c>
      <c r="C76" t="str">
        <f>"440882199310215076"</f>
        <v>440882199310215076</v>
      </c>
      <c r="D76" t="s">
        <v>144</v>
      </c>
      <c r="E76" t="s">
        <v>145</v>
      </c>
      <c r="F76" t="str">
        <f>"2019-01-13 17:48:27"</f>
        <v>2019-01-13 17:48:27</v>
      </c>
    </row>
    <row r="77" spans="1:6" x14ac:dyDescent="0.3">
      <c r="A77" t="s">
        <v>146</v>
      </c>
      <c r="B77" t="str">
        <f>"18267741819"</f>
        <v>18267741819</v>
      </c>
      <c r="C77" t="str">
        <f>"330304198706255713"</f>
        <v>330304198706255713</v>
      </c>
      <c r="D77" t="s">
        <v>147</v>
      </c>
      <c r="E77" t="s">
        <v>148</v>
      </c>
      <c r="F77" t="str">
        <f>"2019-01-13 17:46:48"</f>
        <v>2019-01-13 17:46:48</v>
      </c>
    </row>
    <row r="78" spans="1:6" x14ac:dyDescent="0.3">
      <c r="A78" t="s">
        <v>149</v>
      </c>
      <c r="B78" t="str">
        <f>"18877855678"</f>
        <v>18877855678</v>
      </c>
      <c r="C78" t="str">
        <f>"452726198204050012"</f>
        <v>452726198204050012</v>
      </c>
      <c r="D78" t="s">
        <v>0</v>
      </c>
      <c r="E78" t="s">
        <v>0</v>
      </c>
      <c r="F78" t="str">
        <f>"2019-01-13 17:40:47"</f>
        <v>2019-01-13 17:40:47</v>
      </c>
    </row>
    <row r="79" spans="1:6" x14ac:dyDescent="0.3">
      <c r="A79" t="s">
        <v>150</v>
      </c>
      <c r="B79" t="str">
        <f>"15559468929"</f>
        <v>15559468929</v>
      </c>
      <c r="C79" t="str">
        <f>"622426198908102410"</f>
        <v>622426198908102410</v>
      </c>
      <c r="D79" t="s">
        <v>151</v>
      </c>
      <c r="E79" t="s">
        <v>152</v>
      </c>
      <c r="F79" t="str">
        <f>"2019-01-13 17:40:08"</f>
        <v>2019-01-13 17:40:08</v>
      </c>
    </row>
    <row r="80" spans="1:6" x14ac:dyDescent="0.3">
      <c r="A80" t="s">
        <v>153</v>
      </c>
      <c r="B80" t="str">
        <f>"17610388733"</f>
        <v>17610388733</v>
      </c>
      <c r="C80" t="str">
        <f>"230281198606132111"</f>
        <v>230281198606132111</v>
      </c>
      <c r="D80" t="s">
        <v>0</v>
      </c>
      <c r="E80" t="s">
        <v>0</v>
      </c>
      <c r="F80" t="str">
        <f>"2019-01-13 17:39:02"</f>
        <v>2019-01-13 17:39:02</v>
      </c>
    </row>
    <row r="81" spans="1:6" x14ac:dyDescent="0.3">
      <c r="A81" t="s">
        <v>154</v>
      </c>
      <c r="B81" t="str">
        <f>"13955368054"</f>
        <v>13955368054</v>
      </c>
      <c r="C81" t="str">
        <f>"340221197905240010"</f>
        <v>340221197905240010</v>
      </c>
      <c r="D81" t="s">
        <v>155</v>
      </c>
      <c r="E81" t="s">
        <v>156</v>
      </c>
      <c r="F81" t="str">
        <f>"2019-01-13 17:38:37"</f>
        <v>2019-01-13 17:38:37</v>
      </c>
    </row>
    <row r="82" spans="1:6" x14ac:dyDescent="0.3">
      <c r="A82" t="s">
        <v>157</v>
      </c>
      <c r="B82" t="str">
        <f>"13767331291"</f>
        <v>13767331291</v>
      </c>
      <c r="C82" t="str">
        <f>"362326198104202716"</f>
        <v>362326198104202716</v>
      </c>
      <c r="D82" t="s">
        <v>158</v>
      </c>
      <c r="E82" t="s">
        <v>159</v>
      </c>
      <c r="F82" t="str">
        <f>"2019-01-13 17:38:12"</f>
        <v>2019-01-13 17:38:12</v>
      </c>
    </row>
    <row r="83" spans="1:6" x14ac:dyDescent="0.3">
      <c r="A83" t="s">
        <v>160</v>
      </c>
      <c r="B83" t="str">
        <f>"15509719897"</f>
        <v>15509719897</v>
      </c>
      <c r="C83" t="str">
        <f>"630102198903023310"</f>
        <v>630102198903023310</v>
      </c>
      <c r="D83" t="s">
        <v>161</v>
      </c>
      <c r="E83" t="s">
        <v>162</v>
      </c>
      <c r="F83" t="str">
        <f>"2019-01-13 17:37:28"</f>
        <v>2019-01-13 17:37:28</v>
      </c>
    </row>
    <row r="84" spans="1:6" x14ac:dyDescent="0.3">
      <c r="A84" t="s">
        <v>0</v>
      </c>
      <c r="B84" t="str">
        <f>"13622438610"</f>
        <v>13622438610</v>
      </c>
      <c r="C84" t="s">
        <v>0</v>
      </c>
      <c r="D84" t="s">
        <v>0</v>
      </c>
      <c r="E84" t="s">
        <v>0</v>
      </c>
      <c r="F84" t="str">
        <f>"2019-01-13 17:37:00"</f>
        <v>2019-01-13 17:37:00</v>
      </c>
    </row>
    <row r="85" spans="1:6" x14ac:dyDescent="0.3">
      <c r="A85" t="s">
        <v>163</v>
      </c>
      <c r="B85" t="str">
        <f>"18267011938"</f>
        <v>18267011938</v>
      </c>
      <c r="C85" t="str">
        <f>"330724198601063536"</f>
        <v>330724198601063536</v>
      </c>
      <c r="D85" t="s">
        <v>164</v>
      </c>
      <c r="E85" t="s">
        <v>165</v>
      </c>
      <c r="F85" t="str">
        <f>"2019-01-13 17:36:51"</f>
        <v>2019-01-13 17:36:51</v>
      </c>
    </row>
    <row r="86" spans="1:6" x14ac:dyDescent="0.3">
      <c r="A86" t="s">
        <v>166</v>
      </c>
      <c r="B86" t="str">
        <f>"13780083890"</f>
        <v>13780083890</v>
      </c>
      <c r="C86" t="str">
        <f>"340406199108162255"</f>
        <v>340406199108162255</v>
      </c>
      <c r="D86" t="s">
        <v>167</v>
      </c>
      <c r="E86" t="s">
        <v>168</v>
      </c>
      <c r="F86" t="str">
        <f>"2019-01-13 17:34:41"</f>
        <v>2019-01-13 17:34:41</v>
      </c>
    </row>
    <row r="87" spans="1:6" x14ac:dyDescent="0.3">
      <c r="A87" t="s">
        <v>169</v>
      </c>
      <c r="B87" t="str">
        <f>"13838297711"</f>
        <v>13838297711</v>
      </c>
      <c r="C87" t="str">
        <f>"412728199012030017"</f>
        <v>412728199012030017</v>
      </c>
      <c r="D87" t="s">
        <v>170</v>
      </c>
      <c r="E87" t="s">
        <v>171</v>
      </c>
      <c r="F87" t="str">
        <f>"2019-01-13 17:34:24"</f>
        <v>2019-01-13 17:34:24</v>
      </c>
    </row>
    <row r="88" spans="1:6" x14ac:dyDescent="0.3">
      <c r="A88" t="s">
        <v>0</v>
      </c>
      <c r="B88" t="str">
        <f>"15889734492"</f>
        <v>15889734492</v>
      </c>
      <c r="C88" t="s">
        <v>0</v>
      </c>
      <c r="D88" t="s">
        <v>0</v>
      </c>
      <c r="E88" t="s">
        <v>0</v>
      </c>
      <c r="F88" t="str">
        <f>"2019-01-13 17:32:25"</f>
        <v>2019-01-13 17:32:25</v>
      </c>
    </row>
    <row r="89" spans="1:6" x14ac:dyDescent="0.3">
      <c r="A89" t="s">
        <v>172</v>
      </c>
      <c r="B89" t="str">
        <f>"18820319895"</f>
        <v>18820319895</v>
      </c>
      <c r="C89" t="str">
        <f>"422325199004101058"</f>
        <v>422325199004101058</v>
      </c>
      <c r="D89" t="s">
        <v>0</v>
      </c>
      <c r="E89" t="s">
        <v>0</v>
      </c>
      <c r="F89" t="str">
        <f>"2019-01-13 17:31:50"</f>
        <v>2019-01-13 17:31:50</v>
      </c>
    </row>
    <row r="90" spans="1:6" x14ac:dyDescent="0.3">
      <c r="A90" t="s">
        <v>0</v>
      </c>
      <c r="B90" t="str">
        <f>"13455958565"</f>
        <v>13455958565</v>
      </c>
      <c r="C90" t="s">
        <v>0</v>
      </c>
      <c r="D90" t="s">
        <v>0</v>
      </c>
      <c r="E90" t="s">
        <v>0</v>
      </c>
      <c r="F90" t="str">
        <f>"2019-01-13 17:31:41"</f>
        <v>2019-01-13 17:31:41</v>
      </c>
    </row>
    <row r="91" spans="1:6" x14ac:dyDescent="0.3">
      <c r="A91" t="s">
        <v>173</v>
      </c>
      <c r="B91" t="str">
        <f>"17315100328"</f>
        <v>17315100328</v>
      </c>
      <c r="C91" t="str">
        <f>"320981200011080017"</f>
        <v>320981200011080017</v>
      </c>
      <c r="D91" t="s">
        <v>0</v>
      </c>
      <c r="E91" t="s">
        <v>0</v>
      </c>
      <c r="F91" t="str">
        <f>"2019-01-13 17:30:36"</f>
        <v>2019-01-13 17:30:36</v>
      </c>
    </row>
    <row r="92" spans="1:6" x14ac:dyDescent="0.3">
      <c r="A92" t="s">
        <v>0</v>
      </c>
      <c r="B92" t="str">
        <f>"18355430314"</f>
        <v>18355430314</v>
      </c>
      <c r="C92" t="s">
        <v>0</v>
      </c>
      <c r="D92" t="s">
        <v>0</v>
      </c>
      <c r="E92" t="s">
        <v>0</v>
      </c>
      <c r="F92" t="str">
        <f>"2019-01-13 17:26:56"</f>
        <v>2019-01-13 17:26:56</v>
      </c>
    </row>
    <row r="93" spans="1:6" x14ac:dyDescent="0.3">
      <c r="A93" t="s">
        <v>174</v>
      </c>
      <c r="B93" t="str">
        <f>"13328340466"</f>
        <v>13328340466</v>
      </c>
      <c r="C93" t="str">
        <f>"350624199203202054"</f>
        <v>350624199203202054</v>
      </c>
      <c r="D93" t="s">
        <v>175</v>
      </c>
      <c r="E93" t="s">
        <v>176</v>
      </c>
      <c r="F93" t="str">
        <f>"2019-01-13 17:25:05"</f>
        <v>2019-01-13 17:25:05</v>
      </c>
    </row>
    <row r="94" spans="1:6" x14ac:dyDescent="0.3">
      <c r="A94" t="s">
        <v>0</v>
      </c>
      <c r="B94" t="str">
        <f>"18327667787"</f>
        <v>18327667787</v>
      </c>
      <c r="C94" t="s">
        <v>0</v>
      </c>
      <c r="D94" t="s">
        <v>0</v>
      </c>
      <c r="E94" t="s">
        <v>0</v>
      </c>
      <c r="F94" t="str">
        <f>"2019-01-13 17:24:29"</f>
        <v>2019-01-13 17:24:29</v>
      </c>
    </row>
    <row r="95" spans="1:6" x14ac:dyDescent="0.3">
      <c r="A95" t="s">
        <v>0</v>
      </c>
      <c r="B95" t="str">
        <f>"15623741976"</f>
        <v>15623741976</v>
      </c>
      <c r="C95" t="s">
        <v>0</v>
      </c>
      <c r="D95" t="s">
        <v>0</v>
      </c>
      <c r="E95" t="s">
        <v>0</v>
      </c>
      <c r="F95" t="str">
        <f>"2019-01-13 17:23:53"</f>
        <v>2019-01-13 17:23:53</v>
      </c>
    </row>
    <row r="96" spans="1:6" x14ac:dyDescent="0.3">
      <c r="A96" t="s">
        <v>177</v>
      </c>
      <c r="B96" t="str">
        <f>"15076951488"</f>
        <v>15076951488</v>
      </c>
      <c r="C96" t="str">
        <f>"132624197808136012"</f>
        <v>132624197808136012</v>
      </c>
      <c r="D96" t="s">
        <v>178</v>
      </c>
      <c r="E96" t="s">
        <v>179</v>
      </c>
      <c r="F96" t="str">
        <f>"2019-01-13 17:23:29"</f>
        <v>2019-01-13 17:23:29</v>
      </c>
    </row>
    <row r="97" spans="1:6" x14ac:dyDescent="0.3">
      <c r="A97" t="s">
        <v>180</v>
      </c>
      <c r="B97" t="str">
        <f>"13321731693"</f>
        <v>13321731693</v>
      </c>
      <c r="C97" t="str">
        <f>"450321197910204517"</f>
        <v>450321197910204517</v>
      </c>
      <c r="D97" t="s">
        <v>181</v>
      </c>
      <c r="E97" t="s">
        <v>182</v>
      </c>
      <c r="F97" t="str">
        <f>"2019-01-13 17:22:23"</f>
        <v>2019-01-13 17:22:23</v>
      </c>
    </row>
    <row r="98" spans="1:6" x14ac:dyDescent="0.3">
      <c r="A98" t="s">
        <v>183</v>
      </c>
      <c r="B98" t="str">
        <f>"13420994587"</f>
        <v>13420994587</v>
      </c>
      <c r="C98" t="str">
        <f>"362430198907180063"</f>
        <v>362430198907180063</v>
      </c>
      <c r="D98" t="s">
        <v>0</v>
      </c>
      <c r="E98" t="s">
        <v>0</v>
      </c>
      <c r="F98" t="str">
        <f>"2019-01-13 17:21:12"</f>
        <v>2019-01-13 17:21:12</v>
      </c>
    </row>
    <row r="99" spans="1:6" x14ac:dyDescent="0.3">
      <c r="A99" t="s">
        <v>0</v>
      </c>
      <c r="B99" t="str">
        <f>"15041185461"</f>
        <v>15041185461</v>
      </c>
      <c r="C99" t="s">
        <v>0</v>
      </c>
      <c r="D99" t="s">
        <v>0</v>
      </c>
      <c r="E99" t="s">
        <v>0</v>
      </c>
      <c r="F99" t="str">
        <f>"2019-01-13 17:21:10"</f>
        <v>2019-01-13 17:21:10</v>
      </c>
    </row>
    <row r="100" spans="1:6" x14ac:dyDescent="0.3">
      <c r="A100" t="s">
        <v>0</v>
      </c>
      <c r="B100" t="str">
        <f>"15694940404"</f>
        <v>15694940404</v>
      </c>
      <c r="C100" t="s">
        <v>0</v>
      </c>
      <c r="D100" t="s">
        <v>0</v>
      </c>
      <c r="E100" t="s">
        <v>0</v>
      </c>
      <c r="F100" t="str">
        <f>"2019-01-13 17:18:43"</f>
        <v>2019-01-13 17:18:43</v>
      </c>
    </row>
    <row r="101" spans="1:6" x14ac:dyDescent="0.3">
      <c r="A101" t="s">
        <v>184</v>
      </c>
      <c r="B101" t="str">
        <f>"15178764531"</f>
        <v>15178764531</v>
      </c>
      <c r="C101" t="str">
        <f>"500222199310176035"</f>
        <v>500222199310176035</v>
      </c>
      <c r="D101" t="s">
        <v>185</v>
      </c>
      <c r="E101" t="s">
        <v>186</v>
      </c>
      <c r="F101" t="str">
        <f>"2019-01-13 17:15:51"</f>
        <v>2019-01-13 17:15:51</v>
      </c>
    </row>
    <row r="102" spans="1:6" x14ac:dyDescent="0.3">
      <c r="A102" t="s">
        <v>187</v>
      </c>
      <c r="B102" t="str">
        <f>"18706832430"</f>
        <v>18706832430</v>
      </c>
      <c r="C102" t="str">
        <f>"61032319930902471X"</f>
        <v>61032319930902471X</v>
      </c>
      <c r="D102" t="s">
        <v>188</v>
      </c>
      <c r="E102" t="s">
        <v>189</v>
      </c>
      <c r="F102" t="str">
        <f>"2019-01-13 17:14:53"</f>
        <v>2019-01-13 17:14:53</v>
      </c>
    </row>
    <row r="103" spans="1:6" x14ac:dyDescent="0.3">
      <c r="A103" t="s">
        <v>0</v>
      </c>
      <c r="B103" t="str">
        <f>"13892753541"</f>
        <v>13892753541</v>
      </c>
      <c r="C103" t="s">
        <v>0</v>
      </c>
      <c r="D103" t="s">
        <v>0</v>
      </c>
      <c r="E103" t="s">
        <v>0</v>
      </c>
      <c r="F103" t="str">
        <f>"2019-01-13 17:12:53"</f>
        <v>2019-01-13 17:12:53</v>
      </c>
    </row>
    <row r="104" spans="1:6" x14ac:dyDescent="0.3">
      <c r="A104" t="s">
        <v>190</v>
      </c>
      <c r="B104" t="str">
        <f>"15766226750"</f>
        <v>15766226750</v>
      </c>
      <c r="C104" t="str">
        <f>"441202198608052312"</f>
        <v>441202198608052312</v>
      </c>
      <c r="D104" t="s">
        <v>191</v>
      </c>
      <c r="E104" t="s">
        <v>192</v>
      </c>
      <c r="F104" t="str">
        <f>"2019-01-13 17:12:41"</f>
        <v>2019-01-13 17:12:41</v>
      </c>
    </row>
    <row r="105" spans="1:6" x14ac:dyDescent="0.3">
      <c r="A105" t="s">
        <v>0</v>
      </c>
      <c r="B105" t="str">
        <f>"15917744362"</f>
        <v>15917744362</v>
      </c>
      <c r="C105" t="s">
        <v>0</v>
      </c>
      <c r="D105" t="s">
        <v>0</v>
      </c>
      <c r="E105" t="s">
        <v>0</v>
      </c>
      <c r="F105" t="str">
        <f>"2019-01-13 17:12:01"</f>
        <v>2019-01-13 17:12:01</v>
      </c>
    </row>
    <row r="106" spans="1:6" x14ac:dyDescent="0.3">
      <c r="A106" t="s">
        <v>193</v>
      </c>
      <c r="B106" t="str">
        <f>"18920012048"</f>
        <v>18920012048</v>
      </c>
      <c r="C106" t="str">
        <f>"350301198908290095"</f>
        <v>350301198908290095</v>
      </c>
      <c r="D106" t="s">
        <v>194</v>
      </c>
      <c r="E106" t="s">
        <v>195</v>
      </c>
      <c r="F106" t="str">
        <f>"2019-01-13 17:11:10"</f>
        <v>2019-01-13 17:11:10</v>
      </c>
    </row>
    <row r="107" spans="1:6" x14ac:dyDescent="0.3">
      <c r="A107" t="s">
        <v>0</v>
      </c>
      <c r="B107" t="str">
        <f>"17839670312"</f>
        <v>17839670312</v>
      </c>
      <c r="C107" t="s">
        <v>0</v>
      </c>
      <c r="D107" t="s">
        <v>0</v>
      </c>
      <c r="E107" t="s">
        <v>0</v>
      </c>
      <c r="F107" t="str">
        <f>"2019-01-13 17:10:10"</f>
        <v>2019-01-13 17:10:10</v>
      </c>
    </row>
    <row r="108" spans="1:6" x14ac:dyDescent="0.3">
      <c r="A108" t="s">
        <v>196</v>
      </c>
      <c r="B108" t="str">
        <f>"17671429647"</f>
        <v>17671429647</v>
      </c>
      <c r="C108" t="str">
        <f>"420104199903110850"</f>
        <v>420104199903110850</v>
      </c>
      <c r="D108" t="s">
        <v>197</v>
      </c>
      <c r="E108" t="s">
        <v>198</v>
      </c>
      <c r="F108" t="str">
        <f>"2019-01-13 17:07:09"</f>
        <v>2019-01-13 17:07:09</v>
      </c>
    </row>
    <row r="109" spans="1:6" x14ac:dyDescent="0.3">
      <c r="A109" t="s">
        <v>199</v>
      </c>
      <c r="B109" t="str">
        <f>"15884809678"</f>
        <v>15884809678</v>
      </c>
      <c r="C109" t="str">
        <f>"511011198208087915"</f>
        <v>511011198208087915</v>
      </c>
      <c r="D109" t="s">
        <v>0</v>
      </c>
      <c r="E109" t="s">
        <v>0</v>
      </c>
      <c r="F109" t="str">
        <f>"2019-01-13 17:06:43"</f>
        <v>2019-01-13 17:06:43</v>
      </c>
    </row>
    <row r="110" spans="1:6" x14ac:dyDescent="0.3">
      <c r="A110" t="s">
        <v>200</v>
      </c>
      <c r="B110" t="str">
        <f>"15834110166"</f>
        <v>15834110166</v>
      </c>
      <c r="C110" t="str">
        <f>"140181198607183538"</f>
        <v>140181198607183538</v>
      </c>
      <c r="D110" t="s">
        <v>201</v>
      </c>
      <c r="E110" t="s">
        <v>202</v>
      </c>
      <c r="F110" t="str">
        <f>"2019-01-13 17:05:36"</f>
        <v>2019-01-13 17:05:36</v>
      </c>
    </row>
    <row r="111" spans="1:6" x14ac:dyDescent="0.3">
      <c r="A111" t="s">
        <v>0</v>
      </c>
      <c r="B111" t="str">
        <f>"13045343052"</f>
        <v>13045343052</v>
      </c>
      <c r="C111" t="s">
        <v>0</v>
      </c>
      <c r="D111" t="s">
        <v>0</v>
      </c>
      <c r="E111" t="s">
        <v>0</v>
      </c>
      <c r="F111" t="str">
        <f>"2019-01-13 17:05:17"</f>
        <v>2019-01-13 17:05:17</v>
      </c>
    </row>
    <row r="112" spans="1:6" x14ac:dyDescent="0.3">
      <c r="A112" t="s">
        <v>0</v>
      </c>
      <c r="B112" t="str">
        <f>"13680049073"</f>
        <v>13680049073</v>
      </c>
      <c r="C112" t="s">
        <v>0</v>
      </c>
      <c r="D112" t="s">
        <v>0</v>
      </c>
      <c r="E112" t="s">
        <v>0</v>
      </c>
      <c r="F112" t="str">
        <f>"2019-01-13 17:00:49"</f>
        <v>2019-01-13 17:00:49</v>
      </c>
    </row>
    <row r="113" spans="1:6" x14ac:dyDescent="0.3">
      <c r="A113" t="s">
        <v>203</v>
      </c>
      <c r="B113" t="str">
        <f>"18624120017"</f>
        <v>18624120017</v>
      </c>
      <c r="C113" t="str">
        <f>"210302198402200326"</f>
        <v>210302198402200326</v>
      </c>
      <c r="D113" t="s">
        <v>0</v>
      </c>
      <c r="E113" t="s">
        <v>0</v>
      </c>
      <c r="F113" t="str">
        <f>"2019-01-13 16:58:49"</f>
        <v>2019-01-13 16:58:49</v>
      </c>
    </row>
    <row r="114" spans="1:6" x14ac:dyDescent="0.3">
      <c r="A114" t="s">
        <v>0</v>
      </c>
      <c r="B114" t="str">
        <f>"15324443318"</f>
        <v>15324443318</v>
      </c>
      <c r="C114" t="s">
        <v>0</v>
      </c>
      <c r="D114" t="s">
        <v>0</v>
      </c>
      <c r="E114" t="s">
        <v>0</v>
      </c>
      <c r="F114" t="str">
        <f>"2019-01-13 16:56:55"</f>
        <v>2019-01-13 16:56:55</v>
      </c>
    </row>
    <row r="115" spans="1:6" x14ac:dyDescent="0.3">
      <c r="A115" t="s">
        <v>204</v>
      </c>
      <c r="B115" t="str">
        <f>"18792928555"</f>
        <v>18792928555</v>
      </c>
      <c r="C115" t="str">
        <f>"140729197807240034"</f>
        <v>140729197807240034</v>
      </c>
      <c r="D115" t="s">
        <v>205</v>
      </c>
      <c r="E115" t="s">
        <v>206</v>
      </c>
      <c r="F115" t="str">
        <f>"2019-01-13 16:55:37"</f>
        <v>2019-01-13 16:55:37</v>
      </c>
    </row>
    <row r="116" spans="1:6" x14ac:dyDescent="0.3">
      <c r="A116" t="s">
        <v>0</v>
      </c>
      <c r="B116" t="str">
        <f>"18214097915"</f>
        <v>18214097915</v>
      </c>
      <c r="C116" t="s">
        <v>0</v>
      </c>
      <c r="D116" t="s">
        <v>0</v>
      </c>
      <c r="E116" t="s">
        <v>0</v>
      </c>
      <c r="F116" t="str">
        <f>"2019-01-13 16:55:28"</f>
        <v>2019-01-13 16:55:28</v>
      </c>
    </row>
    <row r="117" spans="1:6" x14ac:dyDescent="0.3">
      <c r="A117" t="s">
        <v>207</v>
      </c>
      <c r="B117" t="str">
        <f>"18363569876"</f>
        <v>18363569876</v>
      </c>
      <c r="C117" t="str">
        <f>"371581199110010455"</f>
        <v>371581199110010455</v>
      </c>
      <c r="D117" t="s">
        <v>208</v>
      </c>
      <c r="E117" t="s">
        <v>208</v>
      </c>
      <c r="F117" t="str">
        <f>"2019-01-13 16:54:51"</f>
        <v>2019-01-13 16:54:51</v>
      </c>
    </row>
    <row r="118" spans="1:6" x14ac:dyDescent="0.3">
      <c r="A118" t="s">
        <v>209</v>
      </c>
      <c r="B118" t="str">
        <f>"13817598535"</f>
        <v>13817598535</v>
      </c>
      <c r="C118" t="str">
        <f>"310105198110291264"</f>
        <v>310105198110291264</v>
      </c>
      <c r="D118" t="s">
        <v>210</v>
      </c>
      <c r="E118" t="s">
        <v>211</v>
      </c>
      <c r="F118" t="str">
        <f>"2019-01-13 16:53:20"</f>
        <v>2019-01-13 16:53:20</v>
      </c>
    </row>
    <row r="119" spans="1:6" x14ac:dyDescent="0.3">
      <c r="A119" t="s">
        <v>212</v>
      </c>
      <c r="B119" t="str">
        <f>"13759719369"</f>
        <v>13759719369</v>
      </c>
      <c r="C119" t="str">
        <f>"610423198312240043"</f>
        <v>610423198312240043</v>
      </c>
      <c r="D119" t="s">
        <v>0</v>
      </c>
      <c r="E119" t="s">
        <v>0</v>
      </c>
      <c r="F119" t="str">
        <f>"2019-01-13 16:52:40"</f>
        <v>2019-01-13 16:52:40</v>
      </c>
    </row>
    <row r="120" spans="1:6" x14ac:dyDescent="0.3">
      <c r="A120" t="s">
        <v>213</v>
      </c>
      <c r="B120" t="str">
        <f>"13911360012"</f>
        <v>13911360012</v>
      </c>
      <c r="C120" t="str">
        <f>"230705198005200634"</f>
        <v>230705198005200634</v>
      </c>
      <c r="D120" t="s">
        <v>214</v>
      </c>
      <c r="E120" t="s">
        <v>215</v>
      </c>
      <c r="F120" t="str">
        <f>"2019-01-13 16:48:32"</f>
        <v>2019-01-13 16:48:32</v>
      </c>
    </row>
    <row r="121" spans="1:6" x14ac:dyDescent="0.3">
      <c r="A121" t="s">
        <v>216</v>
      </c>
      <c r="B121" t="str">
        <f>"13599534804"</f>
        <v>13599534804</v>
      </c>
      <c r="C121" t="str">
        <f>"350583198109148354"</f>
        <v>350583198109148354</v>
      </c>
      <c r="D121" t="s">
        <v>217</v>
      </c>
      <c r="E121" t="s">
        <v>218</v>
      </c>
      <c r="F121" t="str">
        <f>"2019-01-13 16:47:27"</f>
        <v>2019-01-13 16:47:27</v>
      </c>
    </row>
    <row r="122" spans="1:6" x14ac:dyDescent="0.3">
      <c r="A122" t="s">
        <v>219</v>
      </c>
      <c r="B122" t="str">
        <f>"15918797910"</f>
        <v>15918797910</v>
      </c>
      <c r="C122" t="str">
        <f>"429006198605202416"</f>
        <v>429006198605202416</v>
      </c>
      <c r="D122" t="s">
        <v>0</v>
      </c>
      <c r="E122" t="s">
        <v>0</v>
      </c>
      <c r="F122" t="str">
        <f>"2019-01-13 16:44:40"</f>
        <v>2019-01-13 16:44:40</v>
      </c>
    </row>
    <row r="123" spans="1:6" x14ac:dyDescent="0.3">
      <c r="A123" t="s">
        <v>220</v>
      </c>
      <c r="B123" t="str">
        <f>"15007397467"</f>
        <v>15007397467</v>
      </c>
      <c r="C123" t="str">
        <f>"430502197612300015"</f>
        <v>430502197612300015</v>
      </c>
      <c r="D123" t="s">
        <v>221</v>
      </c>
      <c r="E123" t="s">
        <v>222</v>
      </c>
      <c r="F123" t="str">
        <f>"2019-01-13 16:42:43"</f>
        <v>2019-01-13 16:42:43</v>
      </c>
    </row>
    <row r="124" spans="1:6" x14ac:dyDescent="0.3">
      <c r="A124" t="s">
        <v>0</v>
      </c>
      <c r="B124" t="str">
        <f>"13982551323"</f>
        <v>13982551323</v>
      </c>
      <c r="C124" t="s">
        <v>0</v>
      </c>
      <c r="D124" t="s">
        <v>0</v>
      </c>
      <c r="E124" t="s">
        <v>0</v>
      </c>
      <c r="F124" t="str">
        <f>"2019-01-13 16:42:21"</f>
        <v>2019-01-13 16:42:21</v>
      </c>
    </row>
    <row r="125" spans="1:6" x14ac:dyDescent="0.3">
      <c r="A125" t="s">
        <v>223</v>
      </c>
      <c r="B125" t="str">
        <f>"13069926285"</f>
        <v>13069926285</v>
      </c>
      <c r="C125" t="str">
        <f>"230833196111200373"</f>
        <v>230833196111200373</v>
      </c>
      <c r="D125" t="s">
        <v>224</v>
      </c>
      <c r="E125" t="s">
        <v>225</v>
      </c>
      <c r="F125" t="str">
        <f>"2019-01-13 16:42:10"</f>
        <v>2019-01-13 16:42:10</v>
      </c>
    </row>
    <row r="126" spans="1:6" x14ac:dyDescent="0.3">
      <c r="A126" t="s">
        <v>226</v>
      </c>
      <c r="B126" t="str">
        <f>"15776615471"</f>
        <v>15776615471</v>
      </c>
      <c r="C126" t="str">
        <f>"152127199708052115"</f>
        <v>152127199708052115</v>
      </c>
      <c r="D126" t="s">
        <v>227</v>
      </c>
      <c r="E126" t="s">
        <v>228</v>
      </c>
      <c r="F126" t="str">
        <f>"2019-01-13 16:41:56"</f>
        <v>2019-01-13 16:41:56</v>
      </c>
    </row>
    <row r="127" spans="1:6" x14ac:dyDescent="0.3">
      <c r="A127" t="s">
        <v>229</v>
      </c>
      <c r="B127" t="str">
        <f>"13060366702"</f>
        <v>13060366702</v>
      </c>
      <c r="C127" t="str">
        <f>"610425199105041516"</f>
        <v>610425199105041516</v>
      </c>
      <c r="D127" t="s">
        <v>230</v>
      </c>
      <c r="E127" t="s">
        <v>231</v>
      </c>
      <c r="F127" t="str">
        <f>"2019-01-13 16:38:58"</f>
        <v>2019-01-13 16:38:58</v>
      </c>
    </row>
    <row r="128" spans="1:6" x14ac:dyDescent="0.3">
      <c r="A128" t="s">
        <v>232</v>
      </c>
      <c r="B128" t="str">
        <f>"15014599996"</f>
        <v>15014599996</v>
      </c>
      <c r="C128" t="str">
        <f>"445202199508108532"</f>
        <v>445202199508108532</v>
      </c>
      <c r="D128" t="s">
        <v>233</v>
      </c>
      <c r="E128" t="s">
        <v>234</v>
      </c>
      <c r="F128" t="str">
        <f>"2019-01-13 16:38:26"</f>
        <v>2019-01-13 16:38:26</v>
      </c>
    </row>
    <row r="129" spans="1:6" x14ac:dyDescent="0.3">
      <c r="A129" t="s">
        <v>0</v>
      </c>
      <c r="B129" t="str">
        <f>"13755501655"</f>
        <v>13755501655</v>
      </c>
      <c r="C129" t="s">
        <v>0</v>
      </c>
      <c r="D129" t="s">
        <v>0</v>
      </c>
      <c r="E129" t="s">
        <v>0</v>
      </c>
      <c r="F129" t="str">
        <f>"2019-01-13 16:37:19"</f>
        <v>2019-01-13 16:37:19</v>
      </c>
    </row>
    <row r="130" spans="1:6" x14ac:dyDescent="0.3">
      <c r="A130" t="s">
        <v>235</v>
      </c>
      <c r="B130" t="str">
        <f>"17623255647"</f>
        <v>17623255647</v>
      </c>
      <c r="C130" t="str">
        <f>"50023019980321487X"</f>
        <v>50023019980321487X</v>
      </c>
      <c r="D130" t="s">
        <v>236</v>
      </c>
      <c r="E130" t="s">
        <v>237</v>
      </c>
      <c r="F130" t="str">
        <f>"2019-01-13 16:36:41"</f>
        <v>2019-01-13 16:36:41</v>
      </c>
    </row>
    <row r="131" spans="1:6" x14ac:dyDescent="0.3">
      <c r="A131" t="s">
        <v>0</v>
      </c>
      <c r="B131" t="str">
        <f>"15809280957"</f>
        <v>15809280957</v>
      </c>
      <c r="C131" t="s">
        <v>0</v>
      </c>
      <c r="D131" t="s">
        <v>0</v>
      </c>
      <c r="E131" t="s">
        <v>0</v>
      </c>
      <c r="F131" t="str">
        <f>"2019-01-13 16:35:53"</f>
        <v>2019-01-13 16:35:53</v>
      </c>
    </row>
    <row r="132" spans="1:6" x14ac:dyDescent="0.3">
      <c r="A132" t="s">
        <v>238</v>
      </c>
      <c r="B132" t="str">
        <f>"15947537261"</f>
        <v>15947537261</v>
      </c>
      <c r="C132" t="str">
        <f>"152322198105190038"</f>
        <v>152322198105190038</v>
      </c>
      <c r="D132" t="s">
        <v>0</v>
      </c>
      <c r="E132" t="s">
        <v>0</v>
      </c>
      <c r="F132" t="str">
        <f>"2019-01-13 16:35:09"</f>
        <v>2019-01-13 16:35:09</v>
      </c>
    </row>
    <row r="133" spans="1:6" x14ac:dyDescent="0.3">
      <c r="A133" t="s">
        <v>239</v>
      </c>
      <c r="B133" t="str">
        <f>"15277984320"</f>
        <v>15277984320</v>
      </c>
      <c r="C133" t="str">
        <f>"450804199609273820"</f>
        <v>450804199609273820</v>
      </c>
      <c r="D133" t="s">
        <v>240</v>
      </c>
      <c r="E133" t="s">
        <v>241</v>
      </c>
      <c r="F133" t="str">
        <f>"2019-01-13 16:32:07"</f>
        <v>2019-01-13 16:32:07</v>
      </c>
    </row>
    <row r="134" spans="1:6" x14ac:dyDescent="0.3">
      <c r="A134" t="s">
        <v>242</v>
      </c>
      <c r="B134" t="str">
        <f>"18822676112"</f>
        <v>18822676112</v>
      </c>
      <c r="C134" t="str">
        <f>"371422199204121919"</f>
        <v>371422199204121919</v>
      </c>
      <c r="D134" t="s">
        <v>243</v>
      </c>
      <c r="E134" t="s">
        <v>244</v>
      </c>
      <c r="F134" t="str">
        <f>"2019-01-13 16:31:30"</f>
        <v>2019-01-13 16:31:30</v>
      </c>
    </row>
    <row r="135" spans="1:6" x14ac:dyDescent="0.3">
      <c r="A135" t="s">
        <v>245</v>
      </c>
      <c r="B135" t="str">
        <f>"13941420451"</f>
        <v>13941420451</v>
      </c>
      <c r="C135" t="str">
        <f>"210522198007144391"</f>
        <v>210522198007144391</v>
      </c>
      <c r="D135" t="s">
        <v>246</v>
      </c>
      <c r="E135" t="s">
        <v>247</v>
      </c>
      <c r="F135" t="str">
        <f>"2019-01-13 16:31:27"</f>
        <v>2019-01-13 16:31:27</v>
      </c>
    </row>
    <row r="136" spans="1:6" x14ac:dyDescent="0.3">
      <c r="A136" t="s">
        <v>248</v>
      </c>
      <c r="B136" t="str">
        <f>"15153535733"</f>
        <v>15153535733</v>
      </c>
      <c r="C136" t="str">
        <f>"370686199201227437"</f>
        <v>370686199201227437</v>
      </c>
      <c r="D136" t="s">
        <v>249</v>
      </c>
      <c r="E136" t="s">
        <v>250</v>
      </c>
      <c r="F136" t="str">
        <f>"2019-01-13 16:30:05"</f>
        <v>2019-01-13 16:30:05</v>
      </c>
    </row>
    <row r="137" spans="1:6" x14ac:dyDescent="0.3">
      <c r="A137" t="s">
        <v>251</v>
      </c>
      <c r="B137" t="str">
        <f>"15155408382"</f>
        <v>15155408382</v>
      </c>
      <c r="C137" t="str">
        <f>"340404198706302222"</f>
        <v>340404198706302222</v>
      </c>
      <c r="D137" t="s">
        <v>252</v>
      </c>
      <c r="E137" t="s">
        <v>253</v>
      </c>
      <c r="F137" t="str">
        <f>"2019-01-13 16:29:46"</f>
        <v>2019-01-13 16:29:46</v>
      </c>
    </row>
    <row r="138" spans="1:6" x14ac:dyDescent="0.3">
      <c r="A138" t="s">
        <v>254</v>
      </c>
      <c r="B138" t="str">
        <f>"18919169333"</f>
        <v>18919169333</v>
      </c>
      <c r="C138" t="str">
        <f>"620102198708305812"</f>
        <v>620102198708305812</v>
      </c>
      <c r="D138" t="s">
        <v>255</v>
      </c>
      <c r="E138" t="s">
        <v>256</v>
      </c>
      <c r="F138" t="str">
        <f>"2019-01-13 16:29:17"</f>
        <v>2019-01-13 16:29:17</v>
      </c>
    </row>
    <row r="139" spans="1:6" x14ac:dyDescent="0.3">
      <c r="A139" t="s">
        <v>0</v>
      </c>
      <c r="B139" t="str">
        <f>"15075717738"</f>
        <v>15075717738</v>
      </c>
      <c r="C139" t="s">
        <v>0</v>
      </c>
      <c r="D139" t="s">
        <v>0</v>
      </c>
      <c r="E139" t="s">
        <v>0</v>
      </c>
      <c r="F139" t="str">
        <f>"2019-01-13 16:28:53"</f>
        <v>2019-01-13 16:28:53</v>
      </c>
    </row>
    <row r="140" spans="1:6" x14ac:dyDescent="0.3">
      <c r="A140" t="s">
        <v>0</v>
      </c>
      <c r="B140" t="str">
        <f>"13976855268"</f>
        <v>13976855268</v>
      </c>
      <c r="C140" t="s">
        <v>0</v>
      </c>
      <c r="D140" t="s">
        <v>0</v>
      </c>
      <c r="E140" t="s">
        <v>0</v>
      </c>
      <c r="F140" t="str">
        <f>"2019-01-13 16:26:36"</f>
        <v>2019-01-13 16:26:36</v>
      </c>
    </row>
    <row r="141" spans="1:6" x14ac:dyDescent="0.3">
      <c r="A141" t="s">
        <v>257</v>
      </c>
      <c r="B141" t="str">
        <f>"18130165632"</f>
        <v>18130165632</v>
      </c>
      <c r="C141" t="str">
        <f>"340403197007131232"</f>
        <v>340403197007131232</v>
      </c>
      <c r="D141" t="s">
        <v>258</v>
      </c>
      <c r="E141" t="s">
        <v>259</v>
      </c>
      <c r="F141" t="str">
        <f>"2019-01-13 16:26:19"</f>
        <v>2019-01-13 16:26:19</v>
      </c>
    </row>
    <row r="142" spans="1:6" x14ac:dyDescent="0.3">
      <c r="A142" t="s">
        <v>260</v>
      </c>
      <c r="B142" t="str">
        <f>"18120819398"</f>
        <v>18120819398</v>
      </c>
      <c r="C142" t="str">
        <f>"352225198712186517"</f>
        <v>352225198712186517</v>
      </c>
      <c r="D142" t="s">
        <v>261</v>
      </c>
      <c r="E142" t="s">
        <v>262</v>
      </c>
      <c r="F142" t="str">
        <f>"2019-01-13 16:25:21"</f>
        <v>2019-01-13 16:25:21</v>
      </c>
    </row>
    <row r="143" spans="1:6" x14ac:dyDescent="0.3">
      <c r="A143" t="s">
        <v>263</v>
      </c>
      <c r="B143" t="str">
        <f>"18392319512"</f>
        <v>18392319512</v>
      </c>
      <c r="C143" t="str">
        <f>"610521199212261805"</f>
        <v>610521199212261805</v>
      </c>
      <c r="D143" t="s">
        <v>264</v>
      </c>
      <c r="E143" t="s">
        <v>265</v>
      </c>
      <c r="F143" t="str">
        <f>"2019-01-13 16:25:09"</f>
        <v>2019-01-13 16:25:09</v>
      </c>
    </row>
    <row r="144" spans="1:6" x14ac:dyDescent="0.3">
      <c r="A144" t="s">
        <v>17</v>
      </c>
      <c r="B144" t="str">
        <f>"13952426500"</f>
        <v>13952426500</v>
      </c>
      <c r="C144" t="str">
        <f>"320522198312291019"</f>
        <v>320522198312291019</v>
      </c>
      <c r="D144" t="s">
        <v>266</v>
      </c>
      <c r="E144" t="s">
        <v>267</v>
      </c>
      <c r="F144" t="str">
        <f>"2019-01-13 16:21:02"</f>
        <v>2019-01-13 16:21:02</v>
      </c>
    </row>
    <row r="145" spans="1:6" x14ac:dyDescent="0.3">
      <c r="A145" t="s">
        <v>268</v>
      </c>
      <c r="B145" t="str">
        <f>"13996550617"</f>
        <v>13996550617</v>
      </c>
      <c r="C145" t="str">
        <f>"51222419660715215X"</f>
        <v>51222419660715215X</v>
      </c>
      <c r="D145" t="s">
        <v>269</v>
      </c>
      <c r="E145" t="s">
        <v>270</v>
      </c>
      <c r="F145" t="str">
        <f>"2019-01-13 16:16:57"</f>
        <v>2019-01-13 16:16:57</v>
      </c>
    </row>
    <row r="146" spans="1:6" x14ac:dyDescent="0.3">
      <c r="A146" t="s">
        <v>0</v>
      </c>
      <c r="B146" t="str">
        <f>"13919694224"</f>
        <v>13919694224</v>
      </c>
      <c r="C146" t="s">
        <v>0</v>
      </c>
      <c r="D146" t="s">
        <v>0</v>
      </c>
      <c r="E146" t="s">
        <v>0</v>
      </c>
      <c r="F146" t="str">
        <f>"2019-01-13 16:16:00"</f>
        <v>2019-01-13 16:16:00</v>
      </c>
    </row>
    <row r="147" spans="1:6" x14ac:dyDescent="0.3">
      <c r="A147" t="s">
        <v>271</v>
      </c>
      <c r="B147" t="str">
        <f>"15212077682"</f>
        <v>15212077682</v>
      </c>
      <c r="C147" t="str">
        <f>"340405197408230066"</f>
        <v>340405197408230066</v>
      </c>
      <c r="D147" t="s">
        <v>272</v>
      </c>
      <c r="E147" t="s">
        <v>273</v>
      </c>
      <c r="F147" t="str">
        <f>"2019-01-13 16:13:09"</f>
        <v>2019-01-13 16:13:09</v>
      </c>
    </row>
    <row r="148" spans="1:6" x14ac:dyDescent="0.3">
      <c r="A148" t="s">
        <v>274</v>
      </c>
      <c r="B148" t="str">
        <f>"13793077610"</f>
        <v>13793077610</v>
      </c>
      <c r="C148" t="str">
        <f>"371525199008022352"</f>
        <v>371525199008022352</v>
      </c>
      <c r="D148" t="s">
        <v>275</v>
      </c>
      <c r="E148" t="s">
        <v>276</v>
      </c>
      <c r="F148" t="str">
        <f>"2019-01-13 16:11:54"</f>
        <v>2019-01-13 16:11:54</v>
      </c>
    </row>
    <row r="149" spans="1:6" x14ac:dyDescent="0.3">
      <c r="A149" t="s">
        <v>277</v>
      </c>
      <c r="B149" t="str">
        <f>"13411066263"</f>
        <v>13411066263</v>
      </c>
      <c r="C149" t="str">
        <f>"441501198504114531"</f>
        <v>441501198504114531</v>
      </c>
      <c r="D149" t="s">
        <v>278</v>
      </c>
      <c r="E149" t="s">
        <v>279</v>
      </c>
      <c r="F149" t="str">
        <f>"2019-01-13 16:00:12"</f>
        <v>2019-01-13 16:00:12</v>
      </c>
    </row>
    <row r="150" spans="1:6" x14ac:dyDescent="0.3">
      <c r="A150" t="s">
        <v>0</v>
      </c>
      <c r="B150" t="str">
        <f>"15151286171"</f>
        <v>15151286171</v>
      </c>
      <c r="C150" t="s">
        <v>0</v>
      </c>
      <c r="D150" t="s">
        <v>0</v>
      </c>
      <c r="E150" t="s">
        <v>0</v>
      </c>
      <c r="F150" t="str">
        <f>"2019-01-13 16:00:06"</f>
        <v>2019-01-13 16:00:06</v>
      </c>
    </row>
    <row r="151" spans="1:6" x14ac:dyDescent="0.3">
      <c r="A151" t="s">
        <v>280</v>
      </c>
      <c r="B151" t="str">
        <f>"13631760383"</f>
        <v>13631760383</v>
      </c>
      <c r="C151" t="str">
        <f>"430802198708130015"</f>
        <v>430802198708130015</v>
      </c>
      <c r="D151" t="s">
        <v>0</v>
      </c>
      <c r="E151" t="s">
        <v>0</v>
      </c>
      <c r="F151" t="str">
        <f>"2019-01-13 15:59:48"</f>
        <v>2019-01-13 15:59:48</v>
      </c>
    </row>
    <row r="152" spans="1:6" x14ac:dyDescent="0.3">
      <c r="A152" t="s">
        <v>281</v>
      </c>
      <c r="B152" t="str">
        <f>"15185063119"</f>
        <v>15185063119</v>
      </c>
      <c r="C152" t="str">
        <f>"52242619930416593X"</f>
        <v>52242619930416593X</v>
      </c>
      <c r="D152" t="s">
        <v>282</v>
      </c>
      <c r="E152" t="s">
        <v>283</v>
      </c>
      <c r="F152" t="str">
        <f>"2019-01-13 15:58:29"</f>
        <v>2019-01-13 15:58:29</v>
      </c>
    </row>
    <row r="153" spans="1:6" x14ac:dyDescent="0.3">
      <c r="A153" t="s">
        <v>284</v>
      </c>
      <c r="B153" t="str">
        <f>"15279544101"</f>
        <v>15279544101</v>
      </c>
      <c r="C153" t="str">
        <f>"362203198408250813"</f>
        <v>362203198408250813</v>
      </c>
      <c r="D153" t="s">
        <v>285</v>
      </c>
      <c r="E153" t="s">
        <v>286</v>
      </c>
      <c r="F153" t="str">
        <f>"2019-01-13 15:56:58"</f>
        <v>2019-01-13 15:56:58</v>
      </c>
    </row>
    <row r="154" spans="1:6" x14ac:dyDescent="0.3">
      <c r="A154" t="s">
        <v>287</v>
      </c>
      <c r="B154" t="str">
        <f>"15572769931"</f>
        <v>15572769931</v>
      </c>
      <c r="C154" t="str">
        <f>"411323199309095415"</f>
        <v>411323199309095415</v>
      </c>
      <c r="D154" t="s">
        <v>288</v>
      </c>
      <c r="E154" t="s">
        <v>288</v>
      </c>
      <c r="F154" t="str">
        <f>"2019-01-13 15:55:30"</f>
        <v>2019-01-13 15:55:30</v>
      </c>
    </row>
    <row r="155" spans="1:6" x14ac:dyDescent="0.3">
      <c r="A155" t="s">
        <v>289</v>
      </c>
      <c r="B155" t="str">
        <f>"18263832732"</f>
        <v>18263832732</v>
      </c>
      <c r="C155" t="str">
        <f>"370921198812271510"</f>
        <v>370921198812271510</v>
      </c>
      <c r="D155" t="s">
        <v>290</v>
      </c>
      <c r="E155" t="s">
        <v>291</v>
      </c>
      <c r="F155" t="str">
        <f>"2019-01-13 15:53:36"</f>
        <v>2019-01-13 15:53:36</v>
      </c>
    </row>
    <row r="156" spans="1:6" x14ac:dyDescent="0.3">
      <c r="A156" t="s">
        <v>292</v>
      </c>
      <c r="B156" t="str">
        <f>"14718071213"</f>
        <v>14718071213</v>
      </c>
      <c r="C156" t="str">
        <f>"450621199608103534"</f>
        <v>450621199608103534</v>
      </c>
      <c r="D156" t="s">
        <v>293</v>
      </c>
      <c r="E156" t="s">
        <v>294</v>
      </c>
      <c r="F156" t="str">
        <f>"2019-01-13 15:52:44"</f>
        <v>2019-01-13 15:52:44</v>
      </c>
    </row>
    <row r="157" spans="1:6" x14ac:dyDescent="0.3">
      <c r="A157" t="s">
        <v>295</v>
      </c>
      <c r="B157" t="str">
        <f>"18622930009"</f>
        <v>18622930009</v>
      </c>
      <c r="C157" t="str">
        <f>"120103196908220310"</f>
        <v>120103196908220310</v>
      </c>
      <c r="D157" t="s">
        <v>296</v>
      </c>
      <c r="E157" t="s">
        <v>297</v>
      </c>
      <c r="F157" t="str">
        <f>"2019-01-13 15:50:28"</f>
        <v>2019-01-13 15:50:28</v>
      </c>
    </row>
    <row r="158" spans="1:6" x14ac:dyDescent="0.3">
      <c r="A158" t="s">
        <v>0</v>
      </c>
      <c r="B158" t="str">
        <f>"13183000065"</f>
        <v>13183000065</v>
      </c>
      <c r="C158" t="s">
        <v>0</v>
      </c>
      <c r="D158" t="s">
        <v>0</v>
      </c>
      <c r="E158" t="s">
        <v>0</v>
      </c>
      <c r="F158" t="str">
        <f>"2019-01-13 15:50:18"</f>
        <v>2019-01-13 15:50:18</v>
      </c>
    </row>
    <row r="159" spans="1:6" x14ac:dyDescent="0.3">
      <c r="A159" t="s">
        <v>298</v>
      </c>
      <c r="B159" t="str">
        <f>"18019118713"</f>
        <v>18019118713</v>
      </c>
      <c r="C159" t="str">
        <f>"342422199508100856"</f>
        <v>342422199508100856</v>
      </c>
      <c r="D159" t="s">
        <v>299</v>
      </c>
      <c r="E159" t="s">
        <v>300</v>
      </c>
      <c r="F159" t="str">
        <f>"2019-01-13 15:49:27"</f>
        <v>2019-01-13 15:49:27</v>
      </c>
    </row>
    <row r="160" spans="1:6" x14ac:dyDescent="0.3">
      <c r="A160" t="s">
        <v>0</v>
      </c>
      <c r="B160" t="str">
        <f>"13395365514"</f>
        <v>13395365514</v>
      </c>
      <c r="C160" t="s">
        <v>0</v>
      </c>
      <c r="D160" t="s">
        <v>0</v>
      </c>
      <c r="E160" t="s">
        <v>0</v>
      </c>
      <c r="F160" t="str">
        <f>"2019-01-13 15:48:30"</f>
        <v>2019-01-13 15:48:30</v>
      </c>
    </row>
    <row r="161" spans="1:6" x14ac:dyDescent="0.3">
      <c r="A161" t="s">
        <v>0</v>
      </c>
      <c r="B161" t="str">
        <f>"18693516544"</f>
        <v>18693516544</v>
      </c>
      <c r="C161" t="s">
        <v>0</v>
      </c>
      <c r="D161" t="s">
        <v>0</v>
      </c>
      <c r="E161" t="s">
        <v>0</v>
      </c>
      <c r="F161" t="str">
        <f>"2019-01-13 15:47:45"</f>
        <v>2019-01-13 15:47:45</v>
      </c>
    </row>
    <row r="162" spans="1:6" x14ac:dyDescent="0.3">
      <c r="A162" t="s">
        <v>301</v>
      </c>
      <c r="B162" t="str">
        <f>"15840075989"</f>
        <v>15840075989</v>
      </c>
      <c r="C162" t="str">
        <f>"210922199311264511"</f>
        <v>210922199311264511</v>
      </c>
      <c r="D162" t="s">
        <v>0</v>
      </c>
      <c r="E162" t="s">
        <v>0</v>
      </c>
      <c r="F162" t="str">
        <f>"2019-01-13 15:47:09"</f>
        <v>2019-01-13 15:47:09</v>
      </c>
    </row>
    <row r="163" spans="1:6" x14ac:dyDescent="0.3">
      <c r="A163" t="s">
        <v>302</v>
      </c>
      <c r="B163" t="str">
        <f>"13008617567"</f>
        <v>13008617567</v>
      </c>
      <c r="C163" t="str">
        <f>"350583198910104314"</f>
        <v>350583198910104314</v>
      </c>
      <c r="D163" t="s">
        <v>303</v>
      </c>
      <c r="E163" t="s">
        <v>304</v>
      </c>
      <c r="F163" t="str">
        <f>"2019-01-13 15:45:26"</f>
        <v>2019-01-13 15:45:26</v>
      </c>
    </row>
    <row r="164" spans="1:6" x14ac:dyDescent="0.3">
      <c r="A164" t="s">
        <v>305</v>
      </c>
      <c r="B164" t="str">
        <f>"17778774583"</f>
        <v>17778774583</v>
      </c>
      <c r="C164" t="str">
        <f>"320624197606300017"</f>
        <v>320624197606300017</v>
      </c>
      <c r="D164" t="s">
        <v>306</v>
      </c>
      <c r="E164" t="s">
        <v>307</v>
      </c>
      <c r="F164" t="str">
        <f>"2019-01-13 15:45:17"</f>
        <v>2019-01-13 15:45:17</v>
      </c>
    </row>
    <row r="165" spans="1:6" x14ac:dyDescent="0.3">
      <c r="A165" t="s">
        <v>308</v>
      </c>
      <c r="B165" t="str">
        <f>"15278774038"</f>
        <v>15278774038</v>
      </c>
      <c r="C165" t="str">
        <f>"450721199006076319"</f>
        <v>450721199006076319</v>
      </c>
      <c r="D165" t="s">
        <v>309</v>
      </c>
      <c r="E165" t="s">
        <v>310</v>
      </c>
      <c r="F165" t="str">
        <f>"2019-01-13 15:44:57"</f>
        <v>2019-01-13 15:44:57</v>
      </c>
    </row>
    <row r="166" spans="1:6" x14ac:dyDescent="0.3">
      <c r="A166" t="s">
        <v>311</v>
      </c>
      <c r="B166" t="str">
        <f>"13644038231"</f>
        <v>13644038231</v>
      </c>
      <c r="C166" t="str">
        <f>"210104197906010929"</f>
        <v>210104197906010929</v>
      </c>
      <c r="D166" t="s">
        <v>312</v>
      </c>
      <c r="E166" t="s">
        <v>313</v>
      </c>
      <c r="F166" t="str">
        <f>"2019-01-13 15:44:50"</f>
        <v>2019-01-13 15:44:50</v>
      </c>
    </row>
    <row r="167" spans="1:6" x14ac:dyDescent="0.3">
      <c r="A167" t="s">
        <v>314</v>
      </c>
      <c r="B167" t="str">
        <f>"18071867550"</f>
        <v>18071867550</v>
      </c>
      <c r="C167" t="str">
        <f>"420203198903093311"</f>
        <v>420203198903093311</v>
      </c>
      <c r="D167" t="s">
        <v>315</v>
      </c>
      <c r="E167" t="s">
        <v>316</v>
      </c>
      <c r="F167" t="str">
        <f>"2019-01-13 15:44:21"</f>
        <v>2019-01-13 15:44:21</v>
      </c>
    </row>
    <row r="168" spans="1:6" x14ac:dyDescent="0.3">
      <c r="A168" t="s">
        <v>317</v>
      </c>
      <c r="B168" t="str">
        <f>"18623920855"</f>
        <v>18623920855</v>
      </c>
      <c r="C168" t="str">
        <f>"410611198709274573"</f>
        <v>410611198709274573</v>
      </c>
      <c r="D168" t="s">
        <v>0</v>
      </c>
      <c r="E168" t="s">
        <v>0</v>
      </c>
      <c r="F168" t="str">
        <f>"2019-01-13 15:40:59"</f>
        <v>2019-01-13 15:40:59</v>
      </c>
    </row>
    <row r="169" spans="1:6" x14ac:dyDescent="0.3">
      <c r="A169" t="s">
        <v>0</v>
      </c>
      <c r="B169" t="str">
        <f>"15955413192"</f>
        <v>15955413192</v>
      </c>
      <c r="C169" t="s">
        <v>0</v>
      </c>
      <c r="D169" t="s">
        <v>0</v>
      </c>
      <c r="E169" t="s">
        <v>0</v>
      </c>
      <c r="F169" t="str">
        <f>"2019-01-13 15:38:35"</f>
        <v>2019-01-13 15:38:35</v>
      </c>
    </row>
    <row r="170" spans="1:6" x14ac:dyDescent="0.3">
      <c r="A170" t="s">
        <v>318</v>
      </c>
      <c r="B170" t="str">
        <f>"13790047996"</f>
        <v>13790047996</v>
      </c>
      <c r="C170" t="str">
        <f>"430703199308240771"</f>
        <v>430703199308240771</v>
      </c>
      <c r="D170" t="s">
        <v>319</v>
      </c>
      <c r="E170" t="s">
        <v>320</v>
      </c>
      <c r="F170" t="str">
        <f>"2019-01-13 15:38:33"</f>
        <v>2019-01-13 15:38:33</v>
      </c>
    </row>
    <row r="171" spans="1:6" x14ac:dyDescent="0.3">
      <c r="A171" t="s">
        <v>321</v>
      </c>
      <c r="B171" t="str">
        <f>"13930376987"</f>
        <v>13930376987</v>
      </c>
      <c r="C171" t="str">
        <f>"232330197006270011"</f>
        <v>232330197006270011</v>
      </c>
      <c r="D171" t="s">
        <v>322</v>
      </c>
      <c r="E171" t="s">
        <v>323</v>
      </c>
      <c r="F171" t="str">
        <f>"2019-01-13 15:38:24"</f>
        <v>2019-01-13 15:38:24</v>
      </c>
    </row>
    <row r="172" spans="1:6" x14ac:dyDescent="0.3">
      <c r="A172" t="s">
        <v>324</v>
      </c>
      <c r="B172" t="str">
        <f>"18759680012"</f>
        <v>18759680012</v>
      </c>
      <c r="C172" t="str">
        <f>"35062819911219201X"</f>
        <v>35062819911219201X</v>
      </c>
      <c r="D172" t="s">
        <v>325</v>
      </c>
      <c r="E172" t="s">
        <v>326</v>
      </c>
      <c r="F172" t="str">
        <f>"2019-01-13 15:38:13"</f>
        <v>2019-01-13 15:38:13</v>
      </c>
    </row>
    <row r="173" spans="1:6" x14ac:dyDescent="0.3">
      <c r="A173" t="s">
        <v>327</v>
      </c>
      <c r="B173" t="str">
        <f>"18688858328"</f>
        <v>18688858328</v>
      </c>
      <c r="C173" t="str">
        <f>"440183199006262116"</f>
        <v>440183199006262116</v>
      </c>
      <c r="D173" t="s">
        <v>328</v>
      </c>
      <c r="E173" t="s">
        <v>329</v>
      </c>
      <c r="F173" t="str">
        <f>"2019-01-13 15:37:33"</f>
        <v>2019-01-13 15:37:33</v>
      </c>
    </row>
    <row r="174" spans="1:6" x14ac:dyDescent="0.3">
      <c r="A174" t="s">
        <v>330</v>
      </c>
      <c r="B174" t="str">
        <f>"17607773288"</f>
        <v>17607773288</v>
      </c>
      <c r="C174" t="str">
        <f>"450721198608266318"</f>
        <v>450721198608266318</v>
      </c>
      <c r="D174" t="s">
        <v>331</v>
      </c>
      <c r="E174" t="s">
        <v>332</v>
      </c>
      <c r="F174" t="str">
        <f>"2019-01-13 15:37:22"</f>
        <v>2019-01-13 15:37:22</v>
      </c>
    </row>
    <row r="175" spans="1:6" x14ac:dyDescent="0.3">
      <c r="A175" t="s">
        <v>0</v>
      </c>
      <c r="B175" t="str">
        <f>"17521044533"</f>
        <v>17521044533</v>
      </c>
      <c r="C175" t="s">
        <v>0</v>
      </c>
      <c r="D175" t="s">
        <v>0</v>
      </c>
      <c r="E175" t="s">
        <v>0</v>
      </c>
      <c r="F175" t="str">
        <f>"2019-01-13 15:36:09"</f>
        <v>2019-01-13 15:36:09</v>
      </c>
    </row>
    <row r="176" spans="1:6" x14ac:dyDescent="0.3">
      <c r="A176" t="s">
        <v>333</v>
      </c>
      <c r="B176" t="str">
        <f>"17673158804"</f>
        <v>17673158804</v>
      </c>
      <c r="C176" t="str">
        <f>"430124198706129678"</f>
        <v>430124198706129678</v>
      </c>
      <c r="D176" t="s">
        <v>334</v>
      </c>
      <c r="E176" t="s">
        <v>335</v>
      </c>
      <c r="F176" t="str">
        <f>"2019-01-13 15:36:05"</f>
        <v>2019-01-13 15:36:05</v>
      </c>
    </row>
    <row r="177" spans="1:6" x14ac:dyDescent="0.3">
      <c r="A177" t="s">
        <v>336</v>
      </c>
      <c r="B177" t="str">
        <f>"17681361144"</f>
        <v>17681361144</v>
      </c>
      <c r="C177" t="str">
        <f>"232303199001154011"</f>
        <v>232303199001154011</v>
      </c>
      <c r="D177" t="s">
        <v>337</v>
      </c>
      <c r="E177" t="s">
        <v>338</v>
      </c>
      <c r="F177" t="str">
        <f>"2019-01-13 15:35:19"</f>
        <v>2019-01-13 15:35:19</v>
      </c>
    </row>
    <row r="178" spans="1:6" x14ac:dyDescent="0.3">
      <c r="A178" t="s">
        <v>339</v>
      </c>
      <c r="B178" t="str">
        <f>"13998683517"</f>
        <v>13998683517</v>
      </c>
      <c r="C178" t="str">
        <f>"210211198504092419"</f>
        <v>210211198504092419</v>
      </c>
      <c r="D178" t="s">
        <v>0</v>
      </c>
      <c r="E178" t="s">
        <v>0</v>
      </c>
      <c r="F178" t="str">
        <f>"2019-01-13 15:34:29"</f>
        <v>2019-01-13 15:34:29</v>
      </c>
    </row>
    <row r="179" spans="1:6" x14ac:dyDescent="0.3">
      <c r="A179" t="s">
        <v>340</v>
      </c>
      <c r="B179" t="str">
        <f>"17612543511"</f>
        <v>17612543511</v>
      </c>
      <c r="C179" t="str">
        <f>"320106196804192411"</f>
        <v>320106196804192411</v>
      </c>
      <c r="D179" t="s">
        <v>341</v>
      </c>
      <c r="E179" t="s">
        <v>342</v>
      </c>
      <c r="F179" t="str">
        <f>"2019-01-13 15:34:17"</f>
        <v>2019-01-13 15:34:17</v>
      </c>
    </row>
    <row r="180" spans="1:6" x14ac:dyDescent="0.3">
      <c r="A180" t="s">
        <v>343</v>
      </c>
      <c r="B180" t="str">
        <f>"13058040945"</f>
        <v>13058040945</v>
      </c>
      <c r="C180" t="str">
        <f>"430426199507017730"</f>
        <v>430426199507017730</v>
      </c>
      <c r="D180" t="s">
        <v>344</v>
      </c>
      <c r="E180" t="s">
        <v>345</v>
      </c>
      <c r="F180" t="str">
        <f>"2019-01-13 15:34:16"</f>
        <v>2019-01-13 15:34:16</v>
      </c>
    </row>
    <row r="181" spans="1:6" x14ac:dyDescent="0.3">
      <c r="A181" t="s">
        <v>346</v>
      </c>
      <c r="B181" t="str">
        <f>"15892671571"</f>
        <v>15892671571</v>
      </c>
      <c r="C181" t="str">
        <f>"51070419830501472X"</f>
        <v>51070419830501472X</v>
      </c>
      <c r="D181" t="s">
        <v>0</v>
      </c>
      <c r="E181" t="s">
        <v>0</v>
      </c>
      <c r="F181" t="str">
        <f>"2019-01-13 15:32:28"</f>
        <v>2019-01-13 15:32:28</v>
      </c>
    </row>
    <row r="182" spans="1:6" x14ac:dyDescent="0.3">
      <c r="A182" t="s">
        <v>0</v>
      </c>
      <c r="B182" t="str">
        <f>"15829738520"</f>
        <v>15829738520</v>
      </c>
      <c r="C182" t="s">
        <v>0</v>
      </c>
      <c r="D182" t="s">
        <v>0</v>
      </c>
      <c r="E182" t="s">
        <v>0</v>
      </c>
      <c r="F182" t="str">
        <f>"2019-01-13 15:30:20"</f>
        <v>2019-01-13 15:30:20</v>
      </c>
    </row>
    <row r="183" spans="1:6" x14ac:dyDescent="0.3">
      <c r="A183" t="s">
        <v>0</v>
      </c>
      <c r="B183" t="str">
        <f>"13727992545"</f>
        <v>13727992545</v>
      </c>
      <c r="C183" t="s">
        <v>0</v>
      </c>
      <c r="D183" t="s">
        <v>0</v>
      </c>
      <c r="E183" t="s">
        <v>0</v>
      </c>
      <c r="F183" t="str">
        <f>"2019-01-13 15:29:43"</f>
        <v>2019-01-13 15:29:43</v>
      </c>
    </row>
    <row r="184" spans="1:6" x14ac:dyDescent="0.3">
      <c r="A184" t="s">
        <v>0</v>
      </c>
      <c r="B184" t="str">
        <f>"18082287888"</f>
        <v>18082287888</v>
      </c>
      <c r="C184" t="s">
        <v>0</v>
      </c>
      <c r="D184" t="s">
        <v>0</v>
      </c>
      <c r="E184" t="s">
        <v>0</v>
      </c>
      <c r="F184" t="str">
        <f>"2019-01-13 15:28:43"</f>
        <v>2019-01-13 15:28:43</v>
      </c>
    </row>
    <row r="185" spans="1:6" x14ac:dyDescent="0.3">
      <c r="A185" t="s">
        <v>347</v>
      </c>
      <c r="B185" t="str">
        <f>"13799060807"</f>
        <v>13799060807</v>
      </c>
      <c r="C185" t="str">
        <f>"350624198304080039"</f>
        <v>350624198304080039</v>
      </c>
      <c r="D185" t="s">
        <v>348</v>
      </c>
      <c r="E185" t="s">
        <v>349</v>
      </c>
      <c r="F185" t="str">
        <f>"2019-01-13 15:28:14"</f>
        <v>2019-01-13 15:28:14</v>
      </c>
    </row>
    <row r="186" spans="1:6" x14ac:dyDescent="0.3">
      <c r="A186" t="s">
        <v>350</v>
      </c>
      <c r="B186" t="str">
        <f>"13967935783"</f>
        <v>13967935783</v>
      </c>
      <c r="C186" t="str">
        <f>"330881200006045512"</f>
        <v>330881200006045512</v>
      </c>
      <c r="D186" t="s">
        <v>351</v>
      </c>
      <c r="E186" t="s">
        <v>352</v>
      </c>
      <c r="F186" t="str">
        <f>"2019-01-13 15:26:03"</f>
        <v>2019-01-13 15:26:03</v>
      </c>
    </row>
    <row r="187" spans="1:6" x14ac:dyDescent="0.3">
      <c r="A187" t="s">
        <v>353</v>
      </c>
      <c r="B187" t="str">
        <f>"13844805475"</f>
        <v>13844805475</v>
      </c>
      <c r="C187" t="str">
        <f>"220104197902126918"</f>
        <v>220104197902126918</v>
      </c>
      <c r="D187" t="s">
        <v>354</v>
      </c>
      <c r="E187" t="s">
        <v>355</v>
      </c>
      <c r="F187" t="str">
        <f>"2019-01-13 15:26:02"</f>
        <v>2019-01-13 15:26:02</v>
      </c>
    </row>
    <row r="188" spans="1:6" x14ac:dyDescent="0.3">
      <c r="A188" t="s">
        <v>356</v>
      </c>
      <c r="B188" t="str">
        <f>"13150386999"</f>
        <v>13150386999</v>
      </c>
      <c r="C188" t="str">
        <f>"652723196810130310"</f>
        <v>652723196810130310</v>
      </c>
      <c r="D188" t="s">
        <v>0</v>
      </c>
      <c r="E188" t="s">
        <v>0</v>
      </c>
      <c r="F188" t="str">
        <f>"2019-01-13 15:24:44"</f>
        <v>2019-01-13 15:24:44</v>
      </c>
    </row>
    <row r="189" spans="1:6" x14ac:dyDescent="0.3">
      <c r="A189" t="s">
        <v>357</v>
      </c>
      <c r="B189" t="str">
        <f>"13975352589"</f>
        <v>13975352589</v>
      </c>
      <c r="C189" t="str">
        <f>"430225197612240014"</f>
        <v>430225197612240014</v>
      </c>
      <c r="D189" t="s">
        <v>358</v>
      </c>
      <c r="E189" t="s">
        <v>359</v>
      </c>
      <c r="F189" t="str">
        <f>"2019-01-13 15:24:09"</f>
        <v>2019-01-13 15:24:09</v>
      </c>
    </row>
    <row r="190" spans="1:6" x14ac:dyDescent="0.3">
      <c r="A190" t="s">
        <v>360</v>
      </c>
      <c r="B190" t="str">
        <f>"13607122678"</f>
        <v>13607122678</v>
      </c>
      <c r="C190" t="str">
        <f>"420122197906150034"</f>
        <v>420122197906150034</v>
      </c>
      <c r="D190" t="s">
        <v>361</v>
      </c>
      <c r="E190" t="s">
        <v>362</v>
      </c>
      <c r="F190" t="str">
        <f>"2019-01-13 15:22:31"</f>
        <v>2019-01-13 15:22:31</v>
      </c>
    </row>
    <row r="191" spans="1:6" x14ac:dyDescent="0.3">
      <c r="A191" t="s">
        <v>363</v>
      </c>
      <c r="B191" t="str">
        <f>"15000651282"</f>
        <v>15000651282</v>
      </c>
      <c r="C191" t="str">
        <f>"532422198306141917"</f>
        <v>532422198306141917</v>
      </c>
      <c r="D191" t="s">
        <v>364</v>
      </c>
      <c r="E191" t="s">
        <v>365</v>
      </c>
      <c r="F191" t="str">
        <f>"2019-01-13 15:20:03"</f>
        <v>2019-01-13 15:20:03</v>
      </c>
    </row>
    <row r="192" spans="1:6" x14ac:dyDescent="0.3">
      <c r="A192" t="s">
        <v>366</v>
      </c>
      <c r="B192" t="str">
        <f>"18220971000"</f>
        <v>18220971000</v>
      </c>
      <c r="C192" t="str">
        <f>"612526199510150736"</f>
        <v>612526199510150736</v>
      </c>
      <c r="D192" t="s">
        <v>367</v>
      </c>
      <c r="E192" t="s">
        <v>368</v>
      </c>
      <c r="F192" t="str">
        <f>"2019-01-13 15:15:35"</f>
        <v>2019-01-13 15:15:35</v>
      </c>
    </row>
    <row r="193" spans="1:6" x14ac:dyDescent="0.3">
      <c r="A193" t="s">
        <v>0</v>
      </c>
      <c r="B193" t="str">
        <f>"13182936277"</f>
        <v>13182936277</v>
      </c>
      <c r="C193" t="s">
        <v>0</v>
      </c>
      <c r="D193" t="s">
        <v>0</v>
      </c>
      <c r="E193" t="s">
        <v>0</v>
      </c>
      <c r="F193" t="str">
        <f>"2019-01-13 15:15:33"</f>
        <v>2019-01-13 15:15:33</v>
      </c>
    </row>
    <row r="194" spans="1:6" x14ac:dyDescent="0.3">
      <c r="A194" t="s">
        <v>0</v>
      </c>
      <c r="B194" t="str">
        <f>"15126058063"</f>
        <v>15126058063</v>
      </c>
      <c r="C194" t="s">
        <v>0</v>
      </c>
      <c r="D194" t="s">
        <v>0</v>
      </c>
      <c r="E194" t="s">
        <v>0</v>
      </c>
      <c r="F194" t="str">
        <f>"2019-01-13 15:13:57"</f>
        <v>2019-01-13 15:13:57</v>
      </c>
    </row>
    <row r="195" spans="1:6" x14ac:dyDescent="0.3">
      <c r="A195" t="s">
        <v>369</v>
      </c>
      <c r="B195" t="str">
        <f>"18007848388"</f>
        <v>18007848388</v>
      </c>
      <c r="C195" t="str">
        <f>"452402198708010105"</f>
        <v>452402198708010105</v>
      </c>
      <c r="D195" t="s">
        <v>370</v>
      </c>
      <c r="E195" t="s">
        <v>371</v>
      </c>
      <c r="F195" t="str">
        <f>"2019-01-13 15:09:25"</f>
        <v>2019-01-13 15:09:25</v>
      </c>
    </row>
    <row r="196" spans="1:6" x14ac:dyDescent="0.3">
      <c r="A196" t="s">
        <v>0</v>
      </c>
      <c r="B196" t="str">
        <f>"18700181959"</f>
        <v>18700181959</v>
      </c>
      <c r="C196" t="s">
        <v>0</v>
      </c>
      <c r="D196" t="s">
        <v>0</v>
      </c>
      <c r="E196" t="s">
        <v>0</v>
      </c>
      <c r="F196" t="str">
        <f>"2019-01-13 15:08:28"</f>
        <v>2019-01-13 15:08:28</v>
      </c>
    </row>
    <row r="197" spans="1:6" x14ac:dyDescent="0.3">
      <c r="A197" t="s">
        <v>372</v>
      </c>
      <c r="B197" t="str">
        <f>"15216176123"</f>
        <v>15216176123</v>
      </c>
      <c r="C197" t="str">
        <f>"362122197510084419"</f>
        <v>362122197510084419</v>
      </c>
      <c r="D197" t="s">
        <v>0</v>
      </c>
      <c r="E197" t="s">
        <v>0</v>
      </c>
      <c r="F197" t="str">
        <f>"2019-01-13 15:07:26"</f>
        <v>2019-01-13 15:07:26</v>
      </c>
    </row>
    <row r="198" spans="1:6" x14ac:dyDescent="0.3">
      <c r="A198" t="s">
        <v>373</v>
      </c>
      <c r="B198" t="str">
        <f>"15692802339"</f>
        <v>15692802339</v>
      </c>
      <c r="C198" t="str">
        <f>"513030199212050715"</f>
        <v>513030199212050715</v>
      </c>
      <c r="D198" t="s">
        <v>374</v>
      </c>
      <c r="E198" t="s">
        <v>375</v>
      </c>
      <c r="F198" t="str">
        <f>"2019-01-13 15:06:44"</f>
        <v>2019-01-13 15:06:44</v>
      </c>
    </row>
    <row r="199" spans="1:6" x14ac:dyDescent="0.3">
      <c r="A199" t="s">
        <v>0</v>
      </c>
      <c r="B199" t="str">
        <f>"15891002677"</f>
        <v>15891002677</v>
      </c>
      <c r="C199" t="s">
        <v>0</v>
      </c>
      <c r="D199" t="s">
        <v>0</v>
      </c>
      <c r="E199" t="s">
        <v>0</v>
      </c>
      <c r="F199" t="str">
        <f>"2019-01-13 15:05:09"</f>
        <v>2019-01-13 15:05:09</v>
      </c>
    </row>
    <row r="200" spans="1:6" x14ac:dyDescent="0.3">
      <c r="A200" t="s">
        <v>376</v>
      </c>
      <c r="B200" t="str">
        <f>"18636393421"</f>
        <v>18636393421</v>
      </c>
      <c r="C200" t="str">
        <f>"142729198801102112"</f>
        <v>142729198801102112</v>
      </c>
      <c r="D200" t="s">
        <v>377</v>
      </c>
      <c r="E200" t="s">
        <v>378</v>
      </c>
      <c r="F200" t="str">
        <f>"2019-01-13 15:03:33"</f>
        <v>2019-01-13 15:03:33</v>
      </c>
    </row>
    <row r="201" spans="1:6" x14ac:dyDescent="0.3">
      <c r="A201" t="s">
        <v>379</v>
      </c>
      <c r="B201" t="str">
        <f>"13816831779"</f>
        <v>13816831779</v>
      </c>
      <c r="C201" t="str">
        <f>"420624198710186531"</f>
        <v>420624198710186531</v>
      </c>
      <c r="D201" t="s">
        <v>380</v>
      </c>
      <c r="E201" t="s">
        <v>381</v>
      </c>
      <c r="F201" t="str">
        <f>"2019-01-13 15:02:53"</f>
        <v>2019-01-13 15:02:53</v>
      </c>
    </row>
    <row r="202" spans="1:6" x14ac:dyDescent="0.3">
      <c r="A202" t="s">
        <v>382</v>
      </c>
      <c r="B202" t="str">
        <f>"18940608446"</f>
        <v>18940608446</v>
      </c>
      <c r="C202" t="str">
        <f>"210921198609298238"</f>
        <v>210921198609298238</v>
      </c>
      <c r="D202" t="s">
        <v>383</v>
      </c>
      <c r="E202" t="s">
        <v>384</v>
      </c>
      <c r="F202" t="str">
        <f>"2019-01-13 15:01:36"</f>
        <v>2019-01-13 15:01:36</v>
      </c>
    </row>
    <row r="203" spans="1:6" x14ac:dyDescent="0.3">
      <c r="A203" t="s">
        <v>385</v>
      </c>
      <c r="B203" t="str">
        <f>"18645529693"</f>
        <v>18645529693</v>
      </c>
      <c r="C203" t="str">
        <f>"232301199006080055"</f>
        <v>232301199006080055</v>
      </c>
      <c r="D203" t="s">
        <v>386</v>
      </c>
      <c r="E203" t="s">
        <v>387</v>
      </c>
      <c r="F203" t="str">
        <f>"2019-01-13 14:58:05"</f>
        <v>2019-01-13 14:58:05</v>
      </c>
    </row>
    <row r="204" spans="1:6" x14ac:dyDescent="0.3">
      <c r="A204" t="s">
        <v>0</v>
      </c>
      <c r="B204" t="str">
        <f>"17674114391"</f>
        <v>17674114391</v>
      </c>
      <c r="C204" t="s">
        <v>0</v>
      </c>
      <c r="D204" t="s">
        <v>0</v>
      </c>
      <c r="E204" t="s">
        <v>0</v>
      </c>
      <c r="F204" t="str">
        <f>"2019-01-13 14:57:44"</f>
        <v>2019-01-13 14:57:44</v>
      </c>
    </row>
    <row r="205" spans="1:6" x14ac:dyDescent="0.3">
      <c r="A205" t="s">
        <v>193</v>
      </c>
      <c r="B205" t="str">
        <f>"18270000801"</f>
        <v>18270000801</v>
      </c>
      <c r="C205" t="str">
        <f>"360731198602050314"</f>
        <v>360731198602050314</v>
      </c>
      <c r="D205" t="s">
        <v>388</v>
      </c>
      <c r="E205" t="s">
        <v>389</v>
      </c>
      <c r="F205" t="str">
        <f>"2019-01-13 14:57:08"</f>
        <v>2019-01-13 14:57:08</v>
      </c>
    </row>
    <row r="206" spans="1:6" x14ac:dyDescent="0.3">
      <c r="A206" t="s">
        <v>0</v>
      </c>
      <c r="B206" t="str">
        <f>"13016333752"</f>
        <v>13016333752</v>
      </c>
      <c r="C206" t="s">
        <v>0</v>
      </c>
      <c r="D206" t="s">
        <v>0</v>
      </c>
      <c r="E206" t="s">
        <v>0</v>
      </c>
      <c r="F206" t="str">
        <f>"2019-01-13 14:54:22"</f>
        <v>2019-01-13 14:54:22</v>
      </c>
    </row>
    <row r="207" spans="1:6" x14ac:dyDescent="0.3">
      <c r="A207" t="s">
        <v>0</v>
      </c>
      <c r="B207" t="str">
        <f>"17381254880"</f>
        <v>17381254880</v>
      </c>
      <c r="C207" t="s">
        <v>0</v>
      </c>
      <c r="D207" t="s">
        <v>0</v>
      </c>
      <c r="E207" t="s">
        <v>0</v>
      </c>
      <c r="F207" t="str">
        <f>"2019-01-13 14:47:39"</f>
        <v>2019-01-13 14:47:39</v>
      </c>
    </row>
    <row r="208" spans="1:6" x14ac:dyDescent="0.3">
      <c r="A208" t="s">
        <v>390</v>
      </c>
      <c r="B208" t="str">
        <f>"13264352326"</f>
        <v>13264352326</v>
      </c>
      <c r="C208" t="str">
        <f>"142332198008032813"</f>
        <v>142332198008032813</v>
      </c>
      <c r="D208" t="s">
        <v>391</v>
      </c>
      <c r="E208" t="s">
        <v>392</v>
      </c>
      <c r="F208" t="str">
        <f>"2019-01-13 14:45:47"</f>
        <v>2019-01-13 14:45:47</v>
      </c>
    </row>
    <row r="209" spans="1:6" x14ac:dyDescent="0.3">
      <c r="A209" t="s">
        <v>393</v>
      </c>
      <c r="B209" t="str">
        <f>"18665911892"</f>
        <v>18665911892</v>
      </c>
      <c r="C209" t="str">
        <f>"411523199101050454"</f>
        <v>411523199101050454</v>
      </c>
      <c r="D209" t="s">
        <v>394</v>
      </c>
      <c r="E209" t="s">
        <v>395</v>
      </c>
      <c r="F209" t="str">
        <f>"2019-01-13 14:45:13"</f>
        <v>2019-01-13 14:45:13</v>
      </c>
    </row>
    <row r="210" spans="1:6" x14ac:dyDescent="0.3">
      <c r="A210" t="s">
        <v>396</v>
      </c>
      <c r="B210" t="str">
        <f>"18702708312"</f>
        <v>18702708312</v>
      </c>
      <c r="C210" t="str">
        <f>"321081198812285110"</f>
        <v>321081198812285110</v>
      </c>
      <c r="D210" t="s">
        <v>397</v>
      </c>
      <c r="E210" t="s">
        <v>398</v>
      </c>
      <c r="F210" t="str">
        <f>"2019-01-13 14:44:35"</f>
        <v>2019-01-13 14:44:35</v>
      </c>
    </row>
    <row r="211" spans="1:6" x14ac:dyDescent="0.3">
      <c r="A211" t="s">
        <v>399</v>
      </c>
      <c r="B211" t="str">
        <f>"18083366859"</f>
        <v>18083366859</v>
      </c>
      <c r="C211" t="str">
        <f>"522501199910171633"</f>
        <v>522501199910171633</v>
      </c>
      <c r="D211" t="s">
        <v>400</v>
      </c>
      <c r="E211" t="s">
        <v>401</v>
      </c>
      <c r="F211" t="str">
        <f>"2019-01-13 14:43:38"</f>
        <v>2019-01-13 14:43:38</v>
      </c>
    </row>
    <row r="212" spans="1:6" x14ac:dyDescent="0.3">
      <c r="A212" t="s">
        <v>402</v>
      </c>
      <c r="B212" t="str">
        <f>"18727752623"</f>
        <v>18727752623</v>
      </c>
      <c r="C212" t="str">
        <f>"422801199509133617"</f>
        <v>422801199509133617</v>
      </c>
      <c r="D212" t="s">
        <v>0</v>
      </c>
      <c r="E212" t="s">
        <v>0</v>
      </c>
      <c r="F212" t="str">
        <f>"2019-01-13 14:40:43"</f>
        <v>2019-01-13 14:40:43</v>
      </c>
    </row>
    <row r="213" spans="1:6" x14ac:dyDescent="0.3">
      <c r="A213" t="s">
        <v>403</v>
      </c>
      <c r="B213" t="str">
        <f>"15079304017"</f>
        <v>15079304017</v>
      </c>
      <c r="C213" t="str">
        <f>"362322199101070331"</f>
        <v>362322199101070331</v>
      </c>
      <c r="D213" t="s">
        <v>404</v>
      </c>
      <c r="E213" t="s">
        <v>405</v>
      </c>
      <c r="F213" t="str">
        <f>"2019-01-13 14:40:32"</f>
        <v>2019-01-13 14:40:32</v>
      </c>
    </row>
    <row r="214" spans="1:6" x14ac:dyDescent="0.3">
      <c r="A214" t="s">
        <v>406</v>
      </c>
      <c r="B214" t="str">
        <f>"18622889659"</f>
        <v>18622889659</v>
      </c>
      <c r="C214" t="str">
        <f>"12010419870624431X"</f>
        <v>12010419870624431X</v>
      </c>
      <c r="D214" t="s">
        <v>407</v>
      </c>
      <c r="E214" t="s">
        <v>408</v>
      </c>
      <c r="F214" t="str">
        <f>"2019-01-13 14:39:06"</f>
        <v>2019-01-13 14:39:06</v>
      </c>
    </row>
    <row r="215" spans="1:6" x14ac:dyDescent="0.3">
      <c r="A215" t="s">
        <v>409</v>
      </c>
      <c r="B215" t="str">
        <f>"13030954544"</f>
        <v>13030954544</v>
      </c>
      <c r="C215" t="str">
        <f>"352229199512044557"</f>
        <v>352229199512044557</v>
      </c>
      <c r="D215" t="s">
        <v>0</v>
      </c>
      <c r="E215" t="s">
        <v>0</v>
      </c>
      <c r="F215" t="str">
        <f>"2019-01-13 14:36:39"</f>
        <v>2019-01-13 14:36:39</v>
      </c>
    </row>
    <row r="216" spans="1:6" x14ac:dyDescent="0.3">
      <c r="A216" t="s">
        <v>410</v>
      </c>
      <c r="B216" t="str">
        <f>"18757175069"</f>
        <v>18757175069</v>
      </c>
      <c r="C216" t="str">
        <f>"410326199109287314"</f>
        <v>410326199109287314</v>
      </c>
      <c r="D216" t="s">
        <v>411</v>
      </c>
      <c r="E216" t="s">
        <v>412</v>
      </c>
      <c r="F216" t="str">
        <f>"2019-01-13 14:36:37"</f>
        <v>2019-01-13 14:36:37</v>
      </c>
    </row>
    <row r="217" spans="1:6" x14ac:dyDescent="0.3">
      <c r="A217" t="s">
        <v>0</v>
      </c>
      <c r="B217" t="str">
        <f>"13350939885"</f>
        <v>13350939885</v>
      </c>
      <c r="C217" t="s">
        <v>0</v>
      </c>
      <c r="D217" t="s">
        <v>0</v>
      </c>
      <c r="E217" t="s">
        <v>0</v>
      </c>
      <c r="F217" t="str">
        <f>"2019-01-13 14:33:46"</f>
        <v>2019-01-13 14:33:46</v>
      </c>
    </row>
    <row r="218" spans="1:6" x14ac:dyDescent="0.3">
      <c r="A218" t="s">
        <v>413</v>
      </c>
      <c r="B218" t="str">
        <f>"18883291056"</f>
        <v>18883291056</v>
      </c>
      <c r="C218" t="str">
        <f>"50010319950206472X"</f>
        <v>50010319950206472X</v>
      </c>
      <c r="D218" t="s">
        <v>414</v>
      </c>
      <c r="E218" t="s">
        <v>415</v>
      </c>
      <c r="F218" t="str">
        <f>"2019-01-13 14:32:35"</f>
        <v>2019-01-13 14:32:35</v>
      </c>
    </row>
    <row r="219" spans="1:6" x14ac:dyDescent="0.3">
      <c r="A219" t="s">
        <v>416</v>
      </c>
      <c r="B219" t="str">
        <f>"15852527575"</f>
        <v>15852527575</v>
      </c>
      <c r="C219" t="str">
        <f>"320283198509215219"</f>
        <v>320283198509215219</v>
      </c>
      <c r="D219" t="s">
        <v>417</v>
      </c>
      <c r="E219" t="s">
        <v>418</v>
      </c>
      <c r="F219" t="str">
        <f>"2019-01-13 14:32:02"</f>
        <v>2019-01-13 14:32:02</v>
      </c>
    </row>
    <row r="220" spans="1:6" x14ac:dyDescent="0.3">
      <c r="A220" t="s">
        <v>419</v>
      </c>
      <c r="B220" t="str">
        <f>"13727330767"</f>
        <v>13727330767</v>
      </c>
      <c r="C220" t="str">
        <f>"440823198306124935"</f>
        <v>440823198306124935</v>
      </c>
      <c r="D220" t="s">
        <v>420</v>
      </c>
      <c r="E220" t="s">
        <v>421</v>
      </c>
      <c r="F220" t="str">
        <f>"2019-01-13 14:27:43"</f>
        <v>2019-01-13 14:27:43</v>
      </c>
    </row>
    <row r="221" spans="1:6" x14ac:dyDescent="0.3">
      <c r="A221" t="s">
        <v>0</v>
      </c>
      <c r="B221" t="str">
        <f>"18351896264"</f>
        <v>18351896264</v>
      </c>
      <c r="C221" t="s">
        <v>0</v>
      </c>
      <c r="D221" t="s">
        <v>0</v>
      </c>
      <c r="E221" t="s">
        <v>0</v>
      </c>
      <c r="F221" t="str">
        <f>"2019-01-13 14:26:35"</f>
        <v>2019-01-13 14:26:35</v>
      </c>
    </row>
    <row r="222" spans="1:6" x14ac:dyDescent="0.3">
      <c r="A222" t="s">
        <v>0</v>
      </c>
      <c r="B222" t="str">
        <f>"17856683498"</f>
        <v>17856683498</v>
      </c>
      <c r="C222" t="s">
        <v>0</v>
      </c>
      <c r="D222" t="s">
        <v>0</v>
      </c>
      <c r="E222" t="s">
        <v>0</v>
      </c>
      <c r="F222" t="str">
        <f>"2019-01-13 14:25:54"</f>
        <v>2019-01-13 14:25:54</v>
      </c>
    </row>
    <row r="223" spans="1:6" x14ac:dyDescent="0.3">
      <c r="A223" t="s">
        <v>422</v>
      </c>
      <c r="B223" t="str">
        <f>"18977531556"</f>
        <v>18977531556</v>
      </c>
      <c r="C223" t="str">
        <f>"450922198802264815"</f>
        <v>450922198802264815</v>
      </c>
      <c r="D223" t="s">
        <v>423</v>
      </c>
      <c r="E223" t="s">
        <v>424</v>
      </c>
      <c r="F223" t="str">
        <f>"2019-01-13 14:25:50"</f>
        <v>2019-01-13 14:25:50</v>
      </c>
    </row>
    <row r="224" spans="1:6" x14ac:dyDescent="0.3">
      <c r="A224" t="s">
        <v>425</v>
      </c>
      <c r="B224" t="str">
        <f>"13013181011"</f>
        <v>13013181011</v>
      </c>
      <c r="C224" t="str">
        <f>"340824198412124026"</f>
        <v>340824198412124026</v>
      </c>
      <c r="D224" t="s">
        <v>426</v>
      </c>
      <c r="E224" t="s">
        <v>427</v>
      </c>
      <c r="F224" t="str">
        <f>"2019-01-13 14:24:40"</f>
        <v>2019-01-13 14:24:40</v>
      </c>
    </row>
    <row r="225" spans="1:6" x14ac:dyDescent="0.3">
      <c r="A225" t="s">
        <v>428</v>
      </c>
      <c r="B225" t="str">
        <f>"13927345082"</f>
        <v>13927345082</v>
      </c>
      <c r="C225" t="str">
        <f>"362523197408026835"</f>
        <v>362523197408026835</v>
      </c>
      <c r="D225" t="s">
        <v>429</v>
      </c>
      <c r="E225" t="s">
        <v>430</v>
      </c>
      <c r="F225" t="str">
        <f>"2019-01-13 14:23:12"</f>
        <v>2019-01-13 14:23:12</v>
      </c>
    </row>
    <row r="226" spans="1:6" x14ac:dyDescent="0.3">
      <c r="A226" t="s">
        <v>0</v>
      </c>
      <c r="B226" t="str">
        <f>"18332579727"</f>
        <v>18332579727</v>
      </c>
      <c r="C226" t="s">
        <v>0</v>
      </c>
      <c r="D226" t="s">
        <v>0</v>
      </c>
      <c r="E226" t="s">
        <v>0</v>
      </c>
      <c r="F226" t="str">
        <f>"2019-01-13 14:22:30"</f>
        <v>2019-01-13 14:22:30</v>
      </c>
    </row>
    <row r="227" spans="1:6" x14ac:dyDescent="0.3">
      <c r="A227" t="s">
        <v>0</v>
      </c>
      <c r="B227" t="str">
        <f>"13511103224"</f>
        <v>13511103224</v>
      </c>
      <c r="C227" t="s">
        <v>0</v>
      </c>
      <c r="D227" t="s">
        <v>0</v>
      </c>
      <c r="E227" t="s">
        <v>0</v>
      </c>
      <c r="F227" t="str">
        <f>"2019-01-13 14:21:47"</f>
        <v>2019-01-13 14:21:47</v>
      </c>
    </row>
    <row r="228" spans="1:6" x14ac:dyDescent="0.3">
      <c r="A228" t="s">
        <v>0</v>
      </c>
      <c r="B228" t="str">
        <f>"18945412537"</f>
        <v>18945412537</v>
      </c>
      <c r="C228" t="s">
        <v>0</v>
      </c>
      <c r="D228" t="s">
        <v>0</v>
      </c>
      <c r="E228" t="s">
        <v>0</v>
      </c>
      <c r="F228" t="str">
        <f>"2019-01-13 14:20:39"</f>
        <v>2019-01-13 14:20:39</v>
      </c>
    </row>
    <row r="229" spans="1:6" x14ac:dyDescent="0.3">
      <c r="A229" t="s">
        <v>431</v>
      </c>
      <c r="B229" t="str">
        <f>"13872863775"</f>
        <v>13872863775</v>
      </c>
      <c r="C229" t="str">
        <f>"420619196305160418"</f>
        <v>420619196305160418</v>
      </c>
      <c r="D229" t="s">
        <v>432</v>
      </c>
      <c r="E229" t="s">
        <v>433</v>
      </c>
      <c r="F229" t="str">
        <f>"2019-01-13 14:20:10"</f>
        <v>2019-01-13 14:20:10</v>
      </c>
    </row>
    <row r="230" spans="1:6" x14ac:dyDescent="0.3">
      <c r="A230" t="s">
        <v>434</v>
      </c>
      <c r="B230" t="str">
        <f>"15106506123"</f>
        <v>15106506123</v>
      </c>
      <c r="C230" t="str">
        <f>"370684199512142219"</f>
        <v>370684199512142219</v>
      </c>
      <c r="D230" t="s">
        <v>0</v>
      </c>
      <c r="E230" t="s">
        <v>0</v>
      </c>
      <c r="F230" t="str">
        <f>"2019-01-13 14:19:27"</f>
        <v>2019-01-13 14:19:27</v>
      </c>
    </row>
    <row r="231" spans="1:6" x14ac:dyDescent="0.3">
      <c r="A231" t="s">
        <v>0</v>
      </c>
      <c r="B231" t="str">
        <f>"18755881075"</f>
        <v>18755881075</v>
      </c>
      <c r="C231" t="s">
        <v>0</v>
      </c>
      <c r="D231" t="s">
        <v>0</v>
      </c>
      <c r="E231" t="s">
        <v>0</v>
      </c>
      <c r="F231" t="str">
        <f>"2019-01-13 14:17:45"</f>
        <v>2019-01-13 14:17:45</v>
      </c>
    </row>
    <row r="232" spans="1:6" x14ac:dyDescent="0.3">
      <c r="A232" t="s">
        <v>0</v>
      </c>
      <c r="B232" t="str">
        <f>"18819292725"</f>
        <v>18819292725</v>
      </c>
      <c r="C232" t="s">
        <v>0</v>
      </c>
      <c r="D232" t="s">
        <v>0</v>
      </c>
      <c r="E232" t="s">
        <v>0</v>
      </c>
      <c r="F232" t="str">
        <f>"2019-01-13 14:15:01"</f>
        <v>2019-01-13 14:15:01</v>
      </c>
    </row>
    <row r="233" spans="1:6" x14ac:dyDescent="0.3">
      <c r="A233" t="s">
        <v>0</v>
      </c>
      <c r="B233" t="str">
        <f>"13572952384"</f>
        <v>13572952384</v>
      </c>
      <c r="C233" t="s">
        <v>0</v>
      </c>
      <c r="D233" t="s">
        <v>0</v>
      </c>
      <c r="E233" t="s">
        <v>0</v>
      </c>
      <c r="F233" t="str">
        <f>"2019-01-13 14:14:52"</f>
        <v>2019-01-13 14:14:52</v>
      </c>
    </row>
    <row r="234" spans="1:6" x14ac:dyDescent="0.3">
      <c r="A234" t="s">
        <v>435</v>
      </c>
      <c r="B234" t="str">
        <f>"13826417307"</f>
        <v>13826417307</v>
      </c>
      <c r="C234" t="str">
        <f>"440103198609085132"</f>
        <v>440103198609085132</v>
      </c>
      <c r="D234" t="s">
        <v>436</v>
      </c>
      <c r="E234" t="s">
        <v>437</v>
      </c>
      <c r="F234" t="str">
        <f>"2019-01-13 14:14:49"</f>
        <v>2019-01-13 14:14:49</v>
      </c>
    </row>
    <row r="235" spans="1:6" x14ac:dyDescent="0.3">
      <c r="A235" t="s">
        <v>0</v>
      </c>
      <c r="B235" t="str">
        <f>"18712661643"</f>
        <v>18712661643</v>
      </c>
      <c r="C235" t="s">
        <v>0</v>
      </c>
      <c r="D235" t="s">
        <v>0</v>
      </c>
      <c r="E235" t="s">
        <v>0</v>
      </c>
      <c r="F235" t="str">
        <f>"2019-01-13 14:12:14"</f>
        <v>2019-01-13 14:12:14</v>
      </c>
    </row>
    <row r="236" spans="1:6" x14ac:dyDescent="0.3">
      <c r="A236" t="s">
        <v>0</v>
      </c>
      <c r="B236" t="str">
        <f>"17856190067"</f>
        <v>17856190067</v>
      </c>
      <c r="C236" t="s">
        <v>0</v>
      </c>
      <c r="D236" t="s">
        <v>0</v>
      </c>
      <c r="E236" t="s">
        <v>0</v>
      </c>
      <c r="F236" t="str">
        <f>"2019-01-13 14:10:09"</f>
        <v>2019-01-13 14:10:09</v>
      </c>
    </row>
    <row r="237" spans="1:6" x14ac:dyDescent="0.3">
      <c r="A237" t="s">
        <v>0</v>
      </c>
      <c r="B237" t="str">
        <f>"18221289586"</f>
        <v>18221289586</v>
      </c>
      <c r="C237" t="s">
        <v>0</v>
      </c>
      <c r="D237" t="s">
        <v>0</v>
      </c>
      <c r="E237" t="s">
        <v>0</v>
      </c>
      <c r="F237" t="str">
        <f>"2019-01-13 14:09:11"</f>
        <v>2019-01-13 14:09:11</v>
      </c>
    </row>
    <row r="238" spans="1:6" x14ac:dyDescent="0.3">
      <c r="A238" t="s">
        <v>438</v>
      </c>
      <c r="B238" t="str">
        <f>"17629136638"</f>
        <v>17629136638</v>
      </c>
      <c r="C238" t="str">
        <f>"612324199705086013"</f>
        <v>612324199705086013</v>
      </c>
      <c r="D238" t="s">
        <v>0</v>
      </c>
      <c r="E238" t="s">
        <v>0</v>
      </c>
      <c r="F238" t="str">
        <f>"2019-01-13 14:07:33"</f>
        <v>2019-01-13 14:07:33</v>
      </c>
    </row>
    <row r="239" spans="1:6" x14ac:dyDescent="0.3">
      <c r="A239" t="s">
        <v>0</v>
      </c>
      <c r="B239" t="str">
        <f>"13199940836"</f>
        <v>13199940836</v>
      </c>
      <c r="C239" t="s">
        <v>0</v>
      </c>
      <c r="D239" t="s">
        <v>0</v>
      </c>
      <c r="E239" t="s">
        <v>0</v>
      </c>
      <c r="F239" t="str">
        <f>"2019-01-13 14:07:16"</f>
        <v>2019-01-13 14:07:16</v>
      </c>
    </row>
    <row r="240" spans="1:6" x14ac:dyDescent="0.3">
      <c r="A240" t="s">
        <v>439</v>
      </c>
      <c r="B240" t="str">
        <f>"15996300864"</f>
        <v>15996300864</v>
      </c>
      <c r="C240" t="str">
        <f>"321324199302075010"</f>
        <v>321324199302075010</v>
      </c>
      <c r="D240" t="s">
        <v>440</v>
      </c>
      <c r="E240" t="s">
        <v>441</v>
      </c>
      <c r="F240" t="str">
        <f>"2019-01-13 14:03:35"</f>
        <v>2019-01-13 14:03:35</v>
      </c>
    </row>
    <row r="241" spans="1:6" x14ac:dyDescent="0.3">
      <c r="A241" t="s">
        <v>0</v>
      </c>
      <c r="B241" t="str">
        <f>"13720064435"</f>
        <v>13720064435</v>
      </c>
      <c r="C241" t="s">
        <v>0</v>
      </c>
      <c r="D241" t="s">
        <v>0</v>
      </c>
      <c r="E241" t="s">
        <v>0</v>
      </c>
      <c r="F241" t="str">
        <f>"2019-01-13 14:00:23"</f>
        <v>2019-01-13 14:00:23</v>
      </c>
    </row>
    <row r="242" spans="1:6" x14ac:dyDescent="0.3">
      <c r="A242" t="s">
        <v>442</v>
      </c>
      <c r="B242" t="str">
        <f>"18286911841"</f>
        <v>18286911841</v>
      </c>
      <c r="C242" t="str">
        <f>"52232219910524057X"</f>
        <v>52232219910524057X</v>
      </c>
      <c r="D242" t="s">
        <v>443</v>
      </c>
      <c r="E242" t="s">
        <v>444</v>
      </c>
      <c r="F242" t="str">
        <f>"2019-01-13 13:59:58"</f>
        <v>2019-01-13 13:59:58</v>
      </c>
    </row>
    <row r="243" spans="1:6" x14ac:dyDescent="0.3">
      <c r="A243" t="s">
        <v>445</v>
      </c>
      <c r="B243" t="str">
        <f>"13584098637"</f>
        <v>13584098637</v>
      </c>
      <c r="C243" t="str">
        <f>"320106198712032823"</f>
        <v>320106198712032823</v>
      </c>
      <c r="D243" t="s">
        <v>446</v>
      </c>
      <c r="E243" t="s">
        <v>447</v>
      </c>
      <c r="F243" t="str">
        <f>"2019-01-13 13:59:43"</f>
        <v>2019-01-13 13:59:43</v>
      </c>
    </row>
    <row r="244" spans="1:6" x14ac:dyDescent="0.3">
      <c r="A244" t="s">
        <v>448</v>
      </c>
      <c r="B244" t="str">
        <f>"18577381617"</f>
        <v>18577381617</v>
      </c>
      <c r="C244" t="str">
        <f>"45232319831113371X"</f>
        <v>45232319831113371X</v>
      </c>
      <c r="D244" t="s">
        <v>0</v>
      </c>
      <c r="E244" t="s">
        <v>0</v>
      </c>
      <c r="F244" t="str">
        <f>"2019-01-13 13:59:17"</f>
        <v>2019-01-13 13:59:17</v>
      </c>
    </row>
    <row r="245" spans="1:6" x14ac:dyDescent="0.3">
      <c r="A245" t="s">
        <v>449</v>
      </c>
      <c r="B245" t="str">
        <f>"15939212335"</f>
        <v>15939212335</v>
      </c>
      <c r="C245" t="str">
        <f>"410603199103210027"</f>
        <v>410603199103210027</v>
      </c>
      <c r="D245" t="s">
        <v>450</v>
      </c>
      <c r="E245" t="s">
        <v>451</v>
      </c>
      <c r="F245" t="str">
        <f>"2019-01-13 13:59:12"</f>
        <v>2019-01-13 13:59:12</v>
      </c>
    </row>
    <row r="246" spans="1:6" x14ac:dyDescent="0.3">
      <c r="A246" t="s">
        <v>0</v>
      </c>
      <c r="B246" t="str">
        <f>"18059433331"</f>
        <v>18059433331</v>
      </c>
      <c r="C246" t="s">
        <v>0</v>
      </c>
      <c r="D246" t="s">
        <v>0</v>
      </c>
      <c r="E246" t="s">
        <v>0</v>
      </c>
      <c r="F246" t="str">
        <f>"2019-01-13 13:57:53"</f>
        <v>2019-01-13 13:57:53</v>
      </c>
    </row>
    <row r="247" spans="1:6" x14ac:dyDescent="0.3">
      <c r="A247" t="s">
        <v>452</v>
      </c>
      <c r="B247" t="str">
        <f>"13638589805"</f>
        <v>13638589805</v>
      </c>
      <c r="C247" t="str">
        <f>"520202197711183091"</f>
        <v>520202197711183091</v>
      </c>
      <c r="D247" t="s">
        <v>0</v>
      </c>
      <c r="E247" t="s">
        <v>0</v>
      </c>
      <c r="F247" t="str">
        <f>"2019-01-13 13:55:08"</f>
        <v>2019-01-13 13:55:08</v>
      </c>
    </row>
    <row r="248" spans="1:6" x14ac:dyDescent="0.3">
      <c r="A248" t="s">
        <v>453</v>
      </c>
      <c r="B248" t="str">
        <f>"13978841073"</f>
        <v>13978841073</v>
      </c>
      <c r="C248" t="str">
        <f>"452122198309051822"</f>
        <v>452122198309051822</v>
      </c>
      <c r="D248" t="s">
        <v>454</v>
      </c>
      <c r="E248" t="s">
        <v>455</v>
      </c>
      <c r="F248" t="str">
        <f>"2019-01-13 13:54:53"</f>
        <v>2019-01-13 13:54:53</v>
      </c>
    </row>
    <row r="249" spans="1:6" x14ac:dyDescent="0.3">
      <c r="A249" t="s">
        <v>456</v>
      </c>
      <c r="B249" t="str">
        <f>"13073776757"</f>
        <v>13073776757</v>
      </c>
      <c r="C249" t="str">
        <f>"410105197911281639"</f>
        <v>410105197911281639</v>
      </c>
      <c r="D249" t="s">
        <v>0</v>
      </c>
      <c r="E249" t="s">
        <v>0</v>
      </c>
      <c r="F249" t="str">
        <f>"2019-01-13 13:54:28"</f>
        <v>2019-01-13 13:54:28</v>
      </c>
    </row>
    <row r="250" spans="1:6" x14ac:dyDescent="0.3">
      <c r="A250" t="s">
        <v>457</v>
      </c>
      <c r="B250" t="str">
        <f>"15336100940"</f>
        <v>15336100940</v>
      </c>
      <c r="C250" t="str">
        <f>"610431198610180616"</f>
        <v>610431198610180616</v>
      </c>
      <c r="D250" t="s">
        <v>458</v>
      </c>
      <c r="E250" t="s">
        <v>459</v>
      </c>
      <c r="F250" t="str">
        <f>"2019-01-13 13:50:48"</f>
        <v>2019-01-13 13:50:48</v>
      </c>
    </row>
    <row r="251" spans="1:6" x14ac:dyDescent="0.3">
      <c r="A251" t="s">
        <v>0</v>
      </c>
      <c r="B251" t="str">
        <f>"18645788660"</f>
        <v>18645788660</v>
      </c>
      <c r="C251" t="s">
        <v>0</v>
      </c>
      <c r="D251" t="s">
        <v>0</v>
      </c>
      <c r="E251" t="s">
        <v>0</v>
      </c>
      <c r="F251" t="str">
        <f>"2019-01-13 13:48:57"</f>
        <v>2019-01-13 13:48:57</v>
      </c>
    </row>
    <row r="252" spans="1:6" x14ac:dyDescent="0.3">
      <c r="A252" t="s">
        <v>0</v>
      </c>
      <c r="B252" t="str">
        <f>"13547323289"</f>
        <v>13547323289</v>
      </c>
      <c r="C252" t="s">
        <v>0</v>
      </c>
      <c r="D252" t="s">
        <v>0</v>
      </c>
      <c r="E252" t="s">
        <v>0</v>
      </c>
      <c r="F252" t="str">
        <f>"2019-01-13 13:48:26"</f>
        <v>2019-01-13 13:48:26</v>
      </c>
    </row>
    <row r="253" spans="1:6" x14ac:dyDescent="0.3">
      <c r="A253" t="s">
        <v>460</v>
      </c>
      <c r="B253" t="str">
        <f>"18760281288"</f>
        <v>18760281288</v>
      </c>
      <c r="C253" t="str">
        <f>"350425197712241824"</f>
        <v>350425197712241824</v>
      </c>
      <c r="D253" t="s">
        <v>461</v>
      </c>
      <c r="E253" t="s">
        <v>462</v>
      </c>
      <c r="F253" t="str">
        <f>"2019-01-13 13:46:52"</f>
        <v>2019-01-13 13:46:52</v>
      </c>
    </row>
    <row r="254" spans="1:6" x14ac:dyDescent="0.3">
      <c r="A254" t="s">
        <v>463</v>
      </c>
      <c r="B254" t="str">
        <f>"13158991835"</f>
        <v>13158991835</v>
      </c>
      <c r="C254" t="str">
        <f>"460104199308130926"</f>
        <v>460104199308130926</v>
      </c>
      <c r="D254" t="s">
        <v>464</v>
      </c>
      <c r="E254" t="s">
        <v>465</v>
      </c>
      <c r="F254" t="str">
        <f>"2019-01-13 13:44:24"</f>
        <v>2019-01-13 13:44:24</v>
      </c>
    </row>
    <row r="255" spans="1:6" x14ac:dyDescent="0.3">
      <c r="A255" t="s">
        <v>0</v>
      </c>
      <c r="B255" t="str">
        <f>"18959068765"</f>
        <v>18959068765</v>
      </c>
      <c r="C255" t="s">
        <v>0</v>
      </c>
      <c r="D255" t="s">
        <v>0</v>
      </c>
      <c r="E255" t="s">
        <v>0</v>
      </c>
      <c r="F255" t="str">
        <f>"2019-01-13 13:42:39"</f>
        <v>2019-01-13 13:42:39</v>
      </c>
    </row>
    <row r="256" spans="1:6" x14ac:dyDescent="0.3">
      <c r="A256" t="s">
        <v>466</v>
      </c>
      <c r="B256" t="str">
        <f>"15830702639"</f>
        <v>15830702639</v>
      </c>
      <c r="C256" t="str">
        <f>"130683198610055033"</f>
        <v>130683198610055033</v>
      </c>
      <c r="D256" t="s">
        <v>467</v>
      </c>
      <c r="E256" t="s">
        <v>468</v>
      </c>
      <c r="F256" t="str">
        <f>"2019-01-13 13:38:19"</f>
        <v>2019-01-13 13:38:19</v>
      </c>
    </row>
    <row r="257" spans="1:6" x14ac:dyDescent="0.3">
      <c r="A257" t="s">
        <v>469</v>
      </c>
      <c r="B257" t="str">
        <f>"15879389410"</f>
        <v>15879389410</v>
      </c>
      <c r="C257" t="str">
        <f>"362330199203018999"</f>
        <v>362330199203018999</v>
      </c>
      <c r="D257" t="s">
        <v>470</v>
      </c>
      <c r="E257" t="s">
        <v>471</v>
      </c>
      <c r="F257" t="str">
        <f>"2019-01-13 13:38:06"</f>
        <v>2019-01-13 13:38:06</v>
      </c>
    </row>
    <row r="258" spans="1:6" x14ac:dyDescent="0.3">
      <c r="A258" t="s">
        <v>472</v>
      </c>
      <c r="B258" t="str">
        <f>"18856130519"</f>
        <v>18856130519</v>
      </c>
      <c r="C258" t="str">
        <f>"342222199510210439"</f>
        <v>342222199510210439</v>
      </c>
      <c r="D258" t="s">
        <v>473</v>
      </c>
      <c r="E258" t="s">
        <v>474</v>
      </c>
      <c r="F258" t="str">
        <f>"2019-01-13 13:36:39"</f>
        <v>2019-01-13 13:36:39</v>
      </c>
    </row>
    <row r="259" spans="1:6" x14ac:dyDescent="0.3">
      <c r="A259" t="s">
        <v>475</v>
      </c>
      <c r="B259" t="str">
        <f>"13114111071"</f>
        <v>13114111071</v>
      </c>
      <c r="C259" t="str">
        <f>"532225199401041511"</f>
        <v>532225199401041511</v>
      </c>
      <c r="D259" t="s">
        <v>476</v>
      </c>
      <c r="E259" t="s">
        <v>477</v>
      </c>
      <c r="F259" t="str">
        <f>"2019-01-13 13:36:13"</f>
        <v>2019-01-13 13:36:13</v>
      </c>
    </row>
    <row r="260" spans="1:6" x14ac:dyDescent="0.3">
      <c r="A260" t="s">
        <v>0</v>
      </c>
      <c r="B260" t="str">
        <f>"13195546307"</f>
        <v>13195546307</v>
      </c>
      <c r="C260" t="s">
        <v>0</v>
      </c>
      <c r="D260" t="s">
        <v>0</v>
      </c>
      <c r="E260" t="s">
        <v>0</v>
      </c>
      <c r="F260" t="str">
        <f>"2019-01-13 13:36:09"</f>
        <v>2019-01-13 13:36:09</v>
      </c>
    </row>
    <row r="261" spans="1:6" x14ac:dyDescent="0.3">
      <c r="A261" t="s">
        <v>0</v>
      </c>
      <c r="B261" t="str">
        <f>"18898317613"</f>
        <v>18898317613</v>
      </c>
      <c r="C261" t="s">
        <v>0</v>
      </c>
      <c r="D261" t="s">
        <v>0</v>
      </c>
      <c r="E261" t="s">
        <v>0</v>
      </c>
      <c r="F261" t="str">
        <f>"2019-01-13 13:35:40"</f>
        <v>2019-01-13 13:35:40</v>
      </c>
    </row>
    <row r="262" spans="1:6" x14ac:dyDescent="0.3">
      <c r="A262" t="s">
        <v>478</v>
      </c>
      <c r="B262" t="str">
        <f>"18049515733"</f>
        <v>18049515733</v>
      </c>
      <c r="C262" t="str">
        <f>"610115198105184791"</f>
        <v>610115198105184791</v>
      </c>
      <c r="D262" t="s">
        <v>479</v>
      </c>
      <c r="E262" t="s">
        <v>480</v>
      </c>
      <c r="F262" t="str">
        <f>"2019-01-13 13:32:48"</f>
        <v>2019-01-13 13:32:48</v>
      </c>
    </row>
    <row r="263" spans="1:6" x14ac:dyDescent="0.3">
      <c r="A263" t="s">
        <v>481</v>
      </c>
      <c r="B263" t="str">
        <f>"18195222001"</f>
        <v>18195222001</v>
      </c>
      <c r="C263" t="str">
        <f>"642224199401020031"</f>
        <v>642224199401020031</v>
      </c>
      <c r="D263" t="s">
        <v>482</v>
      </c>
      <c r="E263" t="s">
        <v>483</v>
      </c>
      <c r="F263" t="str">
        <f>"2019-01-13 13:26:11"</f>
        <v>2019-01-13 13:26:11</v>
      </c>
    </row>
    <row r="264" spans="1:6" x14ac:dyDescent="0.3">
      <c r="A264" t="s">
        <v>484</v>
      </c>
      <c r="B264" t="str">
        <f>"15808348817"</f>
        <v>15808348817</v>
      </c>
      <c r="C264" t="str">
        <f>"513426199205042220"</f>
        <v>513426199205042220</v>
      </c>
      <c r="D264" t="s">
        <v>485</v>
      </c>
      <c r="E264" t="s">
        <v>486</v>
      </c>
      <c r="F264" t="str">
        <f>"2019-01-13 13:25:11"</f>
        <v>2019-01-13 13:25:11</v>
      </c>
    </row>
    <row r="265" spans="1:6" x14ac:dyDescent="0.3">
      <c r="A265" t="s">
        <v>487</v>
      </c>
      <c r="B265" t="str">
        <f>"18356996040"</f>
        <v>18356996040</v>
      </c>
      <c r="C265" t="str">
        <f>"340207198706150618"</f>
        <v>340207198706150618</v>
      </c>
      <c r="D265" t="s">
        <v>488</v>
      </c>
      <c r="E265" t="s">
        <v>489</v>
      </c>
      <c r="F265" t="str">
        <f>"2019-01-13 13:24:50"</f>
        <v>2019-01-13 13:24:50</v>
      </c>
    </row>
    <row r="266" spans="1:6" x14ac:dyDescent="0.3">
      <c r="A266" t="s">
        <v>490</v>
      </c>
      <c r="B266" t="str">
        <f>"18743225666"</f>
        <v>18743225666</v>
      </c>
      <c r="C266" t="str">
        <f>"220223198007295415"</f>
        <v>220223198007295415</v>
      </c>
      <c r="D266" t="s">
        <v>491</v>
      </c>
      <c r="E266" t="s">
        <v>492</v>
      </c>
      <c r="F266" t="str">
        <f>"2019-01-13 13:15:05"</f>
        <v>2019-01-13 13:15:05</v>
      </c>
    </row>
    <row r="267" spans="1:6" x14ac:dyDescent="0.3">
      <c r="A267" t="s">
        <v>493</v>
      </c>
      <c r="B267" t="str">
        <f>"13994854479"</f>
        <v>13994854479</v>
      </c>
      <c r="C267" t="str">
        <f>"342224198608140991"</f>
        <v>342224198608140991</v>
      </c>
      <c r="D267" t="s">
        <v>494</v>
      </c>
      <c r="E267" t="s">
        <v>495</v>
      </c>
      <c r="F267" t="str">
        <f>"2019-01-13 12:56:39"</f>
        <v>2019-01-13 12:56:39</v>
      </c>
    </row>
    <row r="268" spans="1:6" x14ac:dyDescent="0.3">
      <c r="A268" t="s">
        <v>496</v>
      </c>
      <c r="B268" t="str">
        <f>"15932894948"</f>
        <v>15932894948</v>
      </c>
      <c r="C268" t="str">
        <f>"360311199507204538"</f>
        <v>360311199507204538</v>
      </c>
      <c r="D268" t="s">
        <v>497</v>
      </c>
      <c r="E268" t="s">
        <v>498</v>
      </c>
      <c r="F268" t="str">
        <f>"2019-01-13 12:53:15"</f>
        <v>2019-01-13 12:53:15</v>
      </c>
    </row>
    <row r="269" spans="1:6" x14ac:dyDescent="0.3">
      <c r="A269" t="s">
        <v>499</v>
      </c>
      <c r="B269" t="str">
        <f>"18663029887"</f>
        <v>18663029887</v>
      </c>
      <c r="C269" t="str">
        <f>"371524198910243634"</f>
        <v>371524198910243634</v>
      </c>
      <c r="D269" t="s">
        <v>500</v>
      </c>
      <c r="E269" t="s">
        <v>501</v>
      </c>
      <c r="F269" t="str">
        <f>"2019-01-13 12:51:58"</f>
        <v>2019-01-13 12:51:58</v>
      </c>
    </row>
    <row r="270" spans="1:6" x14ac:dyDescent="0.3">
      <c r="A270" t="s">
        <v>0</v>
      </c>
      <c r="B270" t="str">
        <f>"18726834819"</f>
        <v>18726834819</v>
      </c>
      <c r="C270" t="s">
        <v>0</v>
      </c>
      <c r="D270" t="s">
        <v>0</v>
      </c>
      <c r="E270" t="s">
        <v>0</v>
      </c>
      <c r="F270" t="str">
        <f>"2019-01-13 12:50:50"</f>
        <v>2019-01-13 12:50:50</v>
      </c>
    </row>
    <row r="271" spans="1:6" x14ac:dyDescent="0.3">
      <c r="A271" t="s">
        <v>0</v>
      </c>
      <c r="B271" t="str">
        <f>"18660932077"</f>
        <v>18660932077</v>
      </c>
      <c r="C271" t="s">
        <v>0</v>
      </c>
      <c r="D271" t="s">
        <v>0</v>
      </c>
      <c r="E271" t="s">
        <v>0</v>
      </c>
      <c r="F271" t="str">
        <f>"2019-01-13 12:33:13"</f>
        <v>2019-01-13 12:33:13</v>
      </c>
    </row>
    <row r="272" spans="1:6" x14ac:dyDescent="0.3">
      <c r="A272" t="s">
        <v>502</v>
      </c>
      <c r="B272" t="str">
        <f>"13127777787"</f>
        <v>13127777787</v>
      </c>
      <c r="C272" t="str">
        <f>"31010819860205001X"</f>
        <v>31010819860205001X</v>
      </c>
      <c r="D272" t="s">
        <v>503</v>
      </c>
      <c r="E272" t="s">
        <v>504</v>
      </c>
      <c r="F272" t="str">
        <f>"2019-01-13 12:30:17"</f>
        <v>2019-01-13 12:30:17</v>
      </c>
    </row>
    <row r="273" spans="1:6" x14ac:dyDescent="0.3">
      <c r="A273" t="s">
        <v>505</v>
      </c>
      <c r="B273" t="str">
        <f>"18790438300"</f>
        <v>18790438300</v>
      </c>
      <c r="C273" t="str">
        <f>"411502199303048051"</f>
        <v>411502199303048051</v>
      </c>
      <c r="D273" t="s">
        <v>506</v>
      </c>
      <c r="E273" t="s">
        <v>507</v>
      </c>
      <c r="F273" t="str">
        <f>"2019-01-13 12:24:57"</f>
        <v>2019-01-13 12:24:57</v>
      </c>
    </row>
    <row r="274" spans="1:6" x14ac:dyDescent="0.3">
      <c r="A274" t="s">
        <v>508</v>
      </c>
      <c r="B274" t="str">
        <f>"13332322980"</f>
        <v>13332322980</v>
      </c>
      <c r="C274" t="str">
        <f>"210905197605150012"</f>
        <v>210905197605150012</v>
      </c>
      <c r="D274" t="s">
        <v>509</v>
      </c>
      <c r="E274" t="s">
        <v>510</v>
      </c>
      <c r="F274" t="str">
        <f>"2019-01-13 12:21:34"</f>
        <v>2019-01-13 12:21:34</v>
      </c>
    </row>
    <row r="275" spans="1:6" x14ac:dyDescent="0.3">
      <c r="A275" t="s">
        <v>0</v>
      </c>
      <c r="B275" t="str">
        <f>"13921814189"</f>
        <v>13921814189</v>
      </c>
      <c r="C275" t="s">
        <v>0</v>
      </c>
      <c r="D275" t="s">
        <v>0</v>
      </c>
      <c r="E275" t="s">
        <v>0</v>
      </c>
      <c r="F275" t="str">
        <f>"2019-01-13 12:21:07"</f>
        <v>2019-01-13 12:21:07</v>
      </c>
    </row>
    <row r="276" spans="1:6" x14ac:dyDescent="0.3">
      <c r="A276" t="s">
        <v>511</v>
      </c>
      <c r="B276" t="str">
        <f>"15083716856"</f>
        <v>15083716856</v>
      </c>
      <c r="C276" t="str">
        <f>"362133197102051916"</f>
        <v>362133197102051916</v>
      </c>
      <c r="D276" t="s">
        <v>0</v>
      </c>
      <c r="E276" t="s">
        <v>0</v>
      </c>
      <c r="F276" t="str">
        <f>"2019-01-13 12:12:31"</f>
        <v>2019-01-13 12:12:31</v>
      </c>
    </row>
    <row r="277" spans="1:6" x14ac:dyDescent="0.3">
      <c r="A277" t="s">
        <v>512</v>
      </c>
      <c r="B277" t="str">
        <f>"13782831152"</f>
        <v>13782831152</v>
      </c>
      <c r="C277" t="str">
        <f>"410821198402062043"</f>
        <v>410821198402062043</v>
      </c>
      <c r="D277" t="s">
        <v>513</v>
      </c>
      <c r="E277" t="s">
        <v>514</v>
      </c>
      <c r="F277" t="str">
        <f>"2019-01-13 12:09:53"</f>
        <v>2019-01-13 12:09:53</v>
      </c>
    </row>
    <row r="278" spans="1:6" x14ac:dyDescent="0.3">
      <c r="A278" t="s">
        <v>515</v>
      </c>
      <c r="B278" t="str">
        <f>"15889914401"</f>
        <v>15889914401</v>
      </c>
      <c r="C278" t="str">
        <f>"440111198005131230"</f>
        <v>440111198005131230</v>
      </c>
      <c r="D278" t="s">
        <v>516</v>
      </c>
      <c r="E278" t="s">
        <v>517</v>
      </c>
      <c r="F278" t="str">
        <f>"2019-01-13 12:06:58"</f>
        <v>2019-01-13 12:06:58</v>
      </c>
    </row>
    <row r="279" spans="1:6" x14ac:dyDescent="0.3">
      <c r="A279" t="s">
        <v>518</v>
      </c>
      <c r="B279" t="str">
        <f>"13351103104"</f>
        <v>13351103104</v>
      </c>
      <c r="C279" t="str">
        <f>"230506199110170932"</f>
        <v>230506199110170932</v>
      </c>
      <c r="D279" t="s">
        <v>519</v>
      </c>
      <c r="E279" t="s">
        <v>520</v>
      </c>
      <c r="F279" t="str">
        <f>"2019-01-13 12:06:40"</f>
        <v>2019-01-13 12:06:40</v>
      </c>
    </row>
    <row r="280" spans="1:6" x14ac:dyDescent="0.3">
      <c r="A280" t="s">
        <v>521</v>
      </c>
      <c r="B280" t="str">
        <f>"15024827107"</f>
        <v>15024827107</v>
      </c>
      <c r="C280" t="str">
        <f>"152221199312201222"</f>
        <v>152221199312201222</v>
      </c>
      <c r="D280" t="s">
        <v>522</v>
      </c>
      <c r="E280" t="s">
        <v>523</v>
      </c>
      <c r="F280" t="str">
        <f>"2019-01-13 12:04:33"</f>
        <v>2019-01-13 12:04:33</v>
      </c>
    </row>
    <row r="281" spans="1:6" x14ac:dyDescent="0.3">
      <c r="A281" t="s">
        <v>524</v>
      </c>
      <c r="B281" t="str">
        <f>"13767087834"</f>
        <v>13767087834</v>
      </c>
      <c r="C281" t="str">
        <f>"362202199806204431"</f>
        <v>362202199806204431</v>
      </c>
      <c r="D281" t="s">
        <v>525</v>
      </c>
      <c r="E281" t="s">
        <v>526</v>
      </c>
      <c r="F281" t="str">
        <f>"2019-01-13 12:03:22"</f>
        <v>2019-01-13 12:03:22</v>
      </c>
    </row>
    <row r="282" spans="1:6" x14ac:dyDescent="0.3">
      <c r="A282" t="s">
        <v>0</v>
      </c>
      <c r="B282" t="str">
        <f>"15287776779"</f>
        <v>15287776779</v>
      </c>
      <c r="C282" t="s">
        <v>0</v>
      </c>
      <c r="D282" t="s">
        <v>0</v>
      </c>
      <c r="E282" t="s">
        <v>0</v>
      </c>
      <c r="F282" t="str">
        <f>"2019-01-13 12:01:28"</f>
        <v>2019-01-13 12:01:28</v>
      </c>
    </row>
    <row r="283" spans="1:6" x14ac:dyDescent="0.3">
      <c r="A283" t="s">
        <v>0</v>
      </c>
      <c r="B283" t="str">
        <f>"18654790967"</f>
        <v>18654790967</v>
      </c>
      <c r="C283" t="s">
        <v>0</v>
      </c>
      <c r="D283" t="s">
        <v>0</v>
      </c>
      <c r="E283" t="s">
        <v>0</v>
      </c>
      <c r="F283" t="str">
        <f>"2019-01-13 11:59:35"</f>
        <v>2019-01-13 11:59:35</v>
      </c>
    </row>
    <row r="284" spans="1:6" x14ac:dyDescent="0.3">
      <c r="A284" t="s">
        <v>0</v>
      </c>
      <c r="B284" t="str">
        <f>"15958337886"</f>
        <v>15958337886</v>
      </c>
      <c r="C284" t="s">
        <v>0</v>
      </c>
      <c r="D284" t="s">
        <v>0</v>
      </c>
      <c r="E284" t="s">
        <v>0</v>
      </c>
      <c r="F284" t="str">
        <f>"2019-01-13 11:58:40"</f>
        <v>2019-01-13 11:58:40</v>
      </c>
    </row>
    <row r="285" spans="1:6" x14ac:dyDescent="0.3">
      <c r="A285" t="s">
        <v>527</v>
      </c>
      <c r="B285" t="str">
        <f>"15934502208"</f>
        <v>15934502208</v>
      </c>
      <c r="C285" t="str">
        <f>"141031199306170019"</f>
        <v>141031199306170019</v>
      </c>
      <c r="D285" t="s">
        <v>528</v>
      </c>
      <c r="E285" t="s">
        <v>529</v>
      </c>
      <c r="F285" t="str">
        <f>"2019-01-13 11:58:27"</f>
        <v>2019-01-13 11:58:27</v>
      </c>
    </row>
    <row r="286" spans="1:6" x14ac:dyDescent="0.3">
      <c r="A286" t="s">
        <v>0</v>
      </c>
      <c r="B286" t="str">
        <f>"13765941294"</f>
        <v>13765941294</v>
      </c>
      <c r="C286" t="s">
        <v>0</v>
      </c>
      <c r="D286" t="s">
        <v>0</v>
      </c>
      <c r="E286" t="s">
        <v>0</v>
      </c>
      <c r="F286" t="str">
        <f>"2019-01-13 11:56:55"</f>
        <v>2019-01-13 11:56:55</v>
      </c>
    </row>
    <row r="287" spans="1:6" x14ac:dyDescent="0.3">
      <c r="A287" t="s">
        <v>0</v>
      </c>
      <c r="B287" t="str">
        <f>"13662288858"</f>
        <v>13662288858</v>
      </c>
      <c r="C287" t="s">
        <v>0</v>
      </c>
      <c r="D287" t="s">
        <v>0</v>
      </c>
      <c r="E287" t="s">
        <v>0</v>
      </c>
      <c r="F287" t="str">
        <f>"2019-01-13 11:53:31"</f>
        <v>2019-01-13 11:53:31</v>
      </c>
    </row>
    <row r="288" spans="1:6" x14ac:dyDescent="0.3">
      <c r="A288" t="s">
        <v>0</v>
      </c>
      <c r="B288" t="str">
        <f>"18880465132"</f>
        <v>18880465132</v>
      </c>
      <c r="C288" t="s">
        <v>0</v>
      </c>
      <c r="D288" t="s">
        <v>0</v>
      </c>
      <c r="E288" t="s">
        <v>0</v>
      </c>
      <c r="F288" t="str">
        <f>"2019-01-13 11:53:17"</f>
        <v>2019-01-13 11:53:17</v>
      </c>
    </row>
    <row r="289" spans="1:6" x14ac:dyDescent="0.3">
      <c r="A289" t="s">
        <v>0</v>
      </c>
      <c r="B289" t="str">
        <f>"18256418889"</f>
        <v>18256418889</v>
      </c>
      <c r="C289" t="s">
        <v>0</v>
      </c>
      <c r="D289" t="s">
        <v>0</v>
      </c>
      <c r="E289" t="s">
        <v>0</v>
      </c>
      <c r="F289" t="str">
        <f>"2019-01-13 11:52:58"</f>
        <v>2019-01-13 11:52:58</v>
      </c>
    </row>
    <row r="290" spans="1:6" x14ac:dyDescent="0.3">
      <c r="A290" t="s">
        <v>530</v>
      </c>
      <c r="B290" t="str">
        <f>"18737333300"</f>
        <v>18737333300</v>
      </c>
      <c r="C290" t="str">
        <f>"410711198406240523"</f>
        <v>410711198406240523</v>
      </c>
      <c r="D290" t="s">
        <v>531</v>
      </c>
      <c r="E290" t="s">
        <v>532</v>
      </c>
      <c r="F290" t="str">
        <f>"2019-01-13 11:51:59"</f>
        <v>2019-01-13 11:51:59</v>
      </c>
    </row>
    <row r="291" spans="1:6" x14ac:dyDescent="0.3">
      <c r="A291" t="s">
        <v>0</v>
      </c>
      <c r="B291" t="str">
        <f>"18944674367"</f>
        <v>18944674367</v>
      </c>
      <c r="C291" t="s">
        <v>0</v>
      </c>
      <c r="D291" t="s">
        <v>0</v>
      </c>
      <c r="E291" t="s">
        <v>0</v>
      </c>
      <c r="F291" t="str">
        <f>"2019-01-13 11:51:07"</f>
        <v>2019-01-13 11:51:07</v>
      </c>
    </row>
    <row r="292" spans="1:6" x14ac:dyDescent="0.3">
      <c r="A292" t="s">
        <v>0</v>
      </c>
      <c r="B292" t="str">
        <f>"15767043438"</f>
        <v>15767043438</v>
      </c>
      <c r="C292" t="s">
        <v>0</v>
      </c>
      <c r="D292" t="s">
        <v>0</v>
      </c>
      <c r="E292" t="s">
        <v>0</v>
      </c>
      <c r="F292" t="str">
        <f>"2019-01-13 11:49:39"</f>
        <v>2019-01-13 11:49:39</v>
      </c>
    </row>
    <row r="293" spans="1:6" x14ac:dyDescent="0.3">
      <c r="A293" t="s">
        <v>533</v>
      </c>
      <c r="B293" t="str">
        <f>"15610642338"</f>
        <v>15610642338</v>
      </c>
      <c r="C293" t="str">
        <f>"370782199503221110"</f>
        <v>370782199503221110</v>
      </c>
      <c r="D293" t="s">
        <v>534</v>
      </c>
      <c r="E293" t="s">
        <v>535</v>
      </c>
      <c r="F293" t="str">
        <f>"2019-01-13 11:49:38"</f>
        <v>2019-01-13 11:49:38</v>
      </c>
    </row>
    <row r="294" spans="1:6" x14ac:dyDescent="0.3">
      <c r="A294" t="s">
        <v>536</v>
      </c>
      <c r="B294" t="str">
        <f>"15916903320"</f>
        <v>15916903320</v>
      </c>
      <c r="C294" t="str">
        <f>"530302199206082413"</f>
        <v>530302199206082413</v>
      </c>
      <c r="D294" t="s">
        <v>537</v>
      </c>
      <c r="E294" t="s">
        <v>538</v>
      </c>
      <c r="F294" t="str">
        <f>"2019-01-13 11:48:22"</f>
        <v>2019-01-13 11:48:22</v>
      </c>
    </row>
    <row r="295" spans="1:6" x14ac:dyDescent="0.3">
      <c r="A295" t="s">
        <v>539</v>
      </c>
      <c r="B295" t="str">
        <f>"15082539213"</f>
        <v>15082539213</v>
      </c>
      <c r="C295" t="str">
        <f>"510923199909062700"</f>
        <v>510923199909062700</v>
      </c>
      <c r="D295" t="s">
        <v>540</v>
      </c>
      <c r="E295" t="s">
        <v>541</v>
      </c>
      <c r="F295" t="str">
        <f>"2019-01-13 11:45:21"</f>
        <v>2019-01-13 11:45:21</v>
      </c>
    </row>
    <row r="296" spans="1:6" x14ac:dyDescent="0.3">
      <c r="A296" t="s">
        <v>542</v>
      </c>
      <c r="B296" t="str">
        <f>"18873846560"</f>
        <v>18873846560</v>
      </c>
      <c r="C296" t="str">
        <f>"432524198709096211"</f>
        <v>432524198709096211</v>
      </c>
      <c r="D296" t="s">
        <v>543</v>
      </c>
      <c r="E296" t="s">
        <v>544</v>
      </c>
      <c r="F296" t="str">
        <f>"2019-01-13 11:42:05"</f>
        <v>2019-01-13 11:42:05</v>
      </c>
    </row>
    <row r="297" spans="1:6" x14ac:dyDescent="0.3">
      <c r="A297" t="s">
        <v>0</v>
      </c>
      <c r="B297" t="str">
        <f>"15104702013"</f>
        <v>15104702013</v>
      </c>
      <c r="C297" t="s">
        <v>0</v>
      </c>
      <c r="D297" t="s">
        <v>0</v>
      </c>
      <c r="E297" t="s">
        <v>0</v>
      </c>
      <c r="F297" t="str">
        <f>"2019-01-13 11:41:48"</f>
        <v>2019-01-13 11:41:48</v>
      </c>
    </row>
    <row r="298" spans="1:6" x14ac:dyDescent="0.3">
      <c r="A298" t="s">
        <v>0</v>
      </c>
      <c r="B298" t="str">
        <f>"13805644439"</f>
        <v>13805644439</v>
      </c>
      <c r="C298" t="s">
        <v>0</v>
      </c>
      <c r="D298" t="s">
        <v>0</v>
      </c>
      <c r="E298" t="s">
        <v>0</v>
      </c>
      <c r="F298" t="str">
        <f>"2019-01-13 11:41:25"</f>
        <v>2019-01-13 11:41:25</v>
      </c>
    </row>
    <row r="299" spans="1:6" x14ac:dyDescent="0.3">
      <c r="A299" t="s">
        <v>545</v>
      </c>
      <c r="B299" t="str">
        <f>"18780343888"</f>
        <v>18780343888</v>
      </c>
      <c r="C299" t="str">
        <f>"510702197411030419"</f>
        <v>510702197411030419</v>
      </c>
      <c r="D299" t="s">
        <v>546</v>
      </c>
      <c r="E299" t="s">
        <v>547</v>
      </c>
      <c r="F299" t="str">
        <f>"2019-01-13 11:39:16"</f>
        <v>2019-01-13 11:39:16</v>
      </c>
    </row>
    <row r="300" spans="1:6" x14ac:dyDescent="0.3">
      <c r="A300" t="s">
        <v>0</v>
      </c>
      <c r="B300" t="str">
        <f>"13588391155"</f>
        <v>13588391155</v>
      </c>
      <c r="C300" t="s">
        <v>0</v>
      </c>
      <c r="D300" t="s">
        <v>0</v>
      </c>
      <c r="E300" t="s">
        <v>0</v>
      </c>
      <c r="F300" t="str">
        <f>"2019-01-13 11:38:16"</f>
        <v>2019-01-13 11:38:16</v>
      </c>
    </row>
    <row r="301" spans="1:6" x14ac:dyDescent="0.3">
      <c r="A301" t="s">
        <v>548</v>
      </c>
      <c r="B301" t="str">
        <f>"15114136999"</f>
        <v>15114136999</v>
      </c>
      <c r="C301" t="str">
        <f>"210114196506060933"</f>
        <v>210114196506060933</v>
      </c>
      <c r="D301" t="s">
        <v>549</v>
      </c>
      <c r="E301" t="s">
        <v>549</v>
      </c>
      <c r="F301" t="str">
        <f>"2019-01-13 11:35:33"</f>
        <v>2019-01-13 11:35:33</v>
      </c>
    </row>
    <row r="302" spans="1:6" x14ac:dyDescent="0.3">
      <c r="A302" t="s">
        <v>550</v>
      </c>
      <c r="B302" t="str">
        <f>"18195530640"</f>
        <v>18195530640</v>
      </c>
      <c r="C302" t="str">
        <f>"642124196909192919"</f>
        <v>642124196909192919</v>
      </c>
      <c r="D302" t="s">
        <v>551</v>
      </c>
      <c r="E302" t="s">
        <v>552</v>
      </c>
      <c r="F302" t="str">
        <f>"2019-01-13 11:34:54"</f>
        <v>2019-01-13 11:34:54</v>
      </c>
    </row>
    <row r="303" spans="1:6" x14ac:dyDescent="0.3">
      <c r="A303" t="s">
        <v>0</v>
      </c>
      <c r="B303" t="str">
        <f>"13828810291"</f>
        <v>13828810291</v>
      </c>
      <c r="C303" t="s">
        <v>0</v>
      </c>
      <c r="D303" t="s">
        <v>0</v>
      </c>
      <c r="E303" t="s">
        <v>0</v>
      </c>
      <c r="F303" t="str">
        <f>"2019-01-13 11:31:29"</f>
        <v>2019-01-13 11:31:29</v>
      </c>
    </row>
    <row r="304" spans="1:6" x14ac:dyDescent="0.3">
      <c r="A304" t="s">
        <v>553</v>
      </c>
      <c r="B304" t="str">
        <f>"18058808740"</f>
        <v>18058808740</v>
      </c>
      <c r="C304" t="str">
        <f>"330182198601020019"</f>
        <v>330182198601020019</v>
      </c>
      <c r="D304" t="s">
        <v>554</v>
      </c>
      <c r="E304" t="s">
        <v>555</v>
      </c>
      <c r="F304" t="str">
        <f>"2019-01-13 11:30:42"</f>
        <v>2019-01-13 11:30:42</v>
      </c>
    </row>
    <row r="305" spans="1:6" x14ac:dyDescent="0.3">
      <c r="A305" t="s">
        <v>556</v>
      </c>
      <c r="B305" t="str">
        <f>"13289289120"</f>
        <v>13289289120</v>
      </c>
      <c r="C305" t="str">
        <f>"230225198211142015"</f>
        <v>230225198211142015</v>
      </c>
      <c r="D305" t="s">
        <v>557</v>
      </c>
      <c r="E305" t="s">
        <v>558</v>
      </c>
      <c r="F305" t="str">
        <f>"2019-01-13 11:29:03"</f>
        <v>2019-01-13 11:29:03</v>
      </c>
    </row>
    <row r="306" spans="1:6" x14ac:dyDescent="0.3">
      <c r="A306" t="s">
        <v>0</v>
      </c>
      <c r="B306" t="str">
        <f>"15704457247"</f>
        <v>15704457247</v>
      </c>
      <c r="C306" t="s">
        <v>0</v>
      </c>
      <c r="D306" t="s">
        <v>0</v>
      </c>
      <c r="E306" t="s">
        <v>0</v>
      </c>
      <c r="F306" t="str">
        <f>"2019-01-13 11:26:33"</f>
        <v>2019-01-13 11:26:33</v>
      </c>
    </row>
    <row r="307" spans="1:6" x14ac:dyDescent="0.3">
      <c r="A307" t="s">
        <v>0</v>
      </c>
      <c r="B307" t="str">
        <f>"13363802370"</f>
        <v>13363802370</v>
      </c>
      <c r="C307" t="s">
        <v>0</v>
      </c>
      <c r="D307" t="s">
        <v>0</v>
      </c>
      <c r="E307" t="s">
        <v>0</v>
      </c>
      <c r="F307" t="str">
        <f>"2019-01-13 11:26:27"</f>
        <v>2019-01-13 11:26:27</v>
      </c>
    </row>
    <row r="308" spans="1:6" x14ac:dyDescent="0.3">
      <c r="A308" t="s">
        <v>0</v>
      </c>
      <c r="B308" t="str">
        <f>"13766997272"</f>
        <v>13766997272</v>
      </c>
      <c r="C308" t="s">
        <v>0</v>
      </c>
      <c r="D308" t="s">
        <v>0</v>
      </c>
      <c r="E308" t="s">
        <v>0</v>
      </c>
      <c r="F308" t="str">
        <f>"2019-01-13 11:26:05"</f>
        <v>2019-01-13 11:26:05</v>
      </c>
    </row>
    <row r="309" spans="1:6" x14ac:dyDescent="0.3">
      <c r="A309" t="s">
        <v>0</v>
      </c>
      <c r="B309" t="str">
        <f>"15009430612"</f>
        <v>15009430612</v>
      </c>
      <c r="C309" t="s">
        <v>0</v>
      </c>
      <c r="D309" t="s">
        <v>0</v>
      </c>
      <c r="E309" t="s">
        <v>0</v>
      </c>
      <c r="F309" t="str">
        <f>"2019-01-13 11:25:33"</f>
        <v>2019-01-13 11:25:33</v>
      </c>
    </row>
    <row r="310" spans="1:6" x14ac:dyDescent="0.3">
      <c r="A310" t="s">
        <v>559</v>
      </c>
      <c r="B310" t="str">
        <f>"13590375744"</f>
        <v>13590375744</v>
      </c>
      <c r="C310" t="str">
        <f>"612324198708242013"</f>
        <v>612324198708242013</v>
      </c>
      <c r="D310" t="s">
        <v>560</v>
      </c>
      <c r="E310" t="s">
        <v>561</v>
      </c>
      <c r="F310" t="str">
        <f>"2019-01-13 11:24:28"</f>
        <v>2019-01-13 11:24:28</v>
      </c>
    </row>
    <row r="311" spans="1:6" x14ac:dyDescent="0.3">
      <c r="A311" t="s">
        <v>562</v>
      </c>
      <c r="B311" t="str">
        <f>"15656099523"</f>
        <v>15656099523</v>
      </c>
      <c r="C311" t="str">
        <f>"522426199505058372"</f>
        <v>522426199505058372</v>
      </c>
      <c r="D311" t="s">
        <v>563</v>
      </c>
      <c r="E311" t="s">
        <v>564</v>
      </c>
      <c r="F311" t="str">
        <f>"2019-01-13 11:24:21"</f>
        <v>2019-01-13 11:24:21</v>
      </c>
    </row>
    <row r="312" spans="1:6" x14ac:dyDescent="0.3">
      <c r="A312" t="s">
        <v>565</v>
      </c>
      <c r="B312" t="str">
        <f>"13778932427"</f>
        <v>13778932427</v>
      </c>
      <c r="C312" t="str">
        <f>"511524198509220010"</f>
        <v>511524198509220010</v>
      </c>
      <c r="D312" t="s">
        <v>566</v>
      </c>
      <c r="E312" t="s">
        <v>567</v>
      </c>
      <c r="F312" t="str">
        <f>"2019-01-13 11:23:50"</f>
        <v>2019-01-13 11:23:50</v>
      </c>
    </row>
    <row r="313" spans="1:6" x14ac:dyDescent="0.3">
      <c r="A313" t="s">
        <v>568</v>
      </c>
      <c r="B313" t="str">
        <f>"15212012832"</f>
        <v>15212012832</v>
      </c>
      <c r="C313" t="str">
        <f>"341122198906084618"</f>
        <v>341122198906084618</v>
      </c>
      <c r="D313" t="s">
        <v>569</v>
      </c>
      <c r="E313" t="s">
        <v>570</v>
      </c>
      <c r="F313" t="str">
        <f>"2019-01-13 11:20:20"</f>
        <v>2019-01-13 11:20:20</v>
      </c>
    </row>
    <row r="314" spans="1:6" x14ac:dyDescent="0.3">
      <c r="A314" t="s">
        <v>0</v>
      </c>
      <c r="B314" t="str">
        <f>"18798744383"</f>
        <v>18798744383</v>
      </c>
      <c r="C314" t="s">
        <v>0</v>
      </c>
      <c r="D314" t="s">
        <v>0</v>
      </c>
      <c r="E314" t="s">
        <v>0</v>
      </c>
      <c r="F314" t="str">
        <f>"2019-01-13 11:20:04"</f>
        <v>2019-01-13 11:20:04</v>
      </c>
    </row>
    <row r="315" spans="1:6" x14ac:dyDescent="0.3">
      <c r="A315" t="s">
        <v>571</v>
      </c>
      <c r="B315" t="str">
        <f>"15071495724"</f>
        <v>15071495724</v>
      </c>
      <c r="C315" t="str">
        <f>"421125199008243318"</f>
        <v>421125199008243318</v>
      </c>
      <c r="D315" t="s">
        <v>572</v>
      </c>
      <c r="E315" t="s">
        <v>573</v>
      </c>
      <c r="F315" t="str">
        <f>"2019-01-13 11:17:30"</f>
        <v>2019-01-13 11:17:30</v>
      </c>
    </row>
    <row r="316" spans="1:6" x14ac:dyDescent="0.3">
      <c r="A316" t="s">
        <v>574</v>
      </c>
      <c r="B316" t="str">
        <f>"13707744382"</f>
        <v>13707744382</v>
      </c>
      <c r="C316" t="str">
        <f>"45048119950613081X"</f>
        <v>45048119950613081X</v>
      </c>
      <c r="D316" t="s">
        <v>0</v>
      </c>
      <c r="E316" t="s">
        <v>0</v>
      </c>
      <c r="F316" t="str">
        <f>"2019-01-13 11:17:19"</f>
        <v>2019-01-13 11:17:19</v>
      </c>
    </row>
    <row r="317" spans="1:6" x14ac:dyDescent="0.3">
      <c r="A317" t="s">
        <v>575</v>
      </c>
      <c r="B317" t="str">
        <f>"13718896011"</f>
        <v>13718896011</v>
      </c>
      <c r="C317" t="str">
        <f>"340821198111104313"</f>
        <v>340821198111104313</v>
      </c>
      <c r="D317" t="s">
        <v>576</v>
      </c>
      <c r="E317" t="s">
        <v>577</v>
      </c>
      <c r="F317" t="str">
        <f>"2019-01-13 11:17:07"</f>
        <v>2019-01-13 11:17:07</v>
      </c>
    </row>
    <row r="318" spans="1:6" x14ac:dyDescent="0.3">
      <c r="A318" t="s">
        <v>0</v>
      </c>
      <c r="B318" t="str">
        <f>"13453497142"</f>
        <v>13453497142</v>
      </c>
      <c r="C318" t="s">
        <v>0</v>
      </c>
      <c r="D318" t="s">
        <v>0</v>
      </c>
      <c r="E318" t="s">
        <v>0</v>
      </c>
      <c r="F318" t="str">
        <f>"2019-01-13 11:17:06"</f>
        <v>2019-01-13 11:17:06</v>
      </c>
    </row>
    <row r="319" spans="1:6" x14ac:dyDescent="0.3">
      <c r="A319" t="s">
        <v>0</v>
      </c>
      <c r="B319" t="str">
        <f>"13954089003"</f>
        <v>13954089003</v>
      </c>
      <c r="C319" t="s">
        <v>0</v>
      </c>
      <c r="D319" t="s">
        <v>0</v>
      </c>
      <c r="E319" t="s">
        <v>0</v>
      </c>
      <c r="F319" t="str">
        <f>"2019-01-13 11:14:25"</f>
        <v>2019-01-13 11:14:25</v>
      </c>
    </row>
    <row r="320" spans="1:6" x14ac:dyDescent="0.3">
      <c r="A320" t="s">
        <v>0</v>
      </c>
      <c r="B320" t="str">
        <f>"18120690333"</f>
        <v>18120690333</v>
      </c>
      <c r="C320" t="s">
        <v>0</v>
      </c>
      <c r="D320" t="s">
        <v>0</v>
      </c>
      <c r="E320" t="s">
        <v>0</v>
      </c>
      <c r="F320" t="str">
        <f>"2019-01-13 11:14:03"</f>
        <v>2019-01-13 11:14:03</v>
      </c>
    </row>
    <row r="321" spans="1:6" x14ac:dyDescent="0.3">
      <c r="A321" t="s">
        <v>0</v>
      </c>
      <c r="B321" t="str">
        <f>"13925554067"</f>
        <v>13925554067</v>
      </c>
      <c r="C321" t="s">
        <v>0</v>
      </c>
      <c r="D321" t="s">
        <v>0</v>
      </c>
      <c r="E321" t="s">
        <v>0</v>
      </c>
      <c r="F321" t="str">
        <f>"2019-01-13 11:13:36"</f>
        <v>2019-01-13 11:13:36</v>
      </c>
    </row>
    <row r="322" spans="1:6" x14ac:dyDescent="0.3">
      <c r="A322" t="s">
        <v>578</v>
      </c>
      <c r="B322" t="str">
        <f>"13704216028"</f>
        <v>13704216028</v>
      </c>
      <c r="C322" t="str">
        <f>"211323197403265023"</f>
        <v>211323197403265023</v>
      </c>
      <c r="D322" t="s">
        <v>579</v>
      </c>
      <c r="E322" t="s">
        <v>580</v>
      </c>
      <c r="F322" t="str">
        <f>"2019-01-13 11:13:25"</f>
        <v>2019-01-13 11:13:25</v>
      </c>
    </row>
    <row r="323" spans="1:6" x14ac:dyDescent="0.3">
      <c r="A323" t="s">
        <v>0</v>
      </c>
      <c r="B323" t="str">
        <f>"18395954209"</f>
        <v>18395954209</v>
      </c>
      <c r="C323" t="s">
        <v>0</v>
      </c>
      <c r="D323" t="s">
        <v>0</v>
      </c>
      <c r="E323" t="s">
        <v>0</v>
      </c>
      <c r="F323" t="str">
        <f>"2019-01-13 11:13:25"</f>
        <v>2019-01-13 11:13:25</v>
      </c>
    </row>
    <row r="324" spans="1:6" x14ac:dyDescent="0.3">
      <c r="A324" t="s">
        <v>581</v>
      </c>
      <c r="B324" t="str">
        <f>"13121055175"</f>
        <v>13121055175</v>
      </c>
      <c r="C324" t="str">
        <f>"210421198812011274"</f>
        <v>210421198812011274</v>
      </c>
      <c r="D324" t="s">
        <v>582</v>
      </c>
      <c r="E324" t="s">
        <v>583</v>
      </c>
      <c r="F324" t="str">
        <f>"2019-01-13 11:12:45"</f>
        <v>2019-01-13 11:12:45</v>
      </c>
    </row>
    <row r="325" spans="1:6" x14ac:dyDescent="0.3">
      <c r="A325" t="s">
        <v>0</v>
      </c>
      <c r="B325" t="str">
        <f>"15189792202"</f>
        <v>15189792202</v>
      </c>
      <c r="C325" t="s">
        <v>0</v>
      </c>
      <c r="D325" t="s">
        <v>0</v>
      </c>
      <c r="E325" t="s">
        <v>0</v>
      </c>
      <c r="F325" t="str">
        <f>"2019-01-13 11:11:56"</f>
        <v>2019-01-13 11:11:56</v>
      </c>
    </row>
    <row r="326" spans="1:6" x14ac:dyDescent="0.3">
      <c r="A326" t="s">
        <v>0</v>
      </c>
      <c r="B326" t="str">
        <f>"17851735838"</f>
        <v>17851735838</v>
      </c>
      <c r="C326" t="s">
        <v>0</v>
      </c>
      <c r="D326" t="s">
        <v>0</v>
      </c>
      <c r="E326" t="s">
        <v>0</v>
      </c>
      <c r="F326" t="str">
        <f>"2019-01-13 11:07:19"</f>
        <v>2019-01-13 11:07:19</v>
      </c>
    </row>
    <row r="327" spans="1:6" x14ac:dyDescent="0.3">
      <c r="A327" t="s">
        <v>0</v>
      </c>
      <c r="B327" t="str">
        <f>"18265626560"</f>
        <v>18265626560</v>
      </c>
      <c r="C327" t="s">
        <v>0</v>
      </c>
      <c r="D327" t="s">
        <v>0</v>
      </c>
      <c r="E327" t="s">
        <v>0</v>
      </c>
      <c r="F327" t="str">
        <f>"2019-01-13 11:07:17"</f>
        <v>2019-01-13 11:07:17</v>
      </c>
    </row>
    <row r="328" spans="1:6" x14ac:dyDescent="0.3">
      <c r="A328" t="s">
        <v>584</v>
      </c>
      <c r="B328" t="str">
        <f>"15588386270"</f>
        <v>15588386270</v>
      </c>
      <c r="C328" t="str">
        <f>"411330199104301514"</f>
        <v>411330199104301514</v>
      </c>
      <c r="D328" t="s">
        <v>585</v>
      </c>
      <c r="E328" t="s">
        <v>586</v>
      </c>
      <c r="F328" t="str">
        <f>"2019-01-13 11:07:13"</f>
        <v>2019-01-13 11:07:13</v>
      </c>
    </row>
    <row r="329" spans="1:6" x14ac:dyDescent="0.3">
      <c r="A329" t="s">
        <v>0</v>
      </c>
      <c r="B329" t="str">
        <f>"13899963697"</f>
        <v>13899963697</v>
      </c>
      <c r="C329" t="s">
        <v>0</v>
      </c>
      <c r="D329" t="s">
        <v>0</v>
      </c>
      <c r="E329" t="s">
        <v>0</v>
      </c>
      <c r="F329" t="str">
        <f>"2019-01-13 11:05:11"</f>
        <v>2019-01-13 11:05:11</v>
      </c>
    </row>
    <row r="330" spans="1:6" x14ac:dyDescent="0.3">
      <c r="A330" t="s">
        <v>587</v>
      </c>
      <c r="B330" t="str">
        <f>"15282382150"</f>
        <v>15282382150</v>
      </c>
      <c r="C330" t="str">
        <f>"51382319850916281X"</f>
        <v>51382319850916281X</v>
      </c>
      <c r="D330" t="s">
        <v>0</v>
      </c>
      <c r="E330" t="s">
        <v>0</v>
      </c>
      <c r="F330" t="str">
        <f>"2019-01-13 11:04:59"</f>
        <v>2019-01-13 11:04:59</v>
      </c>
    </row>
    <row r="331" spans="1:6" x14ac:dyDescent="0.3">
      <c r="A331" t="s">
        <v>0</v>
      </c>
      <c r="B331" t="str">
        <f>"18390070009"</f>
        <v>18390070009</v>
      </c>
      <c r="C331" t="s">
        <v>0</v>
      </c>
      <c r="D331" t="s">
        <v>0</v>
      </c>
      <c r="E331" t="s">
        <v>0</v>
      </c>
      <c r="F331" t="str">
        <f>"2019-01-13 11:03:15"</f>
        <v>2019-01-13 11:03:15</v>
      </c>
    </row>
    <row r="332" spans="1:6" x14ac:dyDescent="0.3">
      <c r="A332" t="s">
        <v>588</v>
      </c>
      <c r="B332" t="str">
        <f>"18785960132"</f>
        <v>18785960132</v>
      </c>
      <c r="C332" t="str">
        <f>"520202197604187927"</f>
        <v>520202197604187927</v>
      </c>
      <c r="D332" t="s">
        <v>0</v>
      </c>
      <c r="E332" t="s">
        <v>0</v>
      </c>
      <c r="F332" t="str">
        <f>"2019-01-13 11:02:52"</f>
        <v>2019-01-13 11:02:52</v>
      </c>
    </row>
    <row r="333" spans="1:6" x14ac:dyDescent="0.3">
      <c r="A333" t="s">
        <v>0</v>
      </c>
      <c r="B333" t="str">
        <f>"13942248509"</f>
        <v>13942248509</v>
      </c>
      <c r="C333" t="s">
        <v>0</v>
      </c>
      <c r="D333" t="s">
        <v>0</v>
      </c>
      <c r="E333" t="s">
        <v>0</v>
      </c>
      <c r="F333" t="str">
        <f>"2019-01-13 11:00:35"</f>
        <v>2019-01-13 11:00:35</v>
      </c>
    </row>
    <row r="334" spans="1:6" x14ac:dyDescent="0.3">
      <c r="A334" t="s">
        <v>589</v>
      </c>
      <c r="B334" t="str">
        <f>"13578609447"</f>
        <v>13578609447</v>
      </c>
      <c r="C334" t="str">
        <f>"220183198806143814"</f>
        <v>220183198806143814</v>
      </c>
      <c r="D334" t="s">
        <v>590</v>
      </c>
      <c r="E334" t="s">
        <v>591</v>
      </c>
      <c r="F334" t="str">
        <f>"2019-01-13 11:00:16"</f>
        <v>2019-01-13 11:00:16</v>
      </c>
    </row>
    <row r="335" spans="1:6" x14ac:dyDescent="0.3">
      <c r="A335" t="s">
        <v>0</v>
      </c>
      <c r="B335" t="str">
        <f>"13753682182"</f>
        <v>13753682182</v>
      </c>
      <c r="C335" t="s">
        <v>0</v>
      </c>
      <c r="D335" t="s">
        <v>0</v>
      </c>
      <c r="E335" t="s">
        <v>0</v>
      </c>
      <c r="F335" t="str">
        <f>"2019-01-13 10:59:58"</f>
        <v>2019-01-13 10:59:58</v>
      </c>
    </row>
    <row r="336" spans="1:6" x14ac:dyDescent="0.3">
      <c r="A336" t="s">
        <v>592</v>
      </c>
      <c r="B336" t="str">
        <f>"15182499747"</f>
        <v>15182499747</v>
      </c>
      <c r="C336" t="str">
        <f>"510725199703270020"</f>
        <v>510725199703270020</v>
      </c>
      <c r="D336" t="s">
        <v>593</v>
      </c>
      <c r="E336" t="s">
        <v>594</v>
      </c>
      <c r="F336" t="str">
        <f>"2019-01-13 10:59:06"</f>
        <v>2019-01-13 10:59:06</v>
      </c>
    </row>
    <row r="337" spans="1:6" x14ac:dyDescent="0.3">
      <c r="A337" t="s">
        <v>0</v>
      </c>
      <c r="B337" t="str">
        <f>"13516755734"</f>
        <v>13516755734</v>
      </c>
      <c r="C337" t="s">
        <v>0</v>
      </c>
      <c r="D337" t="s">
        <v>0</v>
      </c>
      <c r="E337" t="s">
        <v>0</v>
      </c>
      <c r="F337" t="str">
        <f>"2019-01-13 10:57:49"</f>
        <v>2019-01-13 10:57:49</v>
      </c>
    </row>
    <row r="338" spans="1:6" x14ac:dyDescent="0.3">
      <c r="A338" t="s">
        <v>595</v>
      </c>
      <c r="B338" t="str">
        <f>"13504981067"</f>
        <v>13504981067</v>
      </c>
      <c r="C338" t="str">
        <f>"150424198201165111"</f>
        <v>150424198201165111</v>
      </c>
      <c r="D338" t="s">
        <v>0</v>
      </c>
      <c r="E338" t="s">
        <v>0</v>
      </c>
      <c r="F338" t="str">
        <f>"2019-01-13 10:57:23"</f>
        <v>2019-01-13 10:57:23</v>
      </c>
    </row>
    <row r="339" spans="1:6" x14ac:dyDescent="0.3">
      <c r="A339" t="s">
        <v>596</v>
      </c>
      <c r="B339" t="str">
        <f>"15873322921"</f>
        <v>15873322921</v>
      </c>
      <c r="C339" t="str">
        <f>"430221198305282619"</f>
        <v>430221198305282619</v>
      </c>
      <c r="D339" t="s">
        <v>597</v>
      </c>
      <c r="E339" t="s">
        <v>598</v>
      </c>
      <c r="F339" t="str">
        <f>"2019-01-13 10:55:38"</f>
        <v>2019-01-13 10:55:38</v>
      </c>
    </row>
    <row r="340" spans="1:6" x14ac:dyDescent="0.3">
      <c r="A340" t="s">
        <v>599</v>
      </c>
      <c r="B340" t="str">
        <f>"18647635111"</f>
        <v>18647635111</v>
      </c>
      <c r="C340" t="str">
        <f>"152201198204032521"</f>
        <v>152201198204032521</v>
      </c>
      <c r="D340" t="s">
        <v>0</v>
      </c>
      <c r="E340" t="s">
        <v>0</v>
      </c>
      <c r="F340" t="str">
        <f>"2019-01-13 10:52:44"</f>
        <v>2019-01-13 10:52:44</v>
      </c>
    </row>
    <row r="341" spans="1:6" x14ac:dyDescent="0.3">
      <c r="A341" t="s">
        <v>600</v>
      </c>
      <c r="B341" t="str">
        <f>"13048630085"</f>
        <v>13048630085</v>
      </c>
      <c r="C341" t="str">
        <f>"230105197206212335"</f>
        <v>230105197206212335</v>
      </c>
      <c r="D341" t="s">
        <v>601</v>
      </c>
      <c r="E341" t="s">
        <v>602</v>
      </c>
      <c r="F341" t="str">
        <f>"2019-01-13 10:52:29"</f>
        <v>2019-01-13 10:52:29</v>
      </c>
    </row>
    <row r="342" spans="1:6" x14ac:dyDescent="0.3">
      <c r="A342" t="s">
        <v>0</v>
      </c>
      <c r="B342" t="str">
        <f>"15350203208"</f>
        <v>15350203208</v>
      </c>
      <c r="C342" t="s">
        <v>0</v>
      </c>
      <c r="D342" t="s">
        <v>0</v>
      </c>
      <c r="E342" t="s">
        <v>0</v>
      </c>
      <c r="F342" t="str">
        <f>"2019-01-13 10:49:03"</f>
        <v>2019-01-13 10:49:03</v>
      </c>
    </row>
    <row r="343" spans="1:6" x14ac:dyDescent="0.3">
      <c r="A343" t="s">
        <v>0</v>
      </c>
      <c r="B343" t="str">
        <f>"15373001214"</f>
        <v>15373001214</v>
      </c>
      <c r="C343" t="s">
        <v>0</v>
      </c>
      <c r="D343" t="s">
        <v>0</v>
      </c>
      <c r="E343" t="s">
        <v>0</v>
      </c>
      <c r="F343" t="str">
        <f>"2019-01-13 10:46:35"</f>
        <v>2019-01-13 10:46:35</v>
      </c>
    </row>
    <row r="344" spans="1:6" x14ac:dyDescent="0.3">
      <c r="A344" t="s">
        <v>0</v>
      </c>
      <c r="B344" t="str">
        <f>"13591693703"</f>
        <v>13591693703</v>
      </c>
      <c r="C344" t="s">
        <v>0</v>
      </c>
      <c r="D344" t="s">
        <v>0</v>
      </c>
      <c r="E344" t="s">
        <v>0</v>
      </c>
      <c r="F344" t="str">
        <f>"2019-01-13 10:46:32"</f>
        <v>2019-01-13 10:46:32</v>
      </c>
    </row>
    <row r="345" spans="1:6" x14ac:dyDescent="0.3">
      <c r="A345" t="s">
        <v>603</v>
      </c>
      <c r="B345" t="str">
        <f>"18625094023"</f>
        <v>18625094023</v>
      </c>
      <c r="C345" t="str">
        <f>"340323199012161355"</f>
        <v>340323199012161355</v>
      </c>
      <c r="D345" t="s">
        <v>604</v>
      </c>
      <c r="E345" t="s">
        <v>605</v>
      </c>
      <c r="F345" t="str">
        <f>"2019-01-13 10:43:06"</f>
        <v>2019-01-13 10:43:06</v>
      </c>
    </row>
    <row r="346" spans="1:6" x14ac:dyDescent="0.3">
      <c r="A346" t="s">
        <v>0</v>
      </c>
      <c r="B346" t="str">
        <f>"18827259935"</f>
        <v>18827259935</v>
      </c>
      <c r="C346" t="s">
        <v>0</v>
      </c>
      <c r="D346" t="s">
        <v>0</v>
      </c>
      <c r="E346" t="s">
        <v>0</v>
      </c>
      <c r="F346" t="str">
        <f>"2019-01-13 10:41:02"</f>
        <v>2019-01-13 10:41:02</v>
      </c>
    </row>
    <row r="347" spans="1:6" x14ac:dyDescent="0.3">
      <c r="A347" t="s">
        <v>606</v>
      </c>
      <c r="B347" t="str">
        <f>"13960173520"</f>
        <v>13960173520</v>
      </c>
      <c r="C347" t="str">
        <f>"350625199201051519"</f>
        <v>350625199201051519</v>
      </c>
      <c r="D347" t="s">
        <v>607</v>
      </c>
      <c r="E347" t="s">
        <v>608</v>
      </c>
      <c r="F347" t="str">
        <f>"2019-01-13 10:40:48"</f>
        <v>2019-01-13 10:40:48</v>
      </c>
    </row>
    <row r="348" spans="1:6" x14ac:dyDescent="0.3">
      <c r="A348" t="s">
        <v>0</v>
      </c>
      <c r="B348" t="str">
        <f>"15867835379"</f>
        <v>15867835379</v>
      </c>
      <c r="C348" t="s">
        <v>0</v>
      </c>
      <c r="D348" t="s">
        <v>0</v>
      </c>
      <c r="E348" t="s">
        <v>0</v>
      </c>
      <c r="F348" t="str">
        <f>"2019-01-13 10:39:44"</f>
        <v>2019-01-13 10:39:44</v>
      </c>
    </row>
    <row r="349" spans="1:6" x14ac:dyDescent="0.3">
      <c r="A349" t="s">
        <v>609</v>
      </c>
      <c r="B349" t="str">
        <f>"13833615230"</f>
        <v>13833615230</v>
      </c>
      <c r="C349" t="str">
        <f>"132827196609190433"</f>
        <v>132827196609190433</v>
      </c>
      <c r="D349" t="s">
        <v>610</v>
      </c>
      <c r="E349" t="s">
        <v>610</v>
      </c>
      <c r="F349" t="str">
        <f>"2019-01-13 10:39:19"</f>
        <v>2019-01-13 10:39:19</v>
      </c>
    </row>
    <row r="350" spans="1:6" x14ac:dyDescent="0.3">
      <c r="A350" t="s">
        <v>611</v>
      </c>
      <c r="B350" t="str">
        <f>"13201077547"</f>
        <v>13201077547</v>
      </c>
      <c r="C350" t="str">
        <f>"510221197204163819"</f>
        <v>510221197204163819</v>
      </c>
      <c r="D350" t="s">
        <v>612</v>
      </c>
      <c r="E350" t="s">
        <v>613</v>
      </c>
      <c r="F350" t="str">
        <f>"2019-01-13 10:38:29"</f>
        <v>2019-01-13 10:38:29</v>
      </c>
    </row>
    <row r="351" spans="1:6" x14ac:dyDescent="0.3">
      <c r="A351" t="s">
        <v>0</v>
      </c>
      <c r="B351" t="str">
        <f>"18257096062"</f>
        <v>18257096062</v>
      </c>
      <c r="C351" t="s">
        <v>0</v>
      </c>
      <c r="D351" t="s">
        <v>0</v>
      </c>
      <c r="E351" t="s">
        <v>0</v>
      </c>
      <c r="F351" t="str">
        <f>"2019-01-13 10:33:10"</f>
        <v>2019-01-13 10:33:10</v>
      </c>
    </row>
    <row r="352" spans="1:6" x14ac:dyDescent="0.3">
      <c r="A352" t="s">
        <v>0</v>
      </c>
      <c r="B352" t="str">
        <f>"17857212555"</f>
        <v>17857212555</v>
      </c>
      <c r="C352" t="s">
        <v>0</v>
      </c>
      <c r="D352" t="s">
        <v>0</v>
      </c>
      <c r="E352" t="s">
        <v>0</v>
      </c>
      <c r="F352" t="str">
        <f>"2019-01-13 10:32:26"</f>
        <v>2019-01-13 10:32:26</v>
      </c>
    </row>
    <row r="353" spans="1:6" x14ac:dyDescent="0.3">
      <c r="A353" t="s">
        <v>0</v>
      </c>
      <c r="B353" t="str">
        <f>"18686653520"</f>
        <v>18686653520</v>
      </c>
      <c r="C353" t="s">
        <v>0</v>
      </c>
      <c r="D353" t="s">
        <v>0</v>
      </c>
      <c r="E353" t="s">
        <v>0</v>
      </c>
      <c r="F353" t="str">
        <f>"2019-01-13 10:27:42"</f>
        <v>2019-01-13 10:27:42</v>
      </c>
    </row>
    <row r="354" spans="1:6" x14ac:dyDescent="0.3">
      <c r="A354" t="s">
        <v>614</v>
      </c>
      <c r="B354" t="str">
        <f>"13759495509"</f>
        <v>13759495509</v>
      </c>
      <c r="C354" t="str">
        <f>"533001199503037539"</f>
        <v>533001199503037539</v>
      </c>
      <c r="D354" t="s">
        <v>615</v>
      </c>
      <c r="E354" t="s">
        <v>616</v>
      </c>
      <c r="F354" t="str">
        <f>"2019-01-13 10:23:52"</f>
        <v>2019-01-13 10:23:52</v>
      </c>
    </row>
    <row r="355" spans="1:6" x14ac:dyDescent="0.3">
      <c r="A355" t="s">
        <v>0</v>
      </c>
      <c r="B355" t="str">
        <f>"13808050445"</f>
        <v>13808050445</v>
      </c>
      <c r="C355" t="s">
        <v>0</v>
      </c>
      <c r="D355" t="s">
        <v>0</v>
      </c>
      <c r="E355" t="s">
        <v>0</v>
      </c>
      <c r="F355" t="str">
        <f>"2019-01-13 10:20:26"</f>
        <v>2019-01-13 10:20:26</v>
      </c>
    </row>
    <row r="356" spans="1:6" x14ac:dyDescent="0.3">
      <c r="A356" t="s">
        <v>0</v>
      </c>
      <c r="B356" t="str">
        <f>"15831458288"</f>
        <v>15831458288</v>
      </c>
      <c r="C356" t="s">
        <v>0</v>
      </c>
      <c r="D356" t="s">
        <v>0</v>
      </c>
      <c r="E356" t="s">
        <v>0</v>
      </c>
      <c r="F356" t="str">
        <f>"2019-01-13 10:19:23"</f>
        <v>2019-01-13 10:19:23</v>
      </c>
    </row>
    <row r="357" spans="1:6" x14ac:dyDescent="0.3">
      <c r="A357" t="s">
        <v>0</v>
      </c>
      <c r="B357" t="str">
        <f>"13973056575"</f>
        <v>13973056575</v>
      </c>
      <c r="C357" t="s">
        <v>0</v>
      </c>
      <c r="D357" t="s">
        <v>0</v>
      </c>
      <c r="E357" t="s">
        <v>0</v>
      </c>
      <c r="F357" t="str">
        <f>"2019-01-13 10:18:19"</f>
        <v>2019-01-13 10:18:19</v>
      </c>
    </row>
    <row r="358" spans="1:6" x14ac:dyDescent="0.3">
      <c r="A358" t="s">
        <v>0</v>
      </c>
      <c r="B358" t="str">
        <f>"15222739929"</f>
        <v>15222739929</v>
      </c>
      <c r="C358" t="s">
        <v>0</v>
      </c>
      <c r="D358" t="s">
        <v>0</v>
      </c>
      <c r="E358" t="s">
        <v>0</v>
      </c>
      <c r="F358" t="str">
        <f>"2019-01-13 10:17:57"</f>
        <v>2019-01-13 10:17:57</v>
      </c>
    </row>
    <row r="359" spans="1:6" x14ac:dyDescent="0.3">
      <c r="A359" t="s">
        <v>0</v>
      </c>
      <c r="B359" t="str">
        <f>"13906607587"</f>
        <v>13906607587</v>
      </c>
      <c r="C359" t="s">
        <v>0</v>
      </c>
      <c r="D359" t="s">
        <v>0</v>
      </c>
      <c r="E359" t="s">
        <v>0</v>
      </c>
      <c r="F359" t="str">
        <f>"2019-01-13 10:16:57"</f>
        <v>2019-01-13 10:16:57</v>
      </c>
    </row>
    <row r="360" spans="1:6" x14ac:dyDescent="0.3">
      <c r="A360" t="s">
        <v>617</v>
      </c>
      <c r="B360" t="str">
        <f>"15988177989"</f>
        <v>15988177989</v>
      </c>
      <c r="C360" t="str">
        <f>"342130197001134832"</f>
        <v>342130197001134832</v>
      </c>
      <c r="D360" t="s">
        <v>618</v>
      </c>
      <c r="E360" t="s">
        <v>619</v>
      </c>
      <c r="F360" t="str">
        <f>"2019-01-13 10:14:54"</f>
        <v>2019-01-13 10:14:54</v>
      </c>
    </row>
    <row r="361" spans="1:6" x14ac:dyDescent="0.3">
      <c r="A361" t="s">
        <v>0</v>
      </c>
      <c r="B361" t="str">
        <f>"13257252321"</f>
        <v>13257252321</v>
      </c>
      <c r="C361" t="s">
        <v>0</v>
      </c>
      <c r="D361" t="s">
        <v>0</v>
      </c>
      <c r="E361" t="s">
        <v>0</v>
      </c>
      <c r="F361" t="str">
        <f>"2019-01-13 10:13:51"</f>
        <v>2019-01-13 10:13:51</v>
      </c>
    </row>
    <row r="362" spans="1:6" x14ac:dyDescent="0.3">
      <c r="A362" t="s">
        <v>620</v>
      </c>
      <c r="B362" t="str">
        <f>"18313361336"</f>
        <v>18313361336</v>
      </c>
      <c r="C362" t="str">
        <f>"532501199310090022"</f>
        <v>532501199310090022</v>
      </c>
      <c r="D362" t="s">
        <v>621</v>
      </c>
      <c r="E362" t="s">
        <v>622</v>
      </c>
      <c r="F362" t="str">
        <f>"2019-01-13 10:11:13"</f>
        <v>2019-01-13 10:11:13</v>
      </c>
    </row>
    <row r="363" spans="1:6" x14ac:dyDescent="0.3">
      <c r="A363" t="s">
        <v>0</v>
      </c>
      <c r="B363" t="str">
        <f>"13196051323"</f>
        <v>13196051323</v>
      </c>
      <c r="C363" t="s">
        <v>0</v>
      </c>
      <c r="D363" t="s">
        <v>0</v>
      </c>
      <c r="E363" t="s">
        <v>0</v>
      </c>
      <c r="F363" t="str">
        <f>"2019-01-13 10:10:54"</f>
        <v>2019-01-13 10:10:54</v>
      </c>
    </row>
    <row r="364" spans="1:6" x14ac:dyDescent="0.3">
      <c r="A364" t="s">
        <v>623</v>
      </c>
      <c r="B364" t="str">
        <f>"13776506465"</f>
        <v>13776506465</v>
      </c>
      <c r="C364" t="str">
        <f>"341126199401226019"</f>
        <v>341126199401226019</v>
      </c>
      <c r="D364" t="s">
        <v>624</v>
      </c>
      <c r="E364" t="s">
        <v>625</v>
      </c>
      <c r="F364" t="str">
        <f>"2019-01-13 10:07:44"</f>
        <v>2019-01-13 10:07:44</v>
      </c>
    </row>
    <row r="365" spans="1:6" x14ac:dyDescent="0.3">
      <c r="A365" t="s">
        <v>626</v>
      </c>
      <c r="B365" t="str">
        <f>"18307622811"</f>
        <v>18307622811</v>
      </c>
      <c r="C365" t="str">
        <f>"610525199107223714"</f>
        <v>610525199107223714</v>
      </c>
      <c r="D365" t="s">
        <v>627</v>
      </c>
      <c r="E365" t="s">
        <v>628</v>
      </c>
      <c r="F365" t="str">
        <f>"2019-01-13 10:06:44"</f>
        <v>2019-01-13 10:06:44</v>
      </c>
    </row>
    <row r="366" spans="1:6" x14ac:dyDescent="0.3">
      <c r="A366" t="s">
        <v>629</v>
      </c>
      <c r="B366" t="str">
        <f>"18295221179"</f>
        <v>18295221179</v>
      </c>
      <c r="C366" t="str">
        <f>"642224197804164233"</f>
        <v>642224197804164233</v>
      </c>
      <c r="D366" t="s">
        <v>630</v>
      </c>
      <c r="E366" t="s">
        <v>631</v>
      </c>
      <c r="F366" t="str">
        <f>"2019-01-13 10:06:13"</f>
        <v>2019-01-13 10:06:13</v>
      </c>
    </row>
    <row r="367" spans="1:6" x14ac:dyDescent="0.3">
      <c r="A367" t="s">
        <v>632</v>
      </c>
      <c r="B367" t="str">
        <f>"13764164024"</f>
        <v>13764164024</v>
      </c>
      <c r="C367" t="str">
        <f>"420923199110271796"</f>
        <v>420923199110271796</v>
      </c>
      <c r="D367" t="s">
        <v>633</v>
      </c>
      <c r="E367" t="s">
        <v>634</v>
      </c>
      <c r="F367" t="str">
        <f>"2019-01-13 10:03:53"</f>
        <v>2019-01-13 10:03:53</v>
      </c>
    </row>
    <row r="368" spans="1:6" x14ac:dyDescent="0.3">
      <c r="A368" t="s">
        <v>635</v>
      </c>
      <c r="B368" t="str">
        <f>"14792382056"</f>
        <v>14792382056</v>
      </c>
      <c r="C368" t="str">
        <f>"372925198705028037"</f>
        <v>372925198705028037</v>
      </c>
      <c r="D368" t="s">
        <v>0</v>
      </c>
      <c r="E368" t="s">
        <v>0</v>
      </c>
      <c r="F368" t="str">
        <f>"2019-01-13 10:03:08"</f>
        <v>2019-01-13 10:03:08</v>
      </c>
    </row>
    <row r="369" spans="1:6" x14ac:dyDescent="0.3">
      <c r="A369" t="s">
        <v>0</v>
      </c>
      <c r="B369" t="str">
        <f>"13574555923"</f>
        <v>13574555923</v>
      </c>
      <c r="C369" t="s">
        <v>0</v>
      </c>
      <c r="D369" t="s">
        <v>0</v>
      </c>
      <c r="E369" t="s">
        <v>0</v>
      </c>
      <c r="F369" t="str">
        <f>"2019-01-13 10:03:01"</f>
        <v>2019-01-13 10:03:01</v>
      </c>
    </row>
    <row r="370" spans="1:6" x14ac:dyDescent="0.3">
      <c r="A370" t="s">
        <v>0</v>
      </c>
      <c r="B370" t="str">
        <f>"17670525983"</f>
        <v>17670525983</v>
      </c>
      <c r="C370" t="s">
        <v>0</v>
      </c>
      <c r="D370" t="s">
        <v>0</v>
      </c>
      <c r="E370" t="s">
        <v>0</v>
      </c>
      <c r="F370" t="str">
        <f>"2019-01-13 10:01:22"</f>
        <v>2019-01-13 10:01:22</v>
      </c>
    </row>
    <row r="371" spans="1:6" x14ac:dyDescent="0.3">
      <c r="A371" t="s">
        <v>636</v>
      </c>
      <c r="B371" t="str">
        <f>"15727676602"</f>
        <v>15727676602</v>
      </c>
      <c r="C371" t="str">
        <f>"360122199606291890"</f>
        <v>360122199606291890</v>
      </c>
      <c r="D371" t="s">
        <v>637</v>
      </c>
      <c r="E371" t="s">
        <v>638</v>
      </c>
      <c r="F371" t="str">
        <f>"2019-01-13 10:00:50"</f>
        <v>2019-01-13 10:00:50</v>
      </c>
    </row>
    <row r="372" spans="1:6" x14ac:dyDescent="0.3">
      <c r="A372" t="s">
        <v>639</v>
      </c>
      <c r="B372" t="str">
        <f>"15615703837"</f>
        <v>15615703837</v>
      </c>
      <c r="C372" t="str">
        <f>"232623196710056631"</f>
        <v>232623196710056631</v>
      </c>
      <c r="D372" t="s">
        <v>640</v>
      </c>
      <c r="E372" t="s">
        <v>641</v>
      </c>
      <c r="F372" t="str">
        <f>"2019-01-13 09:55:32"</f>
        <v>2019-01-13 09:55:32</v>
      </c>
    </row>
    <row r="373" spans="1:6" x14ac:dyDescent="0.3">
      <c r="A373" t="s">
        <v>0</v>
      </c>
      <c r="B373" t="str">
        <f>"18239144360"</f>
        <v>18239144360</v>
      </c>
      <c r="C373" t="s">
        <v>0</v>
      </c>
      <c r="D373" t="s">
        <v>0</v>
      </c>
      <c r="E373" t="s">
        <v>0</v>
      </c>
      <c r="F373" t="str">
        <f>"2019-01-13 09:52:37"</f>
        <v>2019-01-13 09:52:37</v>
      </c>
    </row>
    <row r="374" spans="1:6" x14ac:dyDescent="0.3">
      <c r="A374" t="s">
        <v>0</v>
      </c>
      <c r="B374" t="str">
        <f>"13476618555"</f>
        <v>13476618555</v>
      </c>
      <c r="C374" t="s">
        <v>0</v>
      </c>
      <c r="D374" t="s">
        <v>0</v>
      </c>
      <c r="E374" t="s">
        <v>0</v>
      </c>
      <c r="F374" t="str">
        <f>"2019-01-13 09:46:20"</f>
        <v>2019-01-13 09:46:20</v>
      </c>
    </row>
    <row r="375" spans="1:6" x14ac:dyDescent="0.3">
      <c r="A375" t="s">
        <v>0</v>
      </c>
      <c r="B375" t="str">
        <f>"13586572512"</f>
        <v>13586572512</v>
      </c>
      <c r="C375" t="s">
        <v>0</v>
      </c>
      <c r="D375" t="s">
        <v>0</v>
      </c>
      <c r="E375" t="s">
        <v>0</v>
      </c>
      <c r="F375" t="str">
        <f>"2019-01-13 09:43:53"</f>
        <v>2019-01-13 09:43:53</v>
      </c>
    </row>
    <row r="376" spans="1:6" x14ac:dyDescent="0.3">
      <c r="A376" t="s">
        <v>642</v>
      </c>
      <c r="B376" t="str">
        <f>"15376509782"</f>
        <v>15376509782</v>
      </c>
      <c r="C376" t="str">
        <f>"220112199109123622"</f>
        <v>220112199109123622</v>
      </c>
      <c r="D376" t="s">
        <v>643</v>
      </c>
      <c r="E376" t="s">
        <v>643</v>
      </c>
      <c r="F376" t="str">
        <f>"2019-01-13 09:36:50"</f>
        <v>2019-01-13 09:36:50</v>
      </c>
    </row>
    <row r="377" spans="1:6" x14ac:dyDescent="0.3">
      <c r="A377" t="s">
        <v>644</v>
      </c>
      <c r="B377" t="str">
        <f>"18735652344"</f>
        <v>18735652344</v>
      </c>
      <c r="C377" t="str">
        <f>"142732199402082815"</f>
        <v>142732199402082815</v>
      </c>
      <c r="D377" t="s">
        <v>0</v>
      </c>
      <c r="E377" t="s">
        <v>0</v>
      </c>
      <c r="F377" t="str">
        <f>"2019-01-13 09:36:38"</f>
        <v>2019-01-13 09:36:38</v>
      </c>
    </row>
    <row r="378" spans="1:6" x14ac:dyDescent="0.3">
      <c r="A378" t="s">
        <v>0</v>
      </c>
      <c r="B378" t="str">
        <f>"18702498533"</f>
        <v>18702498533</v>
      </c>
      <c r="C378" t="s">
        <v>0</v>
      </c>
      <c r="D378" t="s">
        <v>0</v>
      </c>
      <c r="E378" t="s">
        <v>0</v>
      </c>
      <c r="F378" t="str">
        <f>"2019-01-13 09:35:16"</f>
        <v>2019-01-13 09:35:16</v>
      </c>
    </row>
    <row r="379" spans="1:6" x14ac:dyDescent="0.3">
      <c r="A379" t="s">
        <v>645</v>
      </c>
      <c r="B379" t="str">
        <f>"18616882628"</f>
        <v>18616882628</v>
      </c>
      <c r="C379" t="str">
        <f>"310103198311067039"</f>
        <v>310103198311067039</v>
      </c>
      <c r="D379" t="s">
        <v>646</v>
      </c>
      <c r="E379" t="s">
        <v>647</v>
      </c>
      <c r="F379" t="str">
        <f>"2019-01-13 09:31:12"</f>
        <v>2019-01-13 09:31:12</v>
      </c>
    </row>
    <row r="380" spans="1:6" x14ac:dyDescent="0.3">
      <c r="A380" t="s">
        <v>648</v>
      </c>
      <c r="B380" t="str">
        <f>"13731550351"</f>
        <v>13731550351</v>
      </c>
      <c r="C380" t="str">
        <f>"130226197203083498"</f>
        <v>130226197203083498</v>
      </c>
      <c r="D380" t="s">
        <v>649</v>
      </c>
      <c r="E380" t="s">
        <v>650</v>
      </c>
      <c r="F380" t="str">
        <f>"2019-01-13 09:27:54"</f>
        <v>2019-01-13 09:27:54</v>
      </c>
    </row>
    <row r="381" spans="1:6" x14ac:dyDescent="0.3">
      <c r="A381" t="s">
        <v>651</v>
      </c>
      <c r="B381" t="str">
        <f>"18081316298"</f>
        <v>18081316298</v>
      </c>
      <c r="C381" t="str">
        <f>"51111219850905481X"</f>
        <v>51111219850905481X</v>
      </c>
      <c r="D381" t="s">
        <v>652</v>
      </c>
      <c r="E381" t="s">
        <v>653</v>
      </c>
      <c r="F381" t="str">
        <f>"2019-01-13 09:25:10"</f>
        <v>2019-01-13 09:25:10</v>
      </c>
    </row>
    <row r="382" spans="1:6" x14ac:dyDescent="0.3">
      <c r="A382" t="s">
        <v>100</v>
      </c>
      <c r="B382" t="str">
        <f>"15814137097"</f>
        <v>15814137097</v>
      </c>
      <c r="C382" t="str">
        <f>"431024199311072718"</f>
        <v>431024199311072718</v>
      </c>
      <c r="D382" t="s">
        <v>0</v>
      </c>
      <c r="E382" t="s">
        <v>0</v>
      </c>
      <c r="F382" t="str">
        <f>"2019-01-13 09:23:18"</f>
        <v>2019-01-13 09:23:18</v>
      </c>
    </row>
    <row r="383" spans="1:6" x14ac:dyDescent="0.3">
      <c r="A383" t="s">
        <v>0</v>
      </c>
      <c r="B383" t="str">
        <f>"18573879363"</f>
        <v>18573879363</v>
      </c>
      <c r="C383" t="s">
        <v>0</v>
      </c>
      <c r="D383" t="s">
        <v>0</v>
      </c>
      <c r="E383" t="s">
        <v>0</v>
      </c>
      <c r="F383" t="str">
        <f>"2019-01-13 09:07:33"</f>
        <v>2019-01-13 09:07:33</v>
      </c>
    </row>
    <row r="384" spans="1:6" x14ac:dyDescent="0.3">
      <c r="A384" t="s">
        <v>61</v>
      </c>
      <c r="B384" t="str">
        <f>"18367560810"</f>
        <v>18367560810</v>
      </c>
      <c r="C384" t="str">
        <f>"420982199008105230"</f>
        <v>420982199008105230</v>
      </c>
      <c r="D384" t="s">
        <v>654</v>
      </c>
      <c r="E384" t="s">
        <v>655</v>
      </c>
      <c r="F384" t="str">
        <f>"2019-01-13 06:20:30"</f>
        <v>2019-01-13 06:20:30</v>
      </c>
    </row>
    <row r="385" spans="1:6" x14ac:dyDescent="0.3">
      <c r="A385" t="s">
        <v>656</v>
      </c>
      <c r="B385" t="str">
        <f>"13815612911"</f>
        <v>13815612911</v>
      </c>
      <c r="C385" t="str">
        <f>"320723197501020069"</f>
        <v>320723197501020069</v>
      </c>
      <c r="D385" t="s">
        <v>0</v>
      </c>
      <c r="E385" t="s">
        <v>0</v>
      </c>
      <c r="F385" t="str">
        <f>"2019-01-13 05:02:58"</f>
        <v>2019-01-13 05:02:58</v>
      </c>
    </row>
    <row r="386" spans="1:6" x14ac:dyDescent="0.3">
      <c r="A386" t="s">
        <v>0</v>
      </c>
      <c r="B386" t="str">
        <f>"13030702227"</f>
        <v>13030702227</v>
      </c>
      <c r="C386" t="s">
        <v>0</v>
      </c>
      <c r="D386" t="s">
        <v>0</v>
      </c>
      <c r="E386" t="s">
        <v>0</v>
      </c>
      <c r="F386" t="str">
        <f>"2019-01-13 03:45:45"</f>
        <v>2019-01-13 03:45:45</v>
      </c>
    </row>
    <row r="387" spans="1:6" x14ac:dyDescent="0.3">
      <c r="A387" t="s">
        <v>657</v>
      </c>
      <c r="B387" t="str">
        <f>"15826634412"</f>
        <v>15826634412</v>
      </c>
      <c r="C387" t="str">
        <f>"421003199408241529"</f>
        <v>421003199408241529</v>
      </c>
      <c r="D387" t="s">
        <v>658</v>
      </c>
      <c r="E387" t="s">
        <v>659</v>
      </c>
      <c r="F387" t="str">
        <f>"2019-01-13 03:42:12"</f>
        <v>2019-01-13 03:42:12</v>
      </c>
    </row>
    <row r="388" spans="1:6" x14ac:dyDescent="0.3">
      <c r="A388" t="s">
        <v>660</v>
      </c>
      <c r="B388" t="str">
        <f>"15636120063"</f>
        <v>15636120063</v>
      </c>
      <c r="C388" t="str">
        <f>"130203199609272410"</f>
        <v>130203199609272410</v>
      </c>
      <c r="D388" t="s">
        <v>661</v>
      </c>
      <c r="E388" t="s">
        <v>662</v>
      </c>
      <c r="F388" t="str">
        <f>"2019-01-13 01:53:21"</f>
        <v>2019-01-13 01:53:21</v>
      </c>
    </row>
    <row r="389" spans="1:6" x14ac:dyDescent="0.3">
      <c r="A389" t="s">
        <v>663</v>
      </c>
      <c r="B389" t="str">
        <f>"18382442252"</f>
        <v>18382442252</v>
      </c>
      <c r="C389" t="str">
        <f>"510132199510182121"</f>
        <v>510132199510182121</v>
      </c>
      <c r="D389" t="s">
        <v>664</v>
      </c>
      <c r="E389" t="s">
        <v>665</v>
      </c>
      <c r="F389" t="str">
        <f>"2019-01-13 00:17:34"</f>
        <v>2019-01-13 00:17:34</v>
      </c>
    </row>
    <row r="390" spans="1:6" x14ac:dyDescent="0.3">
      <c r="A390" t="s">
        <v>666</v>
      </c>
      <c r="B390" t="str">
        <f>"13533222997"</f>
        <v>13533222997</v>
      </c>
      <c r="C390" t="str">
        <f>"440183199210213434"</f>
        <v>440183199210213434</v>
      </c>
      <c r="D390" t="s">
        <v>667</v>
      </c>
      <c r="E390" t="s">
        <v>668</v>
      </c>
      <c r="F390" t="str">
        <f>"2019-01-12 23:38:15"</f>
        <v>2019-01-12 23:38:15</v>
      </c>
    </row>
    <row r="391" spans="1:6" x14ac:dyDescent="0.3">
      <c r="A391" t="s">
        <v>669</v>
      </c>
      <c r="B391" t="str">
        <f>"13435410170"</f>
        <v>13435410170</v>
      </c>
      <c r="C391" t="str">
        <f>"440582198904173650"</f>
        <v>440582198904173650</v>
      </c>
      <c r="D391" t="s">
        <v>0</v>
      </c>
      <c r="E391" t="s">
        <v>0</v>
      </c>
      <c r="F391" t="str">
        <f>"2019-01-12 23:12:54"</f>
        <v>2019-01-12 23:12:54</v>
      </c>
    </row>
    <row r="392" spans="1:6" x14ac:dyDescent="0.3">
      <c r="A392" t="s">
        <v>670</v>
      </c>
      <c r="B392" t="str">
        <f>"18550405122"</f>
        <v>18550405122</v>
      </c>
      <c r="C392" t="str">
        <f>"320503198612150016"</f>
        <v>320503198612150016</v>
      </c>
      <c r="D392" t="s">
        <v>0</v>
      </c>
      <c r="E392" t="s">
        <v>0</v>
      </c>
      <c r="F392" t="str">
        <f>"2019-01-12 22:27:11"</f>
        <v>2019-01-12 22:27:11</v>
      </c>
    </row>
    <row r="393" spans="1:6" x14ac:dyDescent="0.3">
      <c r="A393" t="s">
        <v>671</v>
      </c>
      <c r="B393" t="str">
        <f>"13885489854"</f>
        <v>13885489854</v>
      </c>
      <c r="C393" t="str">
        <f>"522725198409107627"</f>
        <v>522725198409107627</v>
      </c>
      <c r="D393" t="s">
        <v>672</v>
      </c>
      <c r="E393" t="s">
        <v>673</v>
      </c>
      <c r="F393" t="str">
        <f>"2019-01-12 21:58:06"</f>
        <v>2019-01-12 21:58:06</v>
      </c>
    </row>
    <row r="394" spans="1:6" x14ac:dyDescent="0.3">
      <c r="A394" t="s">
        <v>674</v>
      </c>
      <c r="B394" t="str">
        <f>"18776977018"</f>
        <v>18776977018</v>
      </c>
      <c r="C394" t="str">
        <f>"452128198608242512"</f>
        <v>452128198608242512</v>
      </c>
      <c r="D394" t="s">
        <v>675</v>
      </c>
      <c r="E394" t="s">
        <v>676</v>
      </c>
      <c r="F394" t="str">
        <f>"2019-01-12 21:52:18"</f>
        <v>2019-01-12 21:52:18</v>
      </c>
    </row>
    <row r="395" spans="1:6" x14ac:dyDescent="0.3">
      <c r="A395" t="s">
        <v>0</v>
      </c>
      <c r="B395" t="str">
        <f>"18237666629"</f>
        <v>18237666629</v>
      </c>
      <c r="C395" t="s">
        <v>0</v>
      </c>
      <c r="D395" t="s">
        <v>0</v>
      </c>
      <c r="E395" t="s">
        <v>0</v>
      </c>
      <c r="F395" t="str">
        <f>"2019-01-12 21:51:29"</f>
        <v>2019-01-12 21:51:29</v>
      </c>
    </row>
    <row r="396" spans="1:6" x14ac:dyDescent="0.3">
      <c r="A396" t="s">
        <v>677</v>
      </c>
      <c r="B396" t="str">
        <f>"18671100338"</f>
        <v>18671100338</v>
      </c>
      <c r="C396" t="str">
        <f>"420703199104103394"</f>
        <v>420703199104103394</v>
      </c>
      <c r="D396" t="s">
        <v>0</v>
      </c>
      <c r="E396" t="s">
        <v>0</v>
      </c>
      <c r="F396" t="str">
        <f>"2019-01-12 21:45:05"</f>
        <v>2019-01-12 21:45:05</v>
      </c>
    </row>
    <row r="397" spans="1:6" x14ac:dyDescent="0.3">
      <c r="A397" t="s">
        <v>678</v>
      </c>
      <c r="B397" t="str">
        <f>"18876222276"</f>
        <v>18876222276</v>
      </c>
      <c r="C397" t="str">
        <f>"350521198601151556"</f>
        <v>350521198601151556</v>
      </c>
      <c r="D397" t="s">
        <v>679</v>
      </c>
      <c r="E397" t="s">
        <v>680</v>
      </c>
      <c r="F397" t="str">
        <f>"2019-01-12 21:31:38"</f>
        <v>2019-01-12 21:31:38</v>
      </c>
    </row>
    <row r="398" spans="1:6" x14ac:dyDescent="0.3">
      <c r="A398" t="s">
        <v>681</v>
      </c>
      <c r="B398" t="str">
        <f>"18932876461"</f>
        <v>18932876461</v>
      </c>
      <c r="C398" t="str">
        <f>"130824198209080030"</f>
        <v>130824198209080030</v>
      </c>
      <c r="D398" t="s">
        <v>682</v>
      </c>
      <c r="E398" t="s">
        <v>683</v>
      </c>
      <c r="F398" t="str">
        <f>"2019-01-12 21:21:43"</f>
        <v>2019-01-12 21:21:43</v>
      </c>
    </row>
    <row r="399" spans="1:6" x14ac:dyDescent="0.3">
      <c r="A399" t="s">
        <v>684</v>
      </c>
      <c r="B399" t="str">
        <f>"18063527579"</f>
        <v>18063527579</v>
      </c>
      <c r="C399" t="str">
        <f>"371502199107173637"</f>
        <v>371502199107173637</v>
      </c>
      <c r="D399" t="s">
        <v>685</v>
      </c>
      <c r="E399" t="s">
        <v>686</v>
      </c>
      <c r="F399" t="str">
        <f>"2019-01-12 21:18:07"</f>
        <v>2019-01-12 21:18:07</v>
      </c>
    </row>
    <row r="400" spans="1:6" x14ac:dyDescent="0.3">
      <c r="A400" t="s">
        <v>0</v>
      </c>
      <c r="B400" t="str">
        <f>"13543813426"</f>
        <v>13543813426</v>
      </c>
      <c r="C400" t="s">
        <v>0</v>
      </c>
      <c r="D400" t="s">
        <v>0</v>
      </c>
      <c r="E400" t="s">
        <v>0</v>
      </c>
      <c r="F400" t="str">
        <f>"2019-01-12 21:13:19"</f>
        <v>2019-01-12 21:13:19</v>
      </c>
    </row>
    <row r="401" spans="1:6" x14ac:dyDescent="0.3">
      <c r="A401" t="s">
        <v>687</v>
      </c>
      <c r="B401" t="str">
        <f>"18090691122"</f>
        <v>18090691122</v>
      </c>
      <c r="C401" t="str">
        <f>"513423198707260937"</f>
        <v>513423198707260937</v>
      </c>
      <c r="D401" t="s">
        <v>688</v>
      </c>
      <c r="E401" t="s">
        <v>689</v>
      </c>
      <c r="F401" t="str">
        <f>"2019-01-12 20:34:57"</f>
        <v>2019-01-12 20:34:57</v>
      </c>
    </row>
    <row r="402" spans="1:6" x14ac:dyDescent="0.3">
      <c r="A402" t="s">
        <v>0</v>
      </c>
      <c r="B402" t="str">
        <f>"18855402101"</f>
        <v>18855402101</v>
      </c>
      <c r="C402" t="s">
        <v>0</v>
      </c>
      <c r="D402" t="s">
        <v>0</v>
      </c>
      <c r="E402" t="s">
        <v>0</v>
      </c>
      <c r="F402" t="str">
        <f>"2019-01-12 19:24:59"</f>
        <v>2019-01-12 19:24:59</v>
      </c>
    </row>
    <row r="403" spans="1:6" x14ac:dyDescent="0.3">
      <c r="A403" t="s">
        <v>690</v>
      </c>
      <c r="B403" t="str">
        <f>"13073689920"</f>
        <v>13073689920</v>
      </c>
      <c r="C403" t="str">
        <f>"413026198907151659"</f>
        <v>413026198907151659</v>
      </c>
      <c r="D403" t="s">
        <v>691</v>
      </c>
      <c r="E403" t="s">
        <v>692</v>
      </c>
      <c r="F403" t="str">
        <f>"2019-01-12 19:20:30"</f>
        <v>2019-01-12 19:20:30</v>
      </c>
    </row>
    <row r="404" spans="1:6" x14ac:dyDescent="0.3">
      <c r="A404" t="s">
        <v>693</v>
      </c>
      <c r="B404" t="str">
        <f>"15994909234"</f>
        <v>15994909234</v>
      </c>
      <c r="C404" t="str">
        <f>"44058319910728421X"</f>
        <v>44058319910728421X</v>
      </c>
      <c r="D404" t="s">
        <v>694</v>
      </c>
      <c r="E404" t="s">
        <v>695</v>
      </c>
      <c r="F404" t="str">
        <f>"2019-01-12 19:14:21"</f>
        <v>2019-01-12 19:14:21</v>
      </c>
    </row>
    <row r="405" spans="1:6" x14ac:dyDescent="0.3">
      <c r="A405" t="s">
        <v>696</v>
      </c>
      <c r="B405" t="str">
        <f>"15318990413"</f>
        <v>15318990413</v>
      </c>
      <c r="C405" t="str">
        <f>"370784198604137629"</f>
        <v>370784198604137629</v>
      </c>
      <c r="D405" t="s">
        <v>697</v>
      </c>
      <c r="E405" t="s">
        <v>698</v>
      </c>
      <c r="F405" t="str">
        <f>"2019-01-12 18:50:18"</f>
        <v>2019-01-12 18:50:18</v>
      </c>
    </row>
    <row r="406" spans="1:6" x14ac:dyDescent="0.3">
      <c r="A406" t="s">
        <v>699</v>
      </c>
      <c r="B406" t="str">
        <f>"17766977975"</f>
        <v>17766977975</v>
      </c>
      <c r="C406" t="str">
        <f>"460034199106135510"</f>
        <v>460034199106135510</v>
      </c>
      <c r="D406" t="s">
        <v>700</v>
      </c>
      <c r="E406" t="s">
        <v>701</v>
      </c>
      <c r="F406" t="str">
        <f>"2019-01-12 18:43:08"</f>
        <v>2019-01-12 18:43:08</v>
      </c>
    </row>
    <row r="407" spans="1:6" x14ac:dyDescent="0.3">
      <c r="A407" t="s">
        <v>0</v>
      </c>
      <c r="B407" t="str">
        <f>"13211990019"</f>
        <v>13211990019</v>
      </c>
      <c r="C407" t="s">
        <v>0</v>
      </c>
      <c r="D407" t="s">
        <v>0</v>
      </c>
      <c r="E407" t="s">
        <v>0</v>
      </c>
      <c r="F407" t="str">
        <f>"2019-01-12 18:40:43"</f>
        <v>2019-01-12 18:40:43</v>
      </c>
    </row>
    <row r="408" spans="1:6" x14ac:dyDescent="0.3">
      <c r="A408" t="s">
        <v>0</v>
      </c>
      <c r="B408" t="str">
        <f>"18158893967"</f>
        <v>18158893967</v>
      </c>
      <c r="C408" t="s">
        <v>0</v>
      </c>
      <c r="D408" t="s">
        <v>0</v>
      </c>
      <c r="E408" t="s">
        <v>0</v>
      </c>
      <c r="F408" t="str">
        <f>"2019-01-12 18:40:16"</f>
        <v>2019-01-12 18:40:16</v>
      </c>
    </row>
    <row r="409" spans="1:6" x14ac:dyDescent="0.3">
      <c r="A409" t="s">
        <v>702</v>
      </c>
      <c r="B409" t="str">
        <f>"13951668225"</f>
        <v>13951668225</v>
      </c>
      <c r="C409" t="str">
        <f>"320114197708170014"</f>
        <v>320114197708170014</v>
      </c>
      <c r="D409" t="s">
        <v>703</v>
      </c>
      <c r="E409" t="s">
        <v>704</v>
      </c>
      <c r="F409" t="str">
        <f>"2019-01-12 18:23:26"</f>
        <v>2019-01-12 18:23:26</v>
      </c>
    </row>
    <row r="410" spans="1:6" x14ac:dyDescent="0.3">
      <c r="A410" t="s">
        <v>0</v>
      </c>
      <c r="B410" t="str">
        <f>"13720850200"</f>
        <v>13720850200</v>
      </c>
      <c r="C410" t="s">
        <v>0</v>
      </c>
      <c r="D410" t="s">
        <v>0</v>
      </c>
      <c r="E410" t="s">
        <v>0</v>
      </c>
      <c r="F410" t="str">
        <f>"2019-01-12 18:12:21"</f>
        <v>2019-01-12 18:12:21</v>
      </c>
    </row>
    <row r="411" spans="1:6" x14ac:dyDescent="0.3">
      <c r="A411" t="s">
        <v>0</v>
      </c>
      <c r="B411" t="str">
        <f>"13783070180"</f>
        <v>13783070180</v>
      </c>
      <c r="C411" t="s">
        <v>0</v>
      </c>
      <c r="D411" t="s">
        <v>0</v>
      </c>
      <c r="E411" t="s">
        <v>0</v>
      </c>
      <c r="F411" t="str">
        <f>"2019-01-12 18:00:02"</f>
        <v>2019-01-12 18:00:02</v>
      </c>
    </row>
    <row r="412" spans="1:6" x14ac:dyDescent="0.3">
      <c r="A412" t="s">
        <v>705</v>
      </c>
      <c r="B412" t="str">
        <f>"15980067977"</f>
        <v>15980067977</v>
      </c>
      <c r="C412" t="str">
        <f>"350583199904126634"</f>
        <v>350583199904126634</v>
      </c>
      <c r="D412" t="s">
        <v>706</v>
      </c>
      <c r="E412" t="s">
        <v>706</v>
      </c>
      <c r="F412" t="str">
        <f>"2019-01-12 17:56:42"</f>
        <v>2019-01-12 17:56:42</v>
      </c>
    </row>
    <row r="413" spans="1:6" x14ac:dyDescent="0.3">
      <c r="A413" t="s">
        <v>707</v>
      </c>
      <c r="B413" t="str">
        <f>"13824749566"</f>
        <v>13824749566</v>
      </c>
      <c r="C413" t="str">
        <f>"450881198503187439"</f>
        <v>450881198503187439</v>
      </c>
      <c r="D413" t="s">
        <v>0</v>
      </c>
      <c r="E413" t="s">
        <v>0</v>
      </c>
      <c r="F413" t="str">
        <f>"2019-01-12 17:55:58"</f>
        <v>2019-01-12 17:55:58</v>
      </c>
    </row>
    <row r="414" spans="1:6" x14ac:dyDescent="0.3">
      <c r="A414" t="s">
        <v>708</v>
      </c>
      <c r="B414" t="str">
        <f>"18673805051"</f>
        <v>18673805051</v>
      </c>
      <c r="C414" t="str">
        <f>"43252419861208074X"</f>
        <v>43252419861208074X</v>
      </c>
      <c r="D414" t="s">
        <v>0</v>
      </c>
      <c r="E414" t="s">
        <v>0</v>
      </c>
      <c r="F414" t="str">
        <f>"2019-01-12 17:54:06"</f>
        <v>2019-01-12 17:54:06</v>
      </c>
    </row>
    <row r="415" spans="1:6" x14ac:dyDescent="0.3">
      <c r="A415" t="s">
        <v>0</v>
      </c>
      <c r="B415" t="str">
        <f>"13711898806"</f>
        <v>13711898806</v>
      </c>
      <c r="C415" t="s">
        <v>0</v>
      </c>
      <c r="D415" t="s">
        <v>0</v>
      </c>
      <c r="E415" t="s">
        <v>0</v>
      </c>
      <c r="F415" t="str">
        <f>"2019-01-12 17:46:53"</f>
        <v>2019-01-12 17:46:53</v>
      </c>
    </row>
    <row r="416" spans="1:6" x14ac:dyDescent="0.3">
      <c r="A416" t="s">
        <v>709</v>
      </c>
      <c r="B416" t="str">
        <f>"13775520388"</f>
        <v>13775520388</v>
      </c>
      <c r="C416" t="str">
        <f>"321123198106283814"</f>
        <v>321123198106283814</v>
      </c>
      <c r="D416" t="s">
        <v>710</v>
      </c>
      <c r="E416" t="s">
        <v>711</v>
      </c>
      <c r="F416" t="str">
        <f>"2019-01-12 17:42:12"</f>
        <v>2019-01-12 17:42:12</v>
      </c>
    </row>
    <row r="417" spans="1:6" x14ac:dyDescent="0.3">
      <c r="A417" t="s">
        <v>0</v>
      </c>
      <c r="B417" t="str">
        <f>"18133122935"</f>
        <v>18133122935</v>
      </c>
      <c r="C417" t="s">
        <v>0</v>
      </c>
      <c r="D417" t="s">
        <v>0</v>
      </c>
      <c r="E417" t="s">
        <v>0</v>
      </c>
      <c r="F417" t="str">
        <f>"2019-01-12 17:40:49"</f>
        <v>2019-01-12 17:40:49</v>
      </c>
    </row>
    <row r="418" spans="1:6" x14ac:dyDescent="0.3">
      <c r="A418" t="s">
        <v>0</v>
      </c>
      <c r="B418" t="str">
        <f>"15699034281"</f>
        <v>15699034281</v>
      </c>
      <c r="C418" t="s">
        <v>0</v>
      </c>
      <c r="D418" t="s">
        <v>0</v>
      </c>
      <c r="E418" t="s">
        <v>0</v>
      </c>
      <c r="F418" t="str">
        <f>"2019-01-12 17:40:25"</f>
        <v>2019-01-12 17:40:25</v>
      </c>
    </row>
    <row r="419" spans="1:6" x14ac:dyDescent="0.3">
      <c r="A419" t="s">
        <v>712</v>
      </c>
      <c r="B419" t="str">
        <f>"13788835785"</f>
        <v>13788835785</v>
      </c>
      <c r="C419" t="str">
        <f>"350524198512200028"</f>
        <v>350524198512200028</v>
      </c>
      <c r="D419" t="s">
        <v>713</v>
      </c>
      <c r="E419" t="s">
        <v>714</v>
      </c>
      <c r="F419" t="str">
        <f>"2019-01-12 17:39:04"</f>
        <v>2019-01-12 17:39:04</v>
      </c>
    </row>
    <row r="420" spans="1:6" x14ac:dyDescent="0.3">
      <c r="A420" t="s">
        <v>715</v>
      </c>
      <c r="B420" t="str">
        <f>"17878080630"</f>
        <v>17878080630</v>
      </c>
      <c r="C420" t="str">
        <f>"452501197907147133"</f>
        <v>452501197907147133</v>
      </c>
      <c r="D420" t="s">
        <v>716</v>
      </c>
      <c r="E420" t="s">
        <v>717</v>
      </c>
      <c r="F420" t="str">
        <f>"2019-01-12 17:38:40"</f>
        <v>2019-01-12 17:38:40</v>
      </c>
    </row>
    <row r="421" spans="1:6" x14ac:dyDescent="0.3">
      <c r="A421" t="s">
        <v>718</v>
      </c>
      <c r="B421" t="str">
        <f>"13627597732"</f>
        <v>13627597732</v>
      </c>
      <c r="C421" t="str">
        <f>"460033198801225111"</f>
        <v>460033198801225111</v>
      </c>
      <c r="D421" t="s">
        <v>719</v>
      </c>
      <c r="E421" t="s">
        <v>720</v>
      </c>
      <c r="F421" t="str">
        <f>"2019-01-12 17:36:14"</f>
        <v>2019-01-12 17:36:14</v>
      </c>
    </row>
    <row r="422" spans="1:6" x14ac:dyDescent="0.3">
      <c r="A422" t="s">
        <v>721</v>
      </c>
      <c r="B422" t="str">
        <f>"18856080954"</f>
        <v>18856080954</v>
      </c>
      <c r="C422" t="str">
        <f>"342425199406236532"</f>
        <v>342425199406236532</v>
      </c>
      <c r="D422" t="s">
        <v>722</v>
      </c>
      <c r="E422" t="s">
        <v>722</v>
      </c>
      <c r="F422" t="str">
        <f>"2019-01-12 17:35:34"</f>
        <v>2019-01-12 17:35:34</v>
      </c>
    </row>
    <row r="423" spans="1:6" x14ac:dyDescent="0.3">
      <c r="A423" t="s">
        <v>723</v>
      </c>
      <c r="B423" t="str">
        <f>"15534280837"</f>
        <v>15534280837</v>
      </c>
      <c r="C423" t="str">
        <f>"140211199001180819"</f>
        <v>140211199001180819</v>
      </c>
      <c r="D423" t="s">
        <v>724</v>
      </c>
      <c r="E423" t="s">
        <v>725</v>
      </c>
      <c r="F423" t="str">
        <f>"2019-01-12 17:34:10"</f>
        <v>2019-01-12 17:34:10</v>
      </c>
    </row>
    <row r="424" spans="1:6" x14ac:dyDescent="0.3">
      <c r="A424" t="s">
        <v>726</v>
      </c>
      <c r="B424" t="str">
        <f>"15931822378"</f>
        <v>15931822378</v>
      </c>
      <c r="C424" t="str">
        <f>"132430197611122617"</f>
        <v>132430197611122617</v>
      </c>
      <c r="D424" t="s">
        <v>727</v>
      </c>
      <c r="E424" t="s">
        <v>728</v>
      </c>
      <c r="F424" t="str">
        <f>"2019-01-12 17:33:45"</f>
        <v>2019-01-12 17:33:45</v>
      </c>
    </row>
    <row r="425" spans="1:6" x14ac:dyDescent="0.3">
      <c r="A425" t="s">
        <v>729</v>
      </c>
      <c r="B425" t="str">
        <f>"18360779828"</f>
        <v>18360779828</v>
      </c>
      <c r="C425" t="str">
        <f>"320882199001174410"</f>
        <v>320882199001174410</v>
      </c>
      <c r="D425" t="s">
        <v>730</v>
      </c>
      <c r="E425" t="s">
        <v>731</v>
      </c>
      <c r="F425" t="str">
        <f>"2019-01-12 17:31:17"</f>
        <v>2019-01-12 17:31:17</v>
      </c>
    </row>
    <row r="426" spans="1:6" x14ac:dyDescent="0.3">
      <c r="A426" t="s">
        <v>732</v>
      </c>
      <c r="B426" t="str">
        <f>"18820531855"</f>
        <v>18820531855</v>
      </c>
      <c r="C426" t="str">
        <f>"441223197110045059"</f>
        <v>441223197110045059</v>
      </c>
      <c r="D426" t="s">
        <v>733</v>
      </c>
      <c r="E426" t="s">
        <v>734</v>
      </c>
      <c r="F426" t="str">
        <f>"2019-01-12 17:25:54"</f>
        <v>2019-01-12 17:25:54</v>
      </c>
    </row>
    <row r="427" spans="1:6" x14ac:dyDescent="0.3">
      <c r="A427" t="s">
        <v>0</v>
      </c>
      <c r="B427" t="str">
        <f>"15176618594"</f>
        <v>15176618594</v>
      </c>
      <c r="C427" t="s">
        <v>0</v>
      </c>
      <c r="D427" t="s">
        <v>0</v>
      </c>
      <c r="E427" t="s">
        <v>0</v>
      </c>
      <c r="F427" t="str">
        <f>"2019-01-12 17:24:36"</f>
        <v>2019-01-12 17:24:36</v>
      </c>
    </row>
    <row r="428" spans="1:6" x14ac:dyDescent="0.3">
      <c r="A428" t="s">
        <v>0</v>
      </c>
      <c r="B428" t="str">
        <f>"15887811591"</f>
        <v>15887811591</v>
      </c>
      <c r="C428" t="s">
        <v>0</v>
      </c>
      <c r="D428" t="s">
        <v>0</v>
      </c>
      <c r="E428" t="s">
        <v>0</v>
      </c>
      <c r="F428" t="str">
        <f>"2019-01-12 17:24:13"</f>
        <v>2019-01-12 17:24:13</v>
      </c>
    </row>
    <row r="429" spans="1:6" x14ac:dyDescent="0.3">
      <c r="A429" t="s">
        <v>735</v>
      </c>
      <c r="B429" t="str">
        <f>"15914366873"</f>
        <v>15914366873</v>
      </c>
      <c r="C429" t="str">
        <f>"440306198709108864"</f>
        <v>440306198709108864</v>
      </c>
      <c r="D429" t="s">
        <v>736</v>
      </c>
      <c r="E429" t="s">
        <v>737</v>
      </c>
      <c r="F429" t="str">
        <f>"2019-01-12 17:19:30"</f>
        <v>2019-01-12 17:19:30</v>
      </c>
    </row>
    <row r="430" spans="1:6" x14ac:dyDescent="0.3">
      <c r="A430" t="s">
        <v>738</v>
      </c>
      <c r="B430" t="str">
        <f>"18689327421"</f>
        <v>18689327421</v>
      </c>
      <c r="C430" t="str">
        <f>"43312420000525003X"</f>
        <v>43312420000525003X</v>
      </c>
      <c r="D430" t="s">
        <v>739</v>
      </c>
      <c r="E430" t="s">
        <v>740</v>
      </c>
      <c r="F430" t="str">
        <f>"2019-01-12 17:18:07"</f>
        <v>2019-01-12 17:18:07</v>
      </c>
    </row>
    <row r="431" spans="1:6" x14ac:dyDescent="0.3">
      <c r="A431" t="s">
        <v>0</v>
      </c>
      <c r="B431" t="str">
        <f>"15573323632"</f>
        <v>15573323632</v>
      </c>
      <c r="C431" t="s">
        <v>0</v>
      </c>
      <c r="D431" t="s">
        <v>0</v>
      </c>
      <c r="E431" t="s">
        <v>0</v>
      </c>
      <c r="F431" t="str">
        <f>"2019-01-12 17:14:55"</f>
        <v>2019-01-12 17:14:55</v>
      </c>
    </row>
    <row r="432" spans="1:6" x14ac:dyDescent="0.3">
      <c r="A432" t="s">
        <v>0</v>
      </c>
      <c r="B432" t="str">
        <f>"15520552831"</f>
        <v>15520552831</v>
      </c>
      <c r="C432" t="s">
        <v>0</v>
      </c>
      <c r="D432" t="s">
        <v>0</v>
      </c>
      <c r="E432" t="s">
        <v>0</v>
      </c>
      <c r="F432" t="str">
        <f>"2019-01-12 17:14:30"</f>
        <v>2019-01-12 17:14:30</v>
      </c>
    </row>
    <row r="433" spans="1:6" x14ac:dyDescent="0.3">
      <c r="A433" t="s">
        <v>741</v>
      </c>
      <c r="B433" t="str">
        <f>"15927550162"</f>
        <v>15927550162</v>
      </c>
      <c r="C433" t="str">
        <f>"420105199212221224"</f>
        <v>420105199212221224</v>
      </c>
      <c r="D433" t="s">
        <v>0</v>
      </c>
      <c r="E433" t="s">
        <v>0</v>
      </c>
      <c r="F433" t="str">
        <f>"2019-01-12 17:09:09"</f>
        <v>2019-01-12 17:09:09</v>
      </c>
    </row>
    <row r="434" spans="1:6" x14ac:dyDescent="0.3">
      <c r="A434" t="s">
        <v>742</v>
      </c>
      <c r="B434" t="str">
        <f>"15584226633"</f>
        <v>15584226633</v>
      </c>
      <c r="C434" t="str">
        <f>"220625198504171530"</f>
        <v>220625198504171530</v>
      </c>
      <c r="D434" t="s">
        <v>743</v>
      </c>
      <c r="E434" t="s">
        <v>744</v>
      </c>
      <c r="F434" t="str">
        <f>"2019-01-12 17:08:56"</f>
        <v>2019-01-12 17:08:56</v>
      </c>
    </row>
    <row r="435" spans="1:6" x14ac:dyDescent="0.3">
      <c r="A435" t="s">
        <v>745</v>
      </c>
      <c r="B435" t="str">
        <f>"18974509233"</f>
        <v>18974509233</v>
      </c>
      <c r="C435" t="str">
        <f>"431226198904100330"</f>
        <v>431226198904100330</v>
      </c>
      <c r="D435" t="s">
        <v>746</v>
      </c>
      <c r="E435" t="s">
        <v>747</v>
      </c>
      <c r="F435" t="str">
        <f>"2019-01-12 17:08:32"</f>
        <v>2019-01-12 17:08:32</v>
      </c>
    </row>
    <row r="436" spans="1:6" x14ac:dyDescent="0.3">
      <c r="A436" t="s">
        <v>748</v>
      </c>
      <c r="B436" t="str">
        <f>"13136032441"</f>
        <v>13136032441</v>
      </c>
      <c r="C436" t="str">
        <f>"460105200007057528"</f>
        <v>460105200007057528</v>
      </c>
      <c r="D436" t="s">
        <v>749</v>
      </c>
      <c r="E436" t="s">
        <v>750</v>
      </c>
      <c r="F436" t="str">
        <f>"2019-01-12 17:06:42"</f>
        <v>2019-01-12 17:06:42</v>
      </c>
    </row>
    <row r="437" spans="1:6" x14ac:dyDescent="0.3">
      <c r="A437" t="s">
        <v>751</v>
      </c>
      <c r="B437" t="str">
        <f>"18661773818"</f>
        <v>18661773818</v>
      </c>
      <c r="C437" t="str">
        <f>"370282199305205614"</f>
        <v>370282199305205614</v>
      </c>
      <c r="D437" t="s">
        <v>752</v>
      </c>
      <c r="E437" t="s">
        <v>753</v>
      </c>
      <c r="F437" t="str">
        <f>"2019-01-12 17:04:16"</f>
        <v>2019-01-12 17:04:16</v>
      </c>
    </row>
    <row r="438" spans="1:6" x14ac:dyDescent="0.3">
      <c r="A438" t="s">
        <v>754</v>
      </c>
      <c r="B438" t="str">
        <f>"18753888380"</f>
        <v>18753888380</v>
      </c>
      <c r="C438" t="str">
        <f>"370921198903021517"</f>
        <v>370921198903021517</v>
      </c>
      <c r="D438" t="s">
        <v>755</v>
      </c>
      <c r="E438" t="s">
        <v>756</v>
      </c>
      <c r="F438" t="str">
        <f>"2019-01-12 17:03:39"</f>
        <v>2019-01-12 17:03:39</v>
      </c>
    </row>
    <row r="439" spans="1:6" x14ac:dyDescent="0.3">
      <c r="A439" t="s">
        <v>757</v>
      </c>
      <c r="B439" t="str">
        <f>"18708303952"</f>
        <v>18708303952</v>
      </c>
      <c r="C439" t="str">
        <f>"510311199009151312"</f>
        <v>510311199009151312</v>
      </c>
      <c r="D439" t="s">
        <v>0</v>
      </c>
      <c r="E439" t="s">
        <v>0</v>
      </c>
      <c r="F439" t="str">
        <f>"2019-01-12 17:03:09"</f>
        <v>2019-01-12 17:03:09</v>
      </c>
    </row>
    <row r="440" spans="1:6" x14ac:dyDescent="0.3">
      <c r="A440" t="s">
        <v>758</v>
      </c>
      <c r="B440" t="str">
        <f>"13974243173"</f>
        <v>13974243173</v>
      </c>
      <c r="C440" t="str">
        <f>"432401197003200019"</f>
        <v>432401197003200019</v>
      </c>
      <c r="D440" t="s">
        <v>759</v>
      </c>
      <c r="E440" t="s">
        <v>760</v>
      </c>
      <c r="F440" t="str">
        <f>"2019-01-12 17:02:52"</f>
        <v>2019-01-12 17:02:52</v>
      </c>
    </row>
    <row r="441" spans="1:6" x14ac:dyDescent="0.3">
      <c r="A441" t="s">
        <v>761</v>
      </c>
      <c r="B441" t="str">
        <f>"13621256792"</f>
        <v>13621256792</v>
      </c>
      <c r="C441" t="str">
        <f>"411302199104174513"</f>
        <v>411302199104174513</v>
      </c>
      <c r="D441" t="s">
        <v>762</v>
      </c>
      <c r="E441" t="s">
        <v>763</v>
      </c>
      <c r="F441" t="str">
        <f>"2019-01-12 17:02:52"</f>
        <v>2019-01-12 17:02:52</v>
      </c>
    </row>
    <row r="442" spans="1:6" x14ac:dyDescent="0.3">
      <c r="A442" t="s">
        <v>764</v>
      </c>
      <c r="B442" t="str">
        <f>"15040878881"</f>
        <v>15040878881</v>
      </c>
      <c r="C442" t="str">
        <f>"21132419800714671X"</f>
        <v>21132419800714671X</v>
      </c>
      <c r="D442" t="s">
        <v>765</v>
      </c>
      <c r="E442" t="s">
        <v>766</v>
      </c>
      <c r="F442" t="str">
        <f>"2019-01-12 17:01:56"</f>
        <v>2019-01-12 17:01:56</v>
      </c>
    </row>
    <row r="443" spans="1:6" x14ac:dyDescent="0.3">
      <c r="A443" t="s">
        <v>0</v>
      </c>
      <c r="B443" t="str">
        <f>"13656919006"</f>
        <v>13656919006</v>
      </c>
      <c r="C443" t="s">
        <v>0</v>
      </c>
      <c r="D443" t="s">
        <v>0</v>
      </c>
      <c r="E443" t="s">
        <v>0</v>
      </c>
      <c r="F443" t="str">
        <f>"2019-01-12 16:59:51"</f>
        <v>2019-01-12 16:59:51</v>
      </c>
    </row>
    <row r="444" spans="1:6" x14ac:dyDescent="0.3">
      <c r="A444" t="s">
        <v>0</v>
      </c>
      <c r="B444" t="str">
        <f>"18282580377"</f>
        <v>18282580377</v>
      </c>
      <c r="C444" t="s">
        <v>0</v>
      </c>
      <c r="D444" t="s">
        <v>0</v>
      </c>
      <c r="E444" t="s">
        <v>0</v>
      </c>
      <c r="F444" t="str">
        <f>"2019-01-12 16:59:25"</f>
        <v>2019-01-12 16:59:25</v>
      </c>
    </row>
    <row r="445" spans="1:6" x14ac:dyDescent="0.3">
      <c r="A445" t="s">
        <v>767</v>
      </c>
      <c r="B445" t="str">
        <f>"18205613473"</f>
        <v>18205613473</v>
      </c>
      <c r="C445" t="str">
        <f>"34060219851019001X"</f>
        <v>34060219851019001X</v>
      </c>
      <c r="D445" t="s">
        <v>768</v>
      </c>
      <c r="E445" t="s">
        <v>769</v>
      </c>
      <c r="F445" t="str">
        <f>"2019-01-12 16:58:32"</f>
        <v>2019-01-12 16:58:32</v>
      </c>
    </row>
    <row r="446" spans="1:6" x14ac:dyDescent="0.3">
      <c r="A446" t="s">
        <v>0</v>
      </c>
      <c r="B446" t="str">
        <f>"13955138254"</f>
        <v>13955138254</v>
      </c>
      <c r="C446" t="s">
        <v>0</v>
      </c>
      <c r="D446" t="s">
        <v>0</v>
      </c>
      <c r="E446" t="s">
        <v>0</v>
      </c>
      <c r="F446" t="str">
        <f>"2019-01-12 16:58:11"</f>
        <v>2019-01-12 16:58:11</v>
      </c>
    </row>
    <row r="447" spans="1:6" x14ac:dyDescent="0.3">
      <c r="A447" t="s">
        <v>770</v>
      </c>
      <c r="B447" t="str">
        <f>"15222608021"</f>
        <v>15222608021</v>
      </c>
      <c r="C447" t="str">
        <f>"130921199107221227"</f>
        <v>130921199107221227</v>
      </c>
      <c r="D447" t="s">
        <v>771</v>
      </c>
      <c r="E447" t="s">
        <v>772</v>
      </c>
      <c r="F447" t="str">
        <f>"2019-01-12 16:55:21"</f>
        <v>2019-01-12 16:55:21</v>
      </c>
    </row>
    <row r="448" spans="1:6" x14ac:dyDescent="0.3">
      <c r="A448" t="s">
        <v>0</v>
      </c>
      <c r="B448" t="str">
        <f>"15925661773"</f>
        <v>15925661773</v>
      </c>
      <c r="C448" t="s">
        <v>0</v>
      </c>
      <c r="D448" t="s">
        <v>0</v>
      </c>
      <c r="E448" t="s">
        <v>0</v>
      </c>
      <c r="F448" t="str">
        <f>"2019-01-12 16:54:29"</f>
        <v>2019-01-12 16:54:29</v>
      </c>
    </row>
    <row r="449" spans="1:6" x14ac:dyDescent="0.3">
      <c r="A449" t="s">
        <v>0</v>
      </c>
      <c r="B449" t="str">
        <f>"15870938470"</f>
        <v>15870938470</v>
      </c>
      <c r="C449" t="s">
        <v>0</v>
      </c>
      <c r="D449" t="s">
        <v>0</v>
      </c>
      <c r="E449" t="s">
        <v>0</v>
      </c>
      <c r="F449" t="str">
        <f>"2019-01-12 16:54:20"</f>
        <v>2019-01-12 16:54:20</v>
      </c>
    </row>
    <row r="450" spans="1:6" x14ac:dyDescent="0.3">
      <c r="A450" t="s">
        <v>773</v>
      </c>
      <c r="B450" t="str">
        <f>"17671352881"</f>
        <v>17671352881</v>
      </c>
      <c r="C450" t="str">
        <f>"422825199603250618"</f>
        <v>422825199603250618</v>
      </c>
      <c r="D450" t="s">
        <v>774</v>
      </c>
      <c r="E450" t="s">
        <v>775</v>
      </c>
      <c r="F450" t="str">
        <f>"2019-01-12 16:51:49"</f>
        <v>2019-01-12 16:51:49</v>
      </c>
    </row>
    <row r="451" spans="1:6" x14ac:dyDescent="0.3">
      <c r="A451" t="s">
        <v>0</v>
      </c>
      <c r="B451" t="str">
        <f>"15960864465"</f>
        <v>15960864465</v>
      </c>
      <c r="C451" t="s">
        <v>0</v>
      </c>
      <c r="D451" t="s">
        <v>0</v>
      </c>
      <c r="E451" t="s">
        <v>0</v>
      </c>
      <c r="F451" t="str">
        <f>"2019-01-12 16:50:15"</f>
        <v>2019-01-12 16:50:15</v>
      </c>
    </row>
    <row r="452" spans="1:6" x14ac:dyDescent="0.3">
      <c r="A452" t="s">
        <v>0</v>
      </c>
      <c r="B452" t="str">
        <f>"13626294532"</f>
        <v>13626294532</v>
      </c>
      <c r="C452" t="s">
        <v>0</v>
      </c>
      <c r="D452" t="s">
        <v>0</v>
      </c>
      <c r="E452" t="s">
        <v>0</v>
      </c>
      <c r="F452" t="str">
        <f>"2019-01-12 16:49:47"</f>
        <v>2019-01-12 16:49:47</v>
      </c>
    </row>
    <row r="453" spans="1:6" x14ac:dyDescent="0.3">
      <c r="A453" t="s">
        <v>776</v>
      </c>
      <c r="B453" t="str">
        <f>"13858089232"</f>
        <v>13858089232</v>
      </c>
      <c r="C453" t="str">
        <f>"330105198807013129"</f>
        <v>330105198807013129</v>
      </c>
      <c r="D453" t="s">
        <v>777</v>
      </c>
      <c r="E453" t="s">
        <v>778</v>
      </c>
      <c r="F453" t="str">
        <f>"2019-01-12 16:47:41"</f>
        <v>2019-01-12 16:47:41</v>
      </c>
    </row>
    <row r="454" spans="1:6" x14ac:dyDescent="0.3">
      <c r="A454" t="s">
        <v>779</v>
      </c>
      <c r="B454" t="str">
        <f>"13910856368"</f>
        <v>13910856368</v>
      </c>
      <c r="C454" t="str">
        <f>"11010519851003581X"</f>
        <v>11010519851003581X</v>
      </c>
      <c r="D454" t="s">
        <v>780</v>
      </c>
      <c r="E454" t="s">
        <v>781</v>
      </c>
      <c r="F454" t="str">
        <f>"2019-01-12 16:46:30"</f>
        <v>2019-01-12 16:46:30</v>
      </c>
    </row>
    <row r="455" spans="1:6" x14ac:dyDescent="0.3">
      <c r="A455" t="s">
        <v>782</v>
      </c>
      <c r="B455" t="str">
        <f>"17777525352"</f>
        <v>17777525352</v>
      </c>
      <c r="C455" t="str">
        <f>"45088119800422141X"</f>
        <v>45088119800422141X</v>
      </c>
      <c r="D455" t="s">
        <v>0</v>
      </c>
      <c r="E455" t="s">
        <v>0</v>
      </c>
      <c r="F455" t="str">
        <f>"2019-01-12 16:46:23"</f>
        <v>2019-01-12 16:46:23</v>
      </c>
    </row>
    <row r="456" spans="1:6" x14ac:dyDescent="0.3">
      <c r="A456" t="s">
        <v>783</v>
      </c>
      <c r="B456" t="str">
        <f>"17732341222"</f>
        <v>17732341222</v>
      </c>
      <c r="C456" t="str">
        <f>"13070319831029241X"</f>
        <v>13070319831029241X</v>
      </c>
      <c r="D456" t="s">
        <v>784</v>
      </c>
      <c r="E456" t="s">
        <v>785</v>
      </c>
      <c r="F456" t="str">
        <f>"2019-01-12 16:44:58"</f>
        <v>2019-01-12 16:44:58</v>
      </c>
    </row>
    <row r="457" spans="1:6" x14ac:dyDescent="0.3">
      <c r="A457" t="s">
        <v>786</v>
      </c>
      <c r="B457" t="str">
        <f>"13181023331"</f>
        <v>13181023331</v>
      </c>
      <c r="C457" t="str">
        <f>"372301199807260313"</f>
        <v>372301199807260313</v>
      </c>
      <c r="D457" t="s">
        <v>787</v>
      </c>
      <c r="E457" t="s">
        <v>788</v>
      </c>
      <c r="F457" t="str">
        <f>"2019-01-12 16:43:58"</f>
        <v>2019-01-12 16:43:58</v>
      </c>
    </row>
    <row r="458" spans="1:6" x14ac:dyDescent="0.3">
      <c r="A458" t="s">
        <v>789</v>
      </c>
      <c r="B458" t="str">
        <f>"15001154285"</f>
        <v>15001154285</v>
      </c>
      <c r="C458" t="str">
        <f>"130229197504102815"</f>
        <v>130229197504102815</v>
      </c>
      <c r="D458" t="s">
        <v>790</v>
      </c>
      <c r="E458" t="s">
        <v>791</v>
      </c>
      <c r="F458" t="str">
        <f>"2019-01-12 16:42:44"</f>
        <v>2019-01-12 16:42:44</v>
      </c>
    </row>
    <row r="459" spans="1:6" x14ac:dyDescent="0.3">
      <c r="A459" t="s">
        <v>792</v>
      </c>
      <c r="B459" t="str">
        <f>"17794317768"</f>
        <v>17794317768</v>
      </c>
      <c r="C459" t="str">
        <f>"620422199211021423"</f>
        <v>620422199211021423</v>
      </c>
      <c r="D459" t="s">
        <v>0</v>
      </c>
      <c r="E459" t="s">
        <v>0</v>
      </c>
      <c r="F459" t="str">
        <f>"2019-01-12 16:41:07"</f>
        <v>2019-01-12 16:41:07</v>
      </c>
    </row>
    <row r="460" spans="1:6" x14ac:dyDescent="0.3">
      <c r="A460" t="s">
        <v>0</v>
      </c>
      <c r="B460" t="str">
        <f>"18780757110"</f>
        <v>18780757110</v>
      </c>
      <c r="C460" t="s">
        <v>0</v>
      </c>
      <c r="D460" t="s">
        <v>0</v>
      </c>
      <c r="E460" t="s">
        <v>0</v>
      </c>
      <c r="F460" t="str">
        <f>"2019-01-12 16:39:51"</f>
        <v>2019-01-12 16:39:51</v>
      </c>
    </row>
    <row r="461" spans="1:6" x14ac:dyDescent="0.3">
      <c r="A461" t="s">
        <v>0</v>
      </c>
      <c r="B461" t="str">
        <f>"13712547591"</f>
        <v>13712547591</v>
      </c>
      <c r="C461" t="s">
        <v>0</v>
      </c>
      <c r="D461" t="s">
        <v>0</v>
      </c>
      <c r="E461" t="s">
        <v>0</v>
      </c>
      <c r="F461" t="str">
        <f>"2019-01-12 16:38:41"</f>
        <v>2019-01-12 16:38:41</v>
      </c>
    </row>
    <row r="462" spans="1:6" x14ac:dyDescent="0.3">
      <c r="A462" t="s">
        <v>793</v>
      </c>
      <c r="B462" t="str">
        <f>"13574344976"</f>
        <v>13574344976</v>
      </c>
      <c r="C462" t="str">
        <f>"433130196405010033"</f>
        <v>433130196405010033</v>
      </c>
      <c r="D462" t="s">
        <v>0</v>
      </c>
      <c r="E462" t="s">
        <v>0</v>
      </c>
      <c r="F462" t="str">
        <f>"2019-01-12 16:36:43"</f>
        <v>2019-01-12 16:36:43</v>
      </c>
    </row>
    <row r="463" spans="1:6" x14ac:dyDescent="0.3">
      <c r="A463" t="s">
        <v>794</v>
      </c>
      <c r="B463" t="str">
        <f>"18635501756"</f>
        <v>18635501756</v>
      </c>
      <c r="C463" t="str">
        <f>"140431198409112811"</f>
        <v>140431198409112811</v>
      </c>
      <c r="D463" t="s">
        <v>795</v>
      </c>
      <c r="E463" t="s">
        <v>796</v>
      </c>
      <c r="F463" t="str">
        <f>"2019-01-12 16:36:28"</f>
        <v>2019-01-12 16:36:28</v>
      </c>
    </row>
    <row r="464" spans="1:6" x14ac:dyDescent="0.3">
      <c r="A464" t="s">
        <v>797</v>
      </c>
      <c r="B464" t="str">
        <f>"13661902818"</f>
        <v>13661902818</v>
      </c>
      <c r="C464" t="str">
        <f>"310107198508234916"</f>
        <v>310107198508234916</v>
      </c>
      <c r="D464" t="s">
        <v>798</v>
      </c>
      <c r="E464" t="s">
        <v>799</v>
      </c>
      <c r="F464" t="str">
        <f>"2019-01-12 16:33:19"</f>
        <v>2019-01-12 16:33:19</v>
      </c>
    </row>
    <row r="465" spans="1:6" x14ac:dyDescent="0.3">
      <c r="A465" t="s">
        <v>0</v>
      </c>
      <c r="B465" t="str">
        <f>"15883589929"</f>
        <v>15883589929</v>
      </c>
      <c r="C465" t="s">
        <v>0</v>
      </c>
      <c r="D465" t="s">
        <v>0</v>
      </c>
      <c r="E465" t="s">
        <v>0</v>
      </c>
      <c r="F465" t="str">
        <f>"2019-01-12 16:32:37"</f>
        <v>2019-01-12 16:32:37</v>
      </c>
    </row>
    <row r="466" spans="1:6" x14ac:dyDescent="0.3">
      <c r="A466" t="s">
        <v>0</v>
      </c>
      <c r="B466" t="str">
        <f>"18274441337"</f>
        <v>18274441337</v>
      </c>
      <c r="C466" t="s">
        <v>0</v>
      </c>
      <c r="D466" t="s">
        <v>0</v>
      </c>
      <c r="E466" t="s">
        <v>0</v>
      </c>
      <c r="F466" t="str">
        <f>"2019-01-12 16:31:38"</f>
        <v>2019-01-12 16:31:38</v>
      </c>
    </row>
    <row r="467" spans="1:6" x14ac:dyDescent="0.3">
      <c r="A467" t="s">
        <v>800</v>
      </c>
      <c r="B467" t="str">
        <f>"13607599992"</f>
        <v>13607599992</v>
      </c>
      <c r="C467" t="str">
        <f>"350623198511114813"</f>
        <v>350623198511114813</v>
      </c>
      <c r="D467" t="s">
        <v>801</v>
      </c>
      <c r="E467" t="s">
        <v>802</v>
      </c>
      <c r="F467" t="str">
        <f>"2019-01-12 16:31:06"</f>
        <v>2019-01-12 16:31:06</v>
      </c>
    </row>
    <row r="468" spans="1:6" x14ac:dyDescent="0.3">
      <c r="A468" t="s">
        <v>803</v>
      </c>
      <c r="B468" t="str">
        <f>"13784335673"</f>
        <v>13784335673</v>
      </c>
      <c r="C468" t="str">
        <f>"130129199304254615"</f>
        <v>130129199304254615</v>
      </c>
      <c r="D468" t="s">
        <v>804</v>
      </c>
      <c r="E468" t="s">
        <v>805</v>
      </c>
      <c r="F468" t="str">
        <f>"2019-01-12 16:30:24"</f>
        <v>2019-01-12 16:30:24</v>
      </c>
    </row>
    <row r="469" spans="1:6" x14ac:dyDescent="0.3">
      <c r="A469" t="s">
        <v>0</v>
      </c>
      <c r="B469" t="str">
        <f>"18547549117"</f>
        <v>18547549117</v>
      </c>
      <c r="C469" t="s">
        <v>0</v>
      </c>
      <c r="D469" t="s">
        <v>0</v>
      </c>
      <c r="E469" t="s">
        <v>0</v>
      </c>
      <c r="F469" t="str">
        <f>"2019-01-12 16:27:01"</f>
        <v>2019-01-12 16:27:01</v>
      </c>
    </row>
    <row r="470" spans="1:6" x14ac:dyDescent="0.3">
      <c r="A470" t="s">
        <v>0</v>
      </c>
      <c r="B470" t="str">
        <f>"15557068150"</f>
        <v>15557068150</v>
      </c>
      <c r="C470" t="s">
        <v>0</v>
      </c>
      <c r="D470" t="s">
        <v>0</v>
      </c>
      <c r="E470" t="s">
        <v>0</v>
      </c>
      <c r="F470" t="str">
        <f>"2019-01-12 16:25:53"</f>
        <v>2019-01-12 16:25:53</v>
      </c>
    </row>
    <row r="471" spans="1:6" x14ac:dyDescent="0.3">
      <c r="A471" t="s">
        <v>806</v>
      </c>
      <c r="B471" t="str">
        <f>"13546738341"</f>
        <v>13546738341</v>
      </c>
      <c r="C471" t="str">
        <f>"142402199711301212"</f>
        <v>142402199711301212</v>
      </c>
      <c r="D471" t="s">
        <v>807</v>
      </c>
      <c r="E471" t="s">
        <v>808</v>
      </c>
      <c r="F471" t="str">
        <f>"2019-01-12 16:25:48"</f>
        <v>2019-01-12 16:25:48</v>
      </c>
    </row>
    <row r="472" spans="1:6" x14ac:dyDescent="0.3">
      <c r="A472" t="s">
        <v>0</v>
      </c>
      <c r="B472" t="str">
        <f>"13780684650"</f>
        <v>13780684650</v>
      </c>
      <c r="C472" t="s">
        <v>0</v>
      </c>
      <c r="D472" t="s">
        <v>0</v>
      </c>
      <c r="E472" t="s">
        <v>0</v>
      </c>
      <c r="F472" t="str">
        <f>"2019-01-12 16:24:54"</f>
        <v>2019-01-12 16:24:54</v>
      </c>
    </row>
    <row r="473" spans="1:6" x14ac:dyDescent="0.3">
      <c r="A473" t="s">
        <v>809</v>
      </c>
      <c r="B473" t="str">
        <f>"13413257111"</f>
        <v>13413257111</v>
      </c>
      <c r="C473" t="str">
        <f>"441224198706175410"</f>
        <v>441224198706175410</v>
      </c>
      <c r="D473" t="s">
        <v>810</v>
      </c>
      <c r="E473" t="s">
        <v>810</v>
      </c>
      <c r="F473" t="str">
        <f>"2019-01-12 16:24:04"</f>
        <v>2019-01-12 16:24:04</v>
      </c>
    </row>
    <row r="474" spans="1:6" x14ac:dyDescent="0.3">
      <c r="A474" t="s">
        <v>811</v>
      </c>
      <c r="B474" t="str">
        <f>"18582550446"</f>
        <v>18582550446</v>
      </c>
      <c r="C474" t="str">
        <f>"511622199010246139"</f>
        <v>511622199010246139</v>
      </c>
      <c r="D474" t="s">
        <v>812</v>
      </c>
      <c r="E474" t="s">
        <v>813</v>
      </c>
      <c r="F474" t="str">
        <f>"2019-01-12 16:23:20"</f>
        <v>2019-01-12 16:23:20</v>
      </c>
    </row>
    <row r="475" spans="1:6" x14ac:dyDescent="0.3">
      <c r="A475" t="s">
        <v>814</v>
      </c>
      <c r="B475" t="str">
        <f>"18686086845"</f>
        <v>18686086845</v>
      </c>
      <c r="C475" t="str">
        <f>"150102198612014612"</f>
        <v>150102198612014612</v>
      </c>
      <c r="D475" t="s">
        <v>0</v>
      </c>
      <c r="E475" t="s">
        <v>0</v>
      </c>
      <c r="F475" t="str">
        <f>"2019-01-12 16:20:20"</f>
        <v>2019-01-12 16:20:20</v>
      </c>
    </row>
    <row r="476" spans="1:6" x14ac:dyDescent="0.3">
      <c r="A476" t="s">
        <v>0</v>
      </c>
      <c r="B476" t="str">
        <f>"15950839171"</f>
        <v>15950839171</v>
      </c>
      <c r="C476" t="s">
        <v>0</v>
      </c>
      <c r="D476" t="s">
        <v>0</v>
      </c>
      <c r="E476" t="s">
        <v>0</v>
      </c>
      <c r="F476" t="str">
        <f>"2019-01-12 16:20:19"</f>
        <v>2019-01-12 16:20:19</v>
      </c>
    </row>
    <row r="477" spans="1:6" x14ac:dyDescent="0.3">
      <c r="A477" t="s">
        <v>0</v>
      </c>
      <c r="B477" t="str">
        <f>"15547283656"</f>
        <v>15547283656</v>
      </c>
      <c r="C477" t="s">
        <v>0</v>
      </c>
      <c r="D477" t="s">
        <v>0</v>
      </c>
      <c r="E477" t="s">
        <v>0</v>
      </c>
      <c r="F477" t="str">
        <f>"2019-01-12 16:17:42"</f>
        <v>2019-01-12 16:17:42</v>
      </c>
    </row>
    <row r="478" spans="1:6" x14ac:dyDescent="0.3">
      <c r="A478" t="s">
        <v>815</v>
      </c>
      <c r="B478" t="str">
        <f>"13215096507"</f>
        <v>13215096507</v>
      </c>
      <c r="C478" t="str">
        <f>"35080219841210351X"</f>
        <v>35080219841210351X</v>
      </c>
      <c r="D478" t="s">
        <v>816</v>
      </c>
      <c r="E478" t="s">
        <v>817</v>
      </c>
      <c r="F478" t="str">
        <f>"2019-01-12 16:17:29"</f>
        <v>2019-01-12 16:17:29</v>
      </c>
    </row>
    <row r="479" spans="1:6" x14ac:dyDescent="0.3">
      <c r="A479" t="s">
        <v>818</v>
      </c>
      <c r="B479" t="str">
        <f>"18927294407"</f>
        <v>18927294407</v>
      </c>
      <c r="C479" t="str">
        <f>"440684198605045710"</f>
        <v>440684198605045710</v>
      </c>
      <c r="D479" t="s">
        <v>819</v>
      </c>
      <c r="E479" t="s">
        <v>820</v>
      </c>
      <c r="F479" t="str">
        <f>"2019-01-12 16:16:13"</f>
        <v>2019-01-12 16:16:13</v>
      </c>
    </row>
    <row r="480" spans="1:6" x14ac:dyDescent="0.3">
      <c r="A480" t="s">
        <v>821</v>
      </c>
      <c r="B480" t="str">
        <f>"18733868228"</f>
        <v>18733868228</v>
      </c>
      <c r="C480" t="str">
        <f>"130634198810013594"</f>
        <v>130634198810013594</v>
      </c>
      <c r="D480" t="s">
        <v>822</v>
      </c>
      <c r="E480" t="s">
        <v>822</v>
      </c>
      <c r="F480" t="str">
        <f>"2019-01-12 16:14:44"</f>
        <v>2019-01-12 16:14:44</v>
      </c>
    </row>
    <row r="481" spans="1:6" x14ac:dyDescent="0.3">
      <c r="A481" t="s">
        <v>0</v>
      </c>
      <c r="B481" t="str">
        <f>"15236394735"</f>
        <v>15236394735</v>
      </c>
      <c r="C481" t="s">
        <v>0</v>
      </c>
      <c r="D481" t="s">
        <v>0</v>
      </c>
      <c r="E481" t="s">
        <v>0</v>
      </c>
      <c r="F481" t="str">
        <f>"2019-01-12 16:09:51"</f>
        <v>2019-01-12 16:09:51</v>
      </c>
    </row>
    <row r="482" spans="1:6" x14ac:dyDescent="0.3">
      <c r="A482" t="s">
        <v>823</v>
      </c>
      <c r="B482" t="str">
        <f>"13633324292"</f>
        <v>13633324292</v>
      </c>
      <c r="C482" t="str">
        <f>"130625199407076315"</f>
        <v>130625199407076315</v>
      </c>
      <c r="D482" t="s">
        <v>824</v>
      </c>
      <c r="E482" t="s">
        <v>825</v>
      </c>
      <c r="F482" t="str">
        <f>"2019-01-12 16:08:55"</f>
        <v>2019-01-12 16:08:55</v>
      </c>
    </row>
    <row r="483" spans="1:6" x14ac:dyDescent="0.3">
      <c r="A483" t="s">
        <v>0</v>
      </c>
      <c r="B483" t="str">
        <f>"17791498484"</f>
        <v>17791498484</v>
      </c>
      <c r="C483" t="s">
        <v>0</v>
      </c>
      <c r="D483" t="s">
        <v>0</v>
      </c>
      <c r="E483" t="s">
        <v>0</v>
      </c>
      <c r="F483" t="str">
        <f>"2019-01-12 16:08:01"</f>
        <v>2019-01-12 16:08:01</v>
      </c>
    </row>
    <row r="484" spans="1:6" x14ac:dyDescent="0.3">
      <c r="A484" t="s">
        <v>0</v>
      </c>
      <c r="B484" t="str">
        <f>"15874847657"</f>
        <v>15874847657</v>
      </c>
      <c r="C484" t="s">
        <v>0</v>
      </c>
      <c r="D484" t="s">
        <v>0</v>
      </c>
      <c r="E484" t="s">
        <v>0</v>
      </c>
      <c r="F484" t="str">
        <f>"2019-01-12 16:05:39"</f>
        <v>2019-01-12 16:05:39</v>
      </c>
    </row>
    <row r="485" spans="1:6" x14ac:dyDescent="0.3">
      <c r="A485" t="s">
        <v>0</v>
      </c>
      <c r="B485" t="str">
        <f>"15296697493"</f>
        <v>15296697493</v>
      </c>
      <c r="C485" t="s">
        <v>0</v>
      </c>
      <c r="D485" t="s">
        <v>0</v>
      </c>
      <c r="E485" t="s">
        <v>0</v>
      </c>
      <c r="F485" t="str">
        <f>"2019-01-12 16:02:56"</f>
        <v>2019-01-12 16:02:56</v>
      </c>
    </row>
    <row r="486" spans="1:6" x14ac:dyDescent="0.3">
      <c r="A486" t="s">
        <v>826</v>
      </c>
      <c r="B486" t="str">
        <f>"18689633657"</f>
        <v>18689633657</v>
      </c>
      <c r="C486" t="str">
        <f>"469021199810142120"</f>
        <v>469021199810142120</v>
      </c>
      <c r="D486" t="s">
        <v>827</v>
      </c>
      <c r="E486" t="s">
        <v>828</v>
      </c>
      <c r="F486" t="str">
        <f>"2019-01-12 16:01:48"</f>
        <v>2019-01-12 16:01:48</v>
      </c>
    </row>
    <row r="487" spans="1:6" x14ac:dyDescent="0.3">
      <c r="A487" t="s">
        <v>0</v>
      </c>
      <c r="B487" t="str">
        <f>"18319276630"</f>
        <v>18319276630</v>
      </c>
      <c r="C487" t="s">
        <v>0</v>
      </c>
      <c r="D487" t="s">
        <v>0</v>
      </c>
      <c r="E487" t="s">
        <v>0</v>
      </c>
      <c r="F487" t="str">
        <f>"2019-01-12 15:59:01"</f>
        <v>2019-01-12 15:59:01</v>
      </c>
    </row>
    <row r="488" spans="1:6" x14ac:dyDescent="0.3">
      <c r="A488" t="s">
        <v>0</v>
      </c>
      <c r="B488" t="str">
        <f>"18550549662"</f>
        <v>18550549662</v>
      </c>
      <c r="C488" t="s">
        <v>0</v>
      </c>
      <c r="D488" t="s">
        <v>0</v>
      </c>
      <c r="E488" t="s">
        <v>0</v>
      </c>
      <c r="F488" t="str">
        <f>"2019-01-12 15:58:00"</f>
        <v>2019-01-12 15:58:00</v>
      </c>
    </row>
    <row r="489" spans="1:6" x14ac:dyDescent="0.3">
      <c r="A489" t="s">
        <v>0</v>
      </c>
      <c r="B489" t="str">
        <f>"18576562610"</f>
        <v>18576562610</v>
      </c>
      <c r="C489" t="s">
        <v>0</v>
      </c>
      <c r="D489" t="s">
        <v>0</v>
      </c>
      <c r="E489" t="s">
        <v>0</v>
      </c>
      <c r="F489" t="str">
        <f>"2019-01-12 15:57:58"</f>
        <v>2019-01-12 15:57:58</v>
      </c>
    </row>
    <row r="490" spans="1:6" x14ac:dyDescent="0.3">
      <c r="A490" t="s">
        <v>829</v>
      </c>
      <c r="B490" t="str">
        <f>"18321639290"</f>
        <v>18321639290</v>
      </c>
      <c r="C490" t="str">
        <f>"500101198312140499"</f>
        <v>500101198312140499</v>
      </c>
      <c r="D490" t="s">
        <v>830</v>
      </c>
      <c r="E490" t="s">
        <v>831</v>
      </c>
      <c r="F490" t="str">
        <f>"2019-01-12 15:57:40"</f>
        <v>2019-01-12 15:57:40</v>
      </c>
    </row>
    <row r="491" spans="1:6" x14ac:dyDescent="0.3">
      <c r="A491" t="s">
        <v>832</v>
      </c>
      <c r="B491" t="str">
        <f>"13685990764"</f>
        <v>13685990764</v>
      </c>
      <c r="C491" t="str">
        <f>"350802198901205015"</f>
        <v>350802198901205015</v>
      </c>
      <c r="D491" t="s">
        <v>0</v>
      </c>
      <c r="E491" t="s">
        <v>0</v>
      </c>
      <c r="F491" t="str">
        <f>"2019-01-12 15:56:39"</f>
        <v>2019-01-12 15:56:39</v>
      </c>
    </row>
    <row r="492" spans="1:6" x14ac:dyDescent="0.3">
      <c r="A492" t="s">
        <v>833</v>
      </c>
      <c r="B492" t="str">
        <f>"13913860653"</f>
        <v>13913860653</v>
      </c>
      <c r="C492" t="str">
        <f>"341122199808253611"</f>
        <v>341122199808253611</v>
      </c>
      <c r="D492" t="s">
        <v>834</v>
      </c>
      <c r="E492" t="s">
        <v>835</v>
      </c>
      <c r="F492" t="str">
        <f>"2019-01-12 15:56:39"</f>
        <v>2019-01-12 15:56:39</v>
      </c>
    </row>
    <row r="493" spans="1:6" x14ac:dyDescent="0.3">
      <c r="A493" t="s">
        <v>0</v>
      </c>
      <c r="B493" t="str">
        <f>"18233059007"</f>
        <v>18233059007</v>
      </c>
      <c r="C493" t="s">
        <v>0</v>
      </c>
      <c r="D493" t="s">
        <v>0</v>
      </c>
      <c r="E493" t="s">
        <v>0</v>
      </c>
      <c r="F493" t="str">
        <f>"2019-01-12 15:55:04"</f>
        <v>2019-01-12 15:55:04</v>
      </c>
    </row>
    <row r="494" spans="1:6" x14ac:dyDescent="0.3">
      <c r="A494" t="s">
        <v>836</v>
      </c>
      <c r="B494" t="str">
        <f>"13956751719"</f>
        <v>13956751719</v>
      </c>
      <c r="C494" t="str">
        <f>"341221198610092271"</f>
        <v>341221198610092271</v>
      </c>
      <c r="D494" t="s">
        <v>0</v>
      </c>
      <c r="E494" t="s">
        <v>0</v>
      </c>
      <c r="F494" t="str">
        <f>"2019-01-12 15:54:02"</f>
        <v>2019-01-12 15:54:02</v>
      </c>
    </row>
    <row r="495" spans="1:6" x14ac:dyDescent="0.3">
      <c r="A495" t="s">
        <v>837</v>
      </c>
      <c r="B495" t="str">
        <f>"13993101162"</f>
        <v>13993101162</v>
      </c>
      <c r="C495" t="str">
        <f>"411423198707242012"</f>
        <v>411423198707242012</v>
      </c>
      <c r="D495" t="s">
        <v>838</v>
      </c>
      <c r="E495" t="s">
        <v>839</v>
      </c>
      <c r="F495" t="str">
        <f>"2019-01-12 15:53:30"</f>
        <v>2019-01-12 15:53:30</v>
      </c>
    </row>
    <row r="496" spans="1:6" x14ac:dyDescent="0.3">
      <c r="A496" t="s">
        <v>840</v>
      </c>
      <c r="B496" t="str">
        <f>"18299820307"</f>
        <v>18299820307</v>
      </c>
      <c r="C496" t="str">
        <f>"510623198007114910"</f>
        <v>510623198007114910</v>
      </c>
      <c r="D496" t="s">
        <v>0</v>
      </c>
      <c r="E496" t="s">
        <v>0</v>
      </c>
      <c r="F496" t="str">
        <f>"2019-01-12 15:47:13"</f>
        <v>2019-01-12 15:47:13</v>
      </c>
    </row>
    <row r="497" spans="1:6" x14ac:dyDescent="0.3">
      <c r="A497" t="s">
        <v>841</v>
      </c>
      <c r="B497" t="str">
        <f>"13776895117"</f>
        <v>13776895117</v>
      </c>
      <c r="C497" t="str">
        <f>"320404198109252833"</f>
        <v>320404198109252833</v>
      </c>
      <c r="D497" t="s">
        <v>842</v>
      </c>
      <c r="E497" t="s">
        <v>843</v>
      </c>
      <c r="F497" t="str">
        <f>"2019-01-12 15:46:15"</f>
        <v>2019-01-12 15:46:15</v>
      </c>
    </row>
    <row r="498" spans="1:6" x14ac:dyDescent="0.3">
      <c r="A498" t="s">
        <v>0</v>
      </c>
      <c r="B498" t="str">
        <f>"15161122996"</f>
        <v>15161122996</v>
      </c>
      <c r="C498" t="s">
        <v>0</v>
      </c>
      <c r="D498" t="s">
        <v>0</v>
      </c>
      <c r="E498" t="s">
        <v>0</v>
      </c>
      <c r="F498" t="str">
        <f>"2019-01-12 15:43:11"</f>
        <v>2019-01-12 15:43:11</v>
      </c>
    </row>
    <row r="499" spans="1:6" x14ac:dyDescent="0.3">
      <c r="A499" t="s">
        <v>0</v>
      </c>
      <c r="B499" t="str">
        <f>"18973339988"</f>
        <v>18973339988</v>
      </c>
      <c r="C499" t="s">
        <v>0</v>
      </c>
      <c r="D499" t="s">
        <v>0</v>
      </c>
      <c r="E499" t="s">
        <v>0</v>
      </c>
      <c r="F499" t="str">
        <f>"2019-01-12 15:42:37"</f>
        <v>2019-01-12 15:42:37</v>
      </c>
    </row>
    <row r="500" spans="1:6" x14ac:dyDescent="0.3">
      <c r="A500" t="s">
        <v>844</v>
      </c>
      <c r="B500" t="str">
        <f>"18611755601"</f>
        <v>18611755601</v>
      </c>
      <c r="C500" t="str">
        <f>"110102198606181513"</f>
        <v>110102198606181513</v>
      </c>
      <c r="D500" t="s">
        <v>845</v>
      </c>
      <c r="E500" t="s">
        <v>846</v>
      </c>
      <c r="F500" t="str">
        <f>"2019-01-12 15:42:34"</f>
        <v>2019-01-12 15:42:34</v>
      </c>
    </row>
    <row r="501" spans="1:6" x14ac:dyDescent="0.3">
      <c r="A501" t="s">
        <v>0</v>
      </c>
      <c r="B501" t="str">
        <f>"18787988197"</f>
        <v>18787988197</v>
      </c>
      <c r="C501" t="s">
        <v>0</v>
      </c>
      <c r="D501" t="s">
        <v>0</v>
      </c>
      <c r="E501" t="s">
        <v>0</v>
      </c>
      <c r="F501" t="str">
        <f>"2019-01-12 15:39:25"</f>
        <v>2019-01-12 15:39:25</v>
      </c>
    </row>
    <row r="502" spans="1:6" x14ac:dyDescent="0.3">
      <c r="A502" t="s">
        <v>847</v>
      </c>
      <c r="B502" t="str">
        <f>"18303926332"</f>
        <v>18303926332</v>
      </c>
      <c r="C502" t="str">
        <f>"410622199707055012"</f>
        <v>410622199707055012</v>
      </c>
      <c r="D502" t="s">
        <v>0</v>
      </c>
      <c r="E502" t="s">
        <v>0</v>
      </c>
      <c r="F502" t="str">
        <f>"2019-01-12 15:37:36"</f>
        <v>2019-01-12 15:37:36</v>
      </c>
    </row>
    <row r="503" spans="1:6" x14ac:dyDescent="0.3">
      <c r="A503" t="s">
        <v>0</v>
      </c>
      <c r="B503" t="str">
        <f>"18702308902"</f>
        <v>18702308902</v>
      </c>
      <c r="C503" t="s">
        <v>0</v>
      </c>
      <c r="D503" t="s">
        <v>0</v>
      </c>
      <c r="E503" t="s">
        <v>0</v>
      </c>
      <c r="F503" t="str">
        <f>"2019-01-12 15:36:24"</f>
        <v>2019-01-12 15:36:24</v>
      </c>
    </row>
    <row r="504" spans="1:6" x14ac:dyDescent="0.3">
      <c r="A504" t="s">
        <v>0</v>
      </c>
      <c r="B504" t="str">
        <f>"13070004672"</f>
        <v>13070004672</v>
      </c>
      <c r="C504" t="s">
        <v>0</v>
      </c>
      <c r="D504" t="s">
        <v>0</v>
      </c>
      <c r="E504" t="s">
        <v>0</v>
      </c>
      <c r="F504" t="str">
        <f>"2019-01-12 15:35:26"</f>
        <v>2019-01-12 15:35:26</v>
      </c>
    </row>
    <row r="505" spans="1:6" x14ac:dyDescent="0.3">
      <c r="A505" t="s">
        <v>848</v>
      </c>
      <c r="B505" t="str">
        <f>"13453319814"</f>
        <v>13453319814</v>
      </c>
      <c r="C505" t="str">
        <f>"140322198311072418"</f>
        <v>140322198311072418</v>
      </c>
      <c r="D505" t="s">
        <v>849</v>
      </c>
      <c r="E505" t="s">
        <v>850</v>
      </c>
      <c r="F505" t="str">
        <f>"2019-01-12 15:34:59"</f>
        <v>2019-01-12 15:34:59</v>
      </c>
    </row>
    <row r="506" spans="1:6" x14ac:dyDescent="0.3">
      <c r="A506" t="s">
        <v>0</v>
      </c>
      <c r="B506" t="str">
        <f>"13503040246"</f>
        <v>13503040246</v>
      </c>
      <c r="C506" t="s">
        <v>0</v>
      </c>
      <c r="D506" t="s">
        <v>0</v>
      </c>
      <c r="E506" t="s">
        <v>0</v>
      </c>
      <c r="F506" t="str">
        <f>"2019-01-12 15:34:31"</f>
        <v>2019-01-12 15:34:31</v>
      </c>
    </row>
    <row r="507" spans="1:6" x14ac:dyDescent="0.3">
      <c r="A507" t="s">
        <v>851</v>
      </c>
      <c r="B507" t="str">
        <f>"17742430111"</f>
        <v>17742430111</v>
      </c>
      <c r="C507" t="str">
        <f>"610526199508288531"</f>
        <v>610526199508288531</v>
      </c>
      <c r="D507" t="s">
        <v>852</v>
      </c>
      <c r="E507" t="s">
        <v>853</v>
      </c>
      <c r="F507" t="str">
        <f>"2019-01-12 15:34:21"</f>
        <v>2019-01-12 15:34:21</v>
      </c>
    </row>
    <row r="508" spans="1:6" x14ac:dyDescent="0.3">
      <c r="A508" t="s">
        <v>854</v>
      </c>
      <c r="B508" t="str">
        <f>"15872202823"</f>
        <v>15872202823</v>
      </c>
      <c r="C508" t="str">
        <f>"420684199209163513"</f>
        <v>420684199209163513</v>
      </c>
      <c r="D508" t="s">
        <v>0</v>
      </c>
      <c r="E508" t="s">
        <v>0</v>
      </c>
      <c r="F508" t="str">
        <f>"2019-01-12 15:34:06"</f>
        <v>2019-01-12 15:34:06</v>
      </c>
    </row>
    <row r="509" spans="1:6" x14ac:dyDescent="0.3">
      <c r="A509" t="s">
        <v>855</v>
      </c>
      <c r="B509" t="str">
        <f>"18227471902"</f>
        <v>18227471902</v>
      </c>
      <c r="C509" t="str">
        <f>"513335199507281041"</f>
        <v>513335199507281041</v>
      </c>
      <c r="D509" t="s">
        <v>0</v>
      </c>
      <c r="E509" t="s">
        <v>0</v>
      </c>
      <c r="F509" t="str">
        <f>"2019-01-12 15:33:01"</f>
        <v>2019-01-12 15:33:01</v>
      </c>
    </row>
    <row r="510" spans="1:6" x14ac:dyDescent="0.3">
      <c r="A510" t="s">
        <v>856</v>
      </c>
      <c r="B510" t="str">
        <f>"18257861311"</f>
        <v>18257861311</v>
      </c>
      <c r="C510" t="str">
        <f>"330225197104193414"</f>
        <v>330225197104193414</v>
      </c>
      <c r="D510" t="s">
        <v>857</v>
      </c>
      <c r="E510" t="s">
        <v>858</v>
      </c>
      <c r="F510" t="str">
        <f>"2019-01-12 15:31:53"</f>
        <v>2019-01-12 15:31:53</v>
      </c>
    </row>
    <row r="511" spans="1:6" x14ac:dyDescent="0.3">
      <c r="A511" t="s">
        <v>0</v>
      </c>
      <c r="B511" t="str">
        <f>"18783043688"</f>
        <v>18783043688</v>
      </c>
      <c r="C511" t="s">
        <v>0</v>
      </c>
      <c r="D511" t="s">
        <v>0</v>
      </c>
      <c r="E511" t="s">
        <v>0</v>
      </c>
      <c r="F511" t="str">
        <f>"2019-01-12 15:29:26"</f>
        <v>2019-01-12 15:29:26</v>
      </c>
    </row>
    <row r="512" spans="1:6" x14ac:dyDescent="0.3">
      <c r="A512" t="s">
        <v>859</v>
      </c>
      <c r="B512" t="str">
        <f>"18286282296"</f>
        <v>18286282296</v>
      </c>
      <c r="C512" t="str">
        <f>"522124198208150013"</f>
        <v>522124198208150013</v>
      </c>
      <c r="D512" t="s">
        <v>860</v>
      </c>
      <c r="E512" t="s">
        <v>861</v>
      </c>
      <c r="F512" t="str">
        <f>"2019-01-12 15:28:19"</f>
        <v>2019-01-12 15:28:19</v>
      </c>
    </row>
    <row r="513" spans="1:6" x14ac:dyDescent="0.3">
      <c r="A513" t="s">
        <v>0</v>
      </c>
      <c r="B513" t="str">
        <f>"15261628020"</f>
        <v>15261628020</v>
      </c>
      <c r="C513" t="s">
        <v>0</v>
      </c>
      <c r="D513" t="s">
        <v>0</v>
      </c>
      <c r="E513" t="s">
        <v>0</v>
      </c>
      <c r="F513" t="str">
        <f>"2019-01-12 15:27:58"</f>
        <v>2019-01-12 15:27:58</v>
      </c>
    </row>
    <row r="514" spans="1:6" x14ac:dyDescent="0.3">
      <c r="A514" t="s">
        <v>0</v>
      </c>
      <c r="B514" t="str">
        <f>"15818810804"</f>
        <v>15818810804</v>
      </c>
      <c r="C514" t="s">
        <v>0</v>
      </c>
      <c r="D514" t="s">
        <v>0</v>
      </c>
      <c r="E514" t="s">
        <v>0</v>
      </c>
      <c r="F514" t="str">
        <f>"2019-01-12 15:20:47"</f>
        <v>2019-01-12 15:20:47</v>
      </c>
    </row>
    <row r="515" spans="1:6" x14ac:dyDescent="0.3">
      <c r="A515" t="s">
        <v>862</v>
      </c>
      <c r="B515" t="str">
        <f>"13326273690"</f>
        <v>13326273690</v>
      </c>
      <c r="C515" t="str">
        <f>"371421199005155714"</f>
        <v>371421199005155714</v>
      </c>
      <c r="D515" t="s">
        <v>863</v>
      </c>
      <c r="E515" t="s">
        <v>864</v>
      </c>
      <c r="F515" t="str">
        <f>"2019-01-12 15:14:12"</f>
        <v>2019-01-12 15:14:12</v>
      </c>
    </row>
    <row r="516" spans="1:6" x14ac:dyDescent="0.3">
      <c r="A516" t="s">
        <v>865</v>
      </c>
      <c r="B516" t="str">
        <f>"14736650471"</f>
        <v>14736650471</v>
      </c>
      <c r="C516" t="str">
        <f>"532129198401140013"</f>
        <v>532129198401140013</v>
      </c>
      <c r="D516" t="s">
        <v>866</v>
      </c>
      <c r="E516" t="s">
        <v>867</v>
      </c>
      <c r="F516" t="str">
        <f>"2019-01-12 15:14:03"</f>
        <v>2019-01-12 15:14:03</v>
      </c>
    </row>
    <row r="517" spans="1:6" x14ac:dyDescent="0.3">
      <c r="A517" t="s">
        <v>0</v>
      </c>
      <c r="B517" t="str">
        <f>"17331216152"</f>
        <v>17331216152</v>
      </c>
      <c r="C517" t="s">
        <v>0</v>
      </c>
      <c r="D517" t="s">
        <v>0</v>
      </c>
      <c r="E517" t="s">
        <v>0</v>
      </c>
      <c r="F517" t="str">
        <f>"2019-01-12 15:12:49"</f>
        <v>2019-01-12 15:12:49</v>
      </c>
    </row>
    <row r="518" spans="1:6" x14ac:dyDescent="0.3">
      <c r="A518" t="s">
        <v>868</v>
      </c>
      <c r="B518" t="str">
        <f>"15260700879"</f>
        <v>15260700879</v>
      </c>
      <c r="C518" t="str">
        <f>"350524199106092513"</f>
        <v>350524199106092513</v>
      </c>
      <c r="D518" t="s">
        <v>869</v>
      </c>
      <c r="E518" t="s">
        <v>870</v>
      </c>
      <c r="F518" t="str">
        <f>"2019-01-12 15:08:54"</f>
        <v>2019-01-12 15:08:54</v>
      </c>
    </row>
    <row r="519" spans="1:6" x14ac:dyDescent="0.3">
      <c r="A519" t="s">
        <v>871</v>
      </c>
      <c r="B519" t="str">
        <f>"18960543586"</f>
        <v>18960543586</v>
      </c>
      <c r="C519" t="str">
        <f>"350423197701270010"</f>
        <v>350423197701270010</v>
      </c>
      <c r="D519" t="s">
        <v>0</v>
      </c>
      <c r="E519" t="s">
        <v>0</v>
      </c>
      <c r="F519" t="str">
        <f>"2019-01-12 15:07:13"</f>
        <v>2019-01-12 15:07:13</v>
      </c>
    </row>
    <row r="520" spans="1:6" x14ac:dyDescent="0.3">
      <c r="A520" t="s">
        <v>0</v>
      </c>
      <c r="B520" t="str">
        <f>"15549164446"</f>
        <v>15549164446</v>
      </c>
      <c r="C520" t="s">
        <v>0</v>
      </c>
      <c r="D520" t="s">
        <v>0</v>
      </c>
      <c r="E520" t="s">
        <v>0</v>
      </c>
      <c r="F520" t="str">
        <f>"2019-01-12 15:06:19"</f>
        <v>2019-01-12 15:06:19</v>
      </c>
    </row>
    <row r="521" spans="1:6" x14ac:dyDescent="0.3">
      <c r="A521" t="s">
        <v>872</v>
      </c>
      <c r="B521" t="str">
        <f>"13621136046"</f>
        <v>13621136046</v>
      </c>
      <c r="C521" t="str">
        <f>"130826198603061738"</f>
        <v>130826198603061738</v>
      </c>
      <c r="D521" t="s">
        <v>0</v>
      </c>
      <c r="E521" t="s">
        <v>0</v>
      </c>
      <c r="F521" t="str">
        <f>"2019-01-12 15:03:44"</f>
        <v>2019-01-12 15:03:44</v>
      </c>
    </row>
    <row r="522" spans="1:6" x14ac:dyDescent="0.3">
      <c r="A522" t="s">
        <v>873</v>
      </c>
      <c r="B522" t="str">
        <f>"15050389696"</f>
        <v>15050389696</v>
      </c>
      <c r="C522" t="str">
        <f>"340321198406077634"</f>
        <v>340321198406077634</v>
      </c>
      <c r="D522" t="s">
        <v>874</v>
      </c>
      <c r="E522" t="s">
        <v>875</v>
      </c>
      <c r="F522" t="str">
        <f>"2019-01-12 15:03:10"</f>
        <v>2019-01-12 15:03:10</v>
      </c>
    </row>
    <row r="523" spans="1:6" x14ac:dyDescent="0.3">
      <c r="A523" t="s">
        <v>876</v>
      </c>
      <c r="B523" t="str">
        <f>"15919501501"</f>
        <v>15919501501</v>
      </c>
      <c r="C523" t="str">
        <f>"445121198708052034"</f>
        <v>445121198708052034</v>
      </c>
      <c r="D523" t="s">
        <v>877</v>
      </c>
      <c r="E523" t="s">
        <v>878</v>
      </c>
      <c r="F523" t="str">
        <f>"2019-01-12 15:02:31"</f>
        <v>2019-01-12 15:02:31</v>
      </c>
    </row>
    <row r="524" spans="1:6" x14ac:dyDescent="0.3">
      <c r="A524" t="s">
        <v>879</v>
      </c>
      <c r="B524" t="str">
        <f>"18985738882"</f>
        <v>18985738882</v>
      </c>
      <c r="C524" t="str">
        <f>"522501199203012414"</f>
        <v>522501199203012414</v>
      </c>
      <c r="D524" t="s">
        <v>880</v>
      </c>
      <c r="E524" t="s">
        <v>881</v>
      </c>
      <c r="F524" t="str">
        <f>"2019-01-12 15:00:35"</f>
        <v>2019-01-12 15:00:35</v>
      </c>
    </row>
    <row r="525" spans="1:6" x14ac:dyDescent="0.3">
      <c r="A525" t="s">
        <v>882</v>
      </c>
      <c r="B525" t="str">
        <f>"15917699376"</f>
        <v>15917699376</v>
      </c>
      <c r="C525" t="str">
        <f>"410426198201290058"</f>
        <v>410426198201290058</v>
      </c>
      <c r="D525" t="s">
        <v>0</v>
      </c>
      <c r="E525" t="s">
        <v>0</v>
      </c>
      <c r="F525" t="str">
        <f>"2019-01-12 14:58:17"</f>
        <v>2019-01-12 14:58:17</v>
      </c>
    </row>
    <row r="526" spans="1:6" x14ac:dyDescent="0.3">
      <c r="A526" t="s">
        <v>883</v>
      </c>
      <c r="B526" t="str">
        <f>"15298653572"</f>
        <v>15298653572</v>
      </c>
      <c r="C526" t="str">
        <f>"320830199112123214"</f>
        <v>320830199112123214</v>
      </c>
      <c r="D526" t="s">
        <v>884</v>
      </c>
      <c r="E526" t="s">
        <v>885</v>
      </c>
      <c r="F526" t="str">
        <f>"2019-01-12 14:57:28"</f>
        <v>2019-01-12 14:57:28</v>
      </c>
    </row>
    <row r="527" spans="1:6" x14ac:dyDescent="0.3">
      <c r="A527" t="s">
        <v>886</v>
      </c>
      <c r="B527" t="str">
        <f>"13573712035"</f>
        <v>13573712035</v>
      </c>
      <c r="C527" t="str">
        <f>"371081199007098412"</f>
        <v>371081199007098412</v>
      </c>
      <c r="D527" t="s">
        <v>887</v>
      </c>
      <c r="E527" t="s">
        <v>888</v>
      </c>
      <c r="F527" t="str">
        <f>"2019-01-12 14:57:03"</f>
        <v>2019-01-12 14:57:03</v>
      </c>
    </row>
    <row r="528" spans="1:6" x14ac:dyDescent="0.3">
      <c r="A528" t="s">
        <v>889</v>
      </c>
      <c r="B528" t="str">
        <f>"13427136255"</f>
        <v>13427136255</v>
      </c>
      <c r="C528" t="str">
        <f>"440782199008200310"</f>
        <v>440782199008200310</v>
      </c>
      <c r="D528" t="s">
        <v>890</v>
      </c>
      <c r="E528" t="s">
        <v>891</v>
      </c>
      <c r="F528" t="str">
        <f>"2019-01-12 14:55:43"</f>
        <v>2019-01-12 14:55:43</v>
      </c>
    </row>
    <row r="529" spans="1:6" x14ac:dyDescent="0.3">
      <c r="A529" t="s">
        <v>0</v>
      </c>
      <c r="B529" t="str">
        <f>"18550911244"</f>
        <v>18550911244</v>
      </c>
      <c r="C529" t="s">
        <v>0</v>
      </c>
      <c r="D529" t="s">
        <v>0</v>
      </c>
      <c r="E529" t="s">
        <v>0</v>
      </c>
      <c r="F529" t="str">
        <f>"2019-01-12 14:52:05"</f>
        <v>2019-01-12 14:52:05</v>
      </c>
    </row>
    <row r="530" spans="1:6" x14ac:dyDescent="0.3">
      <c r="A530" t="s">
        <v>892</v>
      </c>
      <c r="B530" t="str">
        <f>"15250404666"</f>
        <v>15250404666</v>
      </c>
      <c r="C530" t="str">
        <f>"413026198911294513"</f>
        <v>413026198911294513</v>
      </c>
      <c r="D530" t="s">
        <v>893</v>
      </c>
      <c r="E530" t="s">
        <v>894</v>
      </c>
      <c r="F530" t="str">
        <f>"2019-01-12 14:49:57"</f>
        <v>2019-01-12 14:49:57</v>
      </c>
    </row>
    <row r="531" spans="1:6" x14ac:dyDescent="0.3">
      <c r="A531" t="s">
        <v>0</v>
      </c>
      <c r="B531" t="str">
        <f>"18212088086"</f>
        <v>18212088086</v>
      </c>
      <c r="C531" t="s">
        <v>0</v>
      </c>
      <c r="D531" t="s">
        <v>0</v>
      </c>
      <c r="E531" t="s">
        <v>0</v>
      </c>
      <c r="F531" t="str">
        <f>"2019-01-12 14:46:45"</f>
        <v>2019-01-12 14:46:45</v>
      </c>
    </row>
    <row r="532" spans="1:6" x14ac:dyDescent="0.3">
      <c r="A532" t="s">
        <v>895</v>
      </c>
      <c r="B532" t="str">
        <f>"15935884311"</f>
        <v>15935884311</v>
      </c>
      <c r="C532" t="str">
        <f>"142302199008130065"</f>
        <v>142302199008130065</v>
      </c>
      <c r="D532" t="s">
        <v>896</v>
      </c>
      <c r="E532" t="s">
        <v>897</v>
      </c>
      <c r="F532" t="str">
        <f>"2019-01-12 14:43:21"</f>
        <v>2019-01-12 14:43:21</v>
      </c>
    </row>
    <row r="533" spans="1:6" x14ac:dyDescent="0.3">
      <c r="A533" t="s">
        <v>898</v>
      </c>
      <c r="B533" t="str">
        <f>"18710959455"</f>
        <v>18710959455</v>
      </c>
      <c r="C533" t="str">
        <f>"610481198306303822"</f>
        <v>610481198306303822</v>
      </c>
      <c r="D533" t="s">
        <v>899</v>
      </c>
      <c r="E533" t="s">
        <v>900</v>
      </c>
      <c r="F533" t="str">
        <f>"2019-01-12 14:40:42"</f>
        <v>2019-01-12 14:40:42</v>
      </c>
    </row>
    <row r="534" spans="1:6" x14ac:dyDescent="0.3">
      <c r="A534" t="s">
        <v>901</v>
      </c>
      <c r="B534" t="str">
        <f>"13985635656"</f>
        <v>13985635656</v>
      </c>
      <c r="C534" t="str">
        <f>"522129195908300017"</f>
        <v>522129195908300017</v>
      </c>
      <c r="D534" t="s">
        <v>902</v>
      </c>
      <c r="E534" t="s">
        <v>903</v>
      </c>
      <c r="F534" t="str">
        <f>"2019-01-12 14:37:50"</f>
        <v>2019-01-12 14:37:50</v>
      </c>
    </row>
    <row r="535" spans="1:6" x14ac:dyDescent="0.3">
      <c r="A535" t="s">
        <v>904</v>
      </c>
      <c r="B535" t="str">
        <f>"18174631001"</f>
        <v>18174631001</v>
      </c>
      <c r="C535" t="str">
        <f>"432901198201191012"</f>
        <v>432901198201191012</v>
      </c>
      <c r="D535" t="s">
        <v>905</v>
      </c>
      <c r="E535" t="s">
        <v>906</v>
      </c>
      <c r="F535" t="str">
        <f>"2019-01-12 14:37:26"</f>
        <v>2019-01-12 14:37:26</v>
      </c>
    </row>
    <row r="536" spans="1:6" x14ac:dyDescent="0.3">
      <c r="A536" t="s">
        <v>907</v>
      </c>
      <c r="B536" t="str">
        <f>"15888854293"</f>
        <v>15888854293</v>
      </c>
      <c r="C536" t="str">
        <f>"360429198501041015"</f>
        <v>360429198501041015</v>
      </c>
      <c r="D536" t="s">
        <v>0</v>
      </c>
      <c r="E536" t="s">
        <v>0</v>
      </c>
      <c r="F536" t="str">
        <f>"2019-01-12 14:37:04"</f>
        <v>2019-01-12 14:37:04</v>
      </c>
    </row>
    <row r="537" spans="1:6" x14ac:dyDescent="0.3">
      <c r="A537" t="s">
        <v>0</v>
      </c>
      <c r="B537" t="str">
        <f>"15838218622"</f>
        <v>15838218622</v>
      </c>
      <c r="C537" t="s">
        <v>0</v>
      </c>
      <c r="D537" t="s">
        <v>0</v>
      </c>
      <c r="E537" t="s">
        <v>0</v>
      </c>
      <c r="F537" t="str">
        <f>"2019-01-12 14:35:22"</f>
        <v>2019-01-12 14:35:22</v>
      </c>
    </row>
    <row r="538" spans="1:6" x14ac:dyDescent="0.3">
      <c r="A538" t="s">
        <v>0</v>
      </c>
      <c r="B538" t="str">
        <f>"13646051945"</f>
        <v>13646051945</v>
      </c>
      <c r="C538" t="s">
        <v>0</v>
      </c>
      <c r="D538" t="s">
        <v>0</v>
      </c>
      <c r="E538" t="s">
        <v>0</v>
      </c>
      <c r="F538" t="str">
        <f>"2019-01-12 14:29:53"</f>
        <v>2019-01-12 14:29:53</v>
      </c>
    </row>
    <row r="539" spans="1:6" x14ac:dyDescent="0.3">
      <c r="A539" t="s">
        <v>0</v>
      </c>
      <c r="B539" t="str">
        <f>"17612864901"</f>
        <v>17612864901</v>
      </c>
      <c r="C539" t="s">
        <v>0</v>
      </c>
      <c r="D539" t="s">
        <v>0</v>
      </c>
      <c r="E539" t="s">
        <v>0</v>
      </c>
      <c r="F539" t="str">
        <f>"2019-01-12 14:29:32"</f>
        <v>2019-01-12 14:29:32</v>
      </c>
    </row>
    <row r="540" spans="1:6" x14ac:dyDescent="0.3">
      <c r="A540" t="s">
        <v>908</v>
      </c>
      <c r="B540" t="str">
        <f>"13696831609"</f>
        <v>13696831609</v>
      </c>
      <c r="C540" t="str">
        <f>"340123198805016056"</f>
        <v>340123198805016056</v>
      </c>
      <c r="D540" t="s">
        <v>909</v>
      </c>
      <c r="E540" t="s">
        <v>910</v>
      </c>
      <c r="F540" t="str">
        <f>"2019-01-12 14:26:43"</f>
        <v>2019-01-12 14:26:43</v>
      </c>
    </row>
    <row r="541" spans="1:6" x14ac:dyDescent="0.3">
      <c r="A541" t="s">
        <v>911</v>
      </c>
      <c r="B541" t="str">
        <f>"15979633567"</f>
        <v>15979633567</v>
      </c>
      <c r="C541" t="str">
        <f>"362428196804112729"</f>
        <v>362428196804112729</v>
      </c>
      <c r="D541" t="s">
        <v>912</v>
      </c>
      <c r="E541" t="s">
        <v>913</v>
      </c>
      <c r="F541" t="str">
        <f>"2019-01-12 14:24:40"</f>
        <v>2019-01-12 14:24:40</v>
      </c>
    </row>
    <row r="542" spans="1:6" x14ac:dyDescent="0.3">
      <c r="A542" t="s">
        <v>0</v>
      </c>
      <c r="B542" t="str">
        <f>"13670752508"</f>
        <v>13670752508</v>
      </c>
      <c r="C542" t="s">
        <v>0</v>
      </c>
      <c r="D542" t="s">
        <v>0</v>
      </c>
      <c r="E542" t="s">
        <v>0</v>
      </c>
      <c r="F542" t="str">
        <f>"2019-01-12 14:23:08"</f>
        <v>2019-01-12 14:23:08</v>
      </c>
    </row>
    <row r="543" spans="1:6" x14ac:dyDescent="0.3">
      <c r="A543" t="s">
        <v>0</v>
      </c>
      <c r="B543" t="str">
        <f>"13469926111"</f>
        <v>13469926111</v>
      </c>
      <c r="C543" t="s">
        <v>0</v>
      </c>
      <c r="D543" t="s">
        <v>0</v>
      </c>
      <c r="E543" t="s">
        <v>0</v>
      </c>
      <c r="F543" t="str">
        <f>"2019-01-12 14:21:20"</f>
        <v>2019-01-12 14:21:20</v>
      </c>
    </row>
    <row r="544" spans="1:6" x14ac:dyDescent="0.3">
      <c r="A544" t="s">
        <v>914</v>
      </c>
      <c r="B544" t="str">
        <f>"17611560572"</f>
        <v>17611560572</v>
      </c>
      <c r="C544" t="str">
        <f>"130481199105040472"</f>
        <v>130481199105040472</v>
      </c>
      <c r="D544" t="s">
        <v>915</v>
      </c>
      <c r="E544" t="s">
        <v>916</v>
      </c>
      <c r="F544" t="str">
        <f>"2019-01-12 14:20:31"</f>
        <v>2019-01-12 14:20:31</v>
      </c>
    </row>
    <row r="545" spans="1:6" x14ac:dyDescent="0.3">
      <c r="A545" t="s">
        <v>0</v>
      </c>
      <c r="B545" t="str">
        <f>"17688205570"</f>
        <v>17688205570</v>
      </c>
      <c r="C545" t="s">
        <v>0</v>
      </c>
      <c r="D545" t="s">
        <v>0</v>
      </c>
      <c r="E545" t="s">
        <v>0</v>
      </c>
      <c r="F545" t="str">
        <f>"2019-01-12 14:18:09"</f>
        <v>2019-01-12 14:18:09</v>
      </c>
    </row>
    <row r="546" spans="1:6" x14ac:dyDescent="0.3">
      <c r="A546" t="s">
        <v>0</v>
      </c>
      <c r="B546" t="str">
        <f>"15754093028"</f>
        <v>15754093028</v>
      </c>
      <c r="C546" t="s">
        <v>0</v>
      </c>
      <c r="D546" t="s">
        <v>0</v>
      </c>
      <c r="E546" t="s">
        <v>0</v>
      </c>
      <c r="F546" t="str">
        <f>"2019-01-12 14:18:03"</f>
        <v>2019-01-12 14:18:03</v>
      </c>
    </row>
    <row r="547" spans="1:6" x14ac:dyDescent="0.3">
      <c r="A547" t="s">
        <v>0</v>
      </c>
      <c r="B547" t="str">
        <f>"18273470440"</f>
        <v>18273470440</v>
      </c>
      <c r="C547" t="s">
        <v>0</v>
      </c>
      <c r="D547" t="s">
        <v>0</v>
      </c>
      <c r="E547" t="s">
        <v>0</v>
      </c>
      <c r="F547" t="str">
        <f>"2019-01-12 14:17:26"</f>
        <v>2019-01-12 14:17:26</v>
      </c>
    </row>
    <row r="548" spans="1:6" x14ac:dyDescent="0.3">
      <c r="A548" t="s">
        <v>0</v>
      </c>
      <c r="B548" t="str">
        <f>"15244724543"</f>
        <v>15244724543</v>
      </c>
      <c r="C548" t="s">
        <v>0</v>
      </c>
      <c r="D548" t="s">
        <v>0</v>
      </c>
      <c r="E548" t="s">
        <v>0</v>
      </c>
      <c r="F548" t="str">
        <f>"2019-01-12 14:15:39"</f>
        <v>2019-01-12 14:15:39</v>
      </c>
    </row>
    <row r="549" spans="1:6" x14ac:dyDescent="0.3">
      <c r="A549" t="s">
        <v>0</v>
      </c>
      <c r="B549" t="str">
        <f>"15002405943"</f>
        <v>15002405943</v>
      </c>
      <c r="C549" t="s">
        <v>0</v>
      </c>
      <c r="D549" t="s">
        <v>0</v>
      </c>
      <c r="E549" t="s">
        <v>0</v>
      </c>
      <c r="F549" t="str">
        <f>"2019-01-12 14:15:03"</f>
        <v>2019-01-12 14:15:03</v>
      </c>
    </row>
    <row r="550" spans="1:6" x14ac:dyDescent="0.3">
      <c r="A550" t="s">
        <v>917</v>
      </c>
      <c r="B550" t="str">
        <f>"13673111277"</f>
        <v>13673111277</v>
      </c>
      <c r="C550" t="str">
        <f>"441881199109186319"</f>
        <v>441881199109186319</v>
      </c>
      <c r="D550" t="s">
        <v>918</v>
      </c>
      <c r="E550" t="s">
        <v>919</v>
      </c>
      <c r="F550" t="str">
        <f>"2019-01-12 14:14:13"</f>
        <v>2019-01-12 14:14:13</v>
      </c>
    </row>
    <row r="551" spans="1:6" x14ac:dyDescent="0.3">
      <c r="A551" t="s">
        <v>920</v>
      </c>
      <c r="B551" t="str">
        <f>"15016492309"</f>
        <v>15016492309</v>
      </c>
      <c r="C551" t="str">
        <f>"445381199911213720"</f>
        <v>445381199911213720</v>
      </c>
      <c r="D551" t="s">
        <v>921</v>
      </c>
      <c r="E551" t="s">
        <v>922</v>
      </c>
      <c r="F551" t="str">
        <f>"2019-01-12 14:10:21"</f>
        <v>2019-01-12 14:10:21</v>
      </c>
    </row>
    <row r="552" spans="1:6" x14ac:dyDescent="0.3">
      <c r="A552" t="s">
        <v>923</v>
      </c>
      <c r="B552" t="str">
        <f>"18706494405"</f>
        <v>18706494405</v>
      </c>
      <c r="C552" t="str">
        <f>"372330198706012457"</f>
        <v>372330198706012457</v>
      </c>
      <c r="D552" t="s">
        <v>924</v>
      </c>
      <c r="E552" t="s">
        <v>925</v>
      </c>
      <c r="F552" t="str">
        <f>"2019-01-12 14:07:37"</f>
        <v>2019-01-12 14:07:37</v>
      </c>
    </row>
    <row r="553" spans="1:6" x14ac:dyDescent="0.3">
      <c r="A553" t="s">
        <v>926</v>
      </c>
      <c r="B553" t="str">
        <f>"13944450450"</f>
        <v>13944450450</v>
      </c>
      <c r="C553" t="str">
        <f>"220381198804070437"</f>
        <v>220381198804070437</v>
      </c>
      <c r="D553" t="s">
        <v>927</v>
      </c>
      <c r="E553" t="s">
        <v>928</v>
      </c>
      <c r="F553" t="str">
        <f>"2019-01-12 14:05:25"</f>
        <v>2019-01-12 14:05:25</v>
      </c>
    </row>
    <row r="554" spans="1:6" x14ac:dyDescent="0.3">
      <c r="A554" t="s">
        <v>0</v>
      </c>
      <c r="B554" t="str">
        <f>"15964499166"</f>
        <v>15964499166</v>
      </c>
      <c r="C554" t="s">
        <v>0</v>
      </c>
      <c r="D554" t="s">
        <v>0</v>
      </c>
      <c r="E554" t="s">
        <v>0</v>
      </c>
      <c r="F554" t="str">
        <f>"2019-01-12 14:04:43"</f>
        <v>2019-01-12 14:04:43</v>
      </c>
    </row>
    <row r="555" spans="1:6" x14ac:dyDescent="0.3">
      <c r="A555" t="s">
        <v>929</v>
      </c>
      <c r="B555" t="str">
        <f>"18463058189"</f>
        <v>18463058189</v>
      </c>
      <c r="C555" t="str">
        <f>"370704198004130413"</f>
        <v>370704198004130413</v>
      </c>
      <c r="D555" t="s">
        <v>0</v>
      </c>
      <c r="E555" t="s">
        <v>0</v>
      </c>
      <c r="F555" t="str">
        <f>"2019-01-12 14:00:57"</f>
        <v>2019-01-12 14:00:57</v>
      </c>
    </row>
    <row r="556" spans="1:6" x14ac:dyDescent="0.3">
      <c r="A556" t="s">
        <v>930</v>
      </c>
      <c r="B556" t="str">
        <f>"13206260228"</f>
        <v>13206260228</v>
      </c>
      <c r="C556" t="str">
        <f>"500235198705156677"</f>
        <v>500235198705156677</v>
      </c>
      <c r="D556" t="s">
        <v>931</v>
      </c>
      <c r="E556" t="s">
        <v>932</v>
      </c>
      <c r="F556" t="str">
        <f>"2019-01-12 13:59:53"</f>
        <v>2019-01-12 13:59:53</v>
      </c>
    </row>
    <row r="557" spans="1:6" x14ac:dyDescent="0.3">
      <c r="A557" t="s">
        <v>0</v>
      </c>
      <c r="B557" t="str">
        <f>"15520283519"</f>
        <v>15520283519</v>
      </c>
      <c r="C557" t="s">
        <v>0</v>
      </c>
      <c r="D557" t="s">
        <v>0</v>
      </c>
      <c r="E557" t="s">
        <v>0</v>
      </c>
      <c r="F557" t="str">
        <f>"2019-01-12 13:57:27"</f>
        <v>2019-01-12 13:57:27</v>
      </c>
    </row>
    <row r="558" spans="1:6" x14ac:dyDescent="0.3">
      <c r="A558" t="s">
        <v>933</v>
      </c>
      <c r="B558" t="str">
        <f>"15256056322"</f>
        <v>15256056322</v>
      </c>
      <c r="C558" t="str">
        <f>"350182197611064022"</f>
        <v>350182197611064022</v>
      </c>
      <c r="D558" t="s">
        <v>934</v>
      </c>
      <c r="E558" t="s">
        <v>935</v>
      </c>
      <c r="F558" t="str">
        <f>"2019-01-12 13:45:43"</f>
        <v>2019-01-12 13:45:43</v>
      </c>
    </row>
    <row r="559" spans="1:6" x14ac:dyDescent="0.3">
      <c r="A559" t="s">
        <v>0</v>
      </c>
      <c r="B559" t="str">
        <f>"18607635235"</f>
        <v>18607635235</v>
      </c>
      <c r="C559" t="s">
        <v>0</v>
      </c>
      <c r="D559" t="s">
        <v>0</v>
      </c>
      <c r="E559" t="s">
        <v>0</v>
      </c>
      <c r="F559" t="str">
        <f>"2019-01-12 13:35:39"</f>
        <v>2019-01-12 13:35:39</v>
      </c>
    </row>
    <row r="560" spans="1:6" x14ac:dyDescent="0.3">
      <c r="A560" t="s">
        <v>936</v>
      </c>
      <c r="B560" t="str">
        <f>"17688913995"</f>
        <v>17688913995</v>
      </c>
      <c r="C560" t="str">
        <f>"362531199212244215"</f>
        <v>362531199212244215</v>
      </c>
      <c r="D560" t="s">
        <v>0</v>
      </c>
      <c r="E560" t="s">
        <v>0</v>
      </c>
      <c r="F560" t="str">
        <f>"2019-01-12 13:33:37"</f>
        <v>2019-01-12 13:33:37</v>
      </c>
    </row>
    <row r="561" spans="1:6" x14ac:dyDescent="0.3">
      <c r="A561" t="s">
        <v>937</v>
      </c>
      <c r="B561" t="str">
        <f>"15903315731"</f>
        <v>15903315731</v>
      </c>
      <c r="C561" t="str">
        <f>"130130199701190323"</f>
        <v>130130199701190323</v>
      </c>
      <c r="D561" t="s">
        <v>938</v>
      </c>
      <c r="E561" t="s">
        <v>939</v>
      </c>
      <c r="F561" t="str">
        <f>"2019-01-12 13:31:50"</f>
        <v>2019-01-12 13:31:50</v>
      </c>
    </row>
    <row r="562" spans="1:6" x14ac:dyDescent="0.3">
      <c r="A562" t="s">
        <v>0</v>
      </c>
      <c r="B562" t="str">
        <f>"13860545000"</f>
        <v>13860545000</v>
      </c>
      <c r="C562" t="s">
        <v>0</v>
      </c>
      <c r="D562" t="s">
        <v>0</v>
      </c>
      <c r="E562" t="s">
        <v>0</v>
      </c>
      <c r="F562" t="str">
        <f>"2019-01-12 13:27:26"</f>
        <v>2019-01-12 13:27:26</v>
      </c>
    </row>
    <row r="563" spans="1:6" x14ac:dyDescent="0.3">
      <c r="A563" t="s">
        <v>940</v>
      </c>
      <c r="B563" t="str">
        <f>"17601462434"</f>
        <v>17601462434</v>
      </c>
      <c r="C563" t="str">
        <f>"411526199806192339"</f>
        <v>411526199806192339</v>
      </c>
      <c r="D563" t="s">
        <v>941</v>
      </c>
      <c r="E563" t="s">
        <v>942</v>
      </c>
      <c r="F563" t="str">
        <f>"2019-01-12 13:06:23"</f>
        <v>2019-01-12 13:06:23</v>
      </c>
    </row>
    <row r="564" spans="1:6" x14ac:dyDescent="0.3">
      <c r="A564" t="s">
        <v>943</v>
      </c>
      <c r="B564" t="str">
        <f>"18325509015"</f>
        <v>18325509015</v>
      </c>
      <c r="C564" t="str">
        <f>"340521198808120026"</f>
        <v>340521198808120026</v>
      </c>
      <c r="D564" t="s">
        <v>944</v>
      </c>
      <c r="E564" t="s">
        <v>945</v>
      </c>
      <c r="F564" t="str">
        <f>"2019-01-12 13:05:13"</f>
        <v>2019-01-12 13:05:13</v>
      </c>
    </row>
    <row r="565" spans="1:6" x14ac:dyDescent="0.3">
      <c r="A565" t="s">
        <v>946</v>
      </c>
      <c r="B565" t="str">
        <f>"13575912865"</f>
        <v>13575912865</v>
      </c>
      <c r="C565" t="str">
        <f>"36042719921028203X"</f>
        <v>36042719921028203X</v>
      </c>
      <c r="D565" t="s">
        <v>947</v>
      </c>
      <c r="E565" t="s">
        <v>948</v>
      </c>
      <c r="F565" t="str">
        <f>"2019-01-12 13:01:06"</f>
        <v>2019-01-12 13:01:06</v>
      </c>
    </row>
    <row r="566" spans="1:6" x14ac:dyDescent="0.3">
      <c r="A566" t="s">
        <v>949</v>
      </c>
      <c r="B566" t="str">
        <f>"13471294400"</f>
        <v>13471294400</v>
      </c>
      <c r="C566" t="str">
        <f>"450322199610016552"</f>
        <v>450322199610016552</v>
      </c>
      <c r="D566" t="s">
        <v>950</v>
      </c>
      <c r="E566" t="s">
        <v>951</v>
      </c>
      <c r="F566" t="str">
        <f>"2019-01-12 12:53:25"</f>
        <v>2019-01-12 12:53:25</v>
      </c>
    </row>
    <row r="567" spans="1:6" x14ac:dyDescent="0.3">
      <c r="A567" t="s">
        <v>952</v>
      </c>
      <c r="B567" t="str">
        <f>"13308305895"</f>
        <v>13308305895</v>
      </c>
      <c r="C567" t="str">
        <f>"510216197005253634"</f>
        <v>510216197005253634</v>
      </c>
      <c r="D567" t="s">
        <v>953</v>
      </c>
      <c r="E567" t="s">
        <v>954</v>
      </c>
      <c r="F567" t="str">
        <f>"2019-01-12 12:47:17"</f>
        <v>2019-01-12 12:47:17</v>
      </c>
    </row>
    <row r="568" spans="1:6" x14ac:dyDescent="0.3">
      <c r="A568" t="s">
        <v>0</v>
      </c>
      <c r="B568" t="str">
        <f>"17542910103"</f>
        <v>17542910103</v>
      </c>
      <c r="C568" t="s">
        <v>0</v>
      </c>
      <c r="D568" t="s">
        <v>0</v>
      </c>
      <c r="E568" t="s">
        <v>0</v>
      </c>
      <c r="F568" t="str">
        <f>"2019-01-12 12:36:16"</f>
        <v>2019-01-12 12:36:16</v>
      </c>
    </row>
    <row r="569" spans="1:6" x14ac:dyDescent="0.3">
      <c r="A569" t="s">
        <v>0</v>
      </c>
      <c r="B569" t="str">
        <f>"15035620980"</f>
        <v>15035620980</v>
      </c>
      <c r="C569" t="s">
        <v>0</v>
      </c>
      <c r="D569" t="s">
        <v>0</v>
      </c>
      <c r="E569" t="s">
        <v>0</v>
      </c>
      <c r="F569" t="str">
        <f>"2019-01-12 12:32:51"</f>
        <v>2019-01-12 12:32:51</v>
      </c>
    </row>
    <row r="570" spans="1:6" x14ac:dyDescent="0.3">
      <c r="A570" t="s">
        <v>0</v>
      </c>
      <c r="B570" t="str">
        <f>"13187260299"</f>
        <v>13187260299</v>
      </c>
      <c r="C570" t="s">
        <v>0</v>
      </c>
      <c r="D570" t="s">
        <v>0</v>
      </c>
      <c r="E570" t="s">
        <v>0</v>
      </c>
      <c r="F570" t="str">
        <f>"2019-01-12 12:31:27"</f>
        <v>2019-01-12 12:31:27</v>
      </c>
    </row>
    <row r="571" spans="1:6" x14ac:dyDescent="0.3">
      <c r="A571" t="s">
        <v>0</v>
      </c>
      <c r="B571" t="str">
        <f>"15062058557"</f>
        <v>15062058557</v>
      </c>
      <c r="C571" t="s">
        <v>0</v>
      </c>
      <c r="D571" t="s">
        <v>0</v>
      </c>
      <c r="E571" t="s">
        <v>0</v>
      </c>
      <c r="F571" t="str">
        <f>"2019-01-12 12:28:59"</f>
        <v>2019-01-12 12:28:59</v>
      </c>
    </row>
    <row r="572" spans="1:6" x14ac:dyDescent="0.3">
      <c r="A572" t="s">
        <v>955</v>
      </c>
      <c r="B572" t="str">
        <f>"13600879123"</f>
        <v>13600879123</v>
      </c>
      <c r="C572" t="str">
        <f>"350181198410131717"</f>
        <v>350181198410131717</v>
      </c>
      <c r="D572" t="s">
        <v>956</v>
      </c>
      <c r="E572" t="s">
        <v>957</v>
      </c>
      <c r="F572" t="str">
        <f>"2019-01-12 12:26:24"</f>
        <v>2019-01-12 12:26:24</v>
      </c>
    </row>
    <row r="573" spans="1:6" x14ac:dyDescent="0.3">
      <c r="A573" t="s">
        <v>958</v>
      </c>
      <c r="B573" t="str">
        <f>"18960123918"</f>
        <v>18960123918</v>
      </c>
      <c r="C573" t="str">
        <f>"350681199001034758"</f>
        <v>350681199001034758</v>
      </c>
      <c r="D573" t="s">
        <v>959</v>
      </c>
      <c r="E573" t="s">
        <v>960</v>
      </c>
      <c r="F573" t="str">
        <f>"2019-01-12 12:25:54"</f>
        <v>2019-01-12 12:25:54</v>
      </c>
    </row>
    <row r="574" spans="1:6" x14ac:dyDescent="0.3">
      <c r="A574" t="s">
        <v>961</v>
      </c>
      <c r="B574" t="str">
        <f>"18857408889"</f>
        <v>18857408889</v>
      </c>
      <c r="C574" t="str">
        <f>"330225197902094816"</f>
        <v>330225197902094816</v>
      </c>
      <c r="D574" t="s">
        <v>962</v>
      </c>
      <c r="E574" t="s">
        <v>963</v>
      </c>
      <c r="F574" t="str">
        <f>"2019-01-12 12:19:17"</f>
        <v>2019-01-12 12:19:17</v>
      </c>
    </row>
    <row r="575" spans="1:6" x14ac:dyDescent="0.3">
      <c r="A575" t="s">
        <v>964</v>
      </c>
      <c r="B575" t="str">
        <f>"15085069404"</f>
        <v>15085069404</v>
      </c>
      <c r="C575" t="str">
        <f>"522127199702130011"</f>
        <v>522127199702130011</v>
      </c>
      <c r="D575" t="s">
        <v>965</v>
      </c>
      <c r="E575" t="s">
        <v>966</v>
      </c>
      <c r="F575" t="str">
        <f>"2019-01-12 12:14:43"</f>
        <v>2019-01-12 12:14:43</v>
      </c>
    </row>
    <row r="576" spans="1:6" x14ac:dyDescent="0.3">
      <c r="A576" t="s">
        <v>967</v>
      </c>
      <c r="B576" t="str">
        <f>"18677987090"</f>
        <v>18677987090</v>
      </c>
      <c r="C576" t="str">
        <f>"450502198607060334"</f>
        <v>450502198607060334</v>
      </c>
      <c r="D576" t="s">
        <v>0</v>
      </c>
      <c r="E576" t="s">
        <v>0</v>
      </c>
      <c r="F576" t="str">
        <f>"2019-01-12 12:03:25"</f>
        <v>2019-01-12 12:03:25</v>
      </c>
    </row>
    <row r="577" spans="1:6" x14ac:dyDescent="0.3">
      <c r="A577" t="s">
        <v>0</v>
      </c>
      <c r="B577" t="str">
        <f>"13661606867"</f>
        <v>13661606867</v>
      </c>
      <c r="C577" t="s">
        <v>0</v>
      </c>
      <c r="D577" t="s">
        <v>0</v>
      </c>
      <c r="E577" t="s">
        <v>0</v>
      </c>
      <c r="F577" t="str">
        <f>"2019-01-12 12:01:22"</f>
        <v>2019-01-12 12:01:22</v>
      </c>
    </row>
    <row r="578" spans="1:6" x14ac:dyDescent="0.3">
      <c r="A578" t="s">
        <v>968</v>
      </c>
      <c r="B578" t="str">
        <f>"15222200499"</f>
        <v>15222200499</v>
      </c>
      <c r="C578" t="str">
        <f>"231085199208022910"</f>
        <v>231085199208022910</v>
      </c>
      <c r="D578" t="s">
        <v>969</v>
      </c>
      <c r="E578" t="s">
        <v>970</v>
      </c>
      <c r="F578" t="str">
        <f>"2019-01-12 12:00:57"</f>
        <v>2019-01-12 12:00:57</v>
      </c>
    </row>
    <row r="579" spans="1:6" x14ac:dyDescent="0.3">
      <c r="A579" t="s">
        <v>971</v>
      </c>
      <c r="B579" t="str">
        <f>"18502084143"</f>
        <v>18502084143</v>
      </c>
      <c r="C579" t="str">
        <f>"441623199505164627"</f>
        <v>441623199505164627</v>
      </c>
      <c r="D579" t="s">
        <v>972</v>
      </c>
      <c r="E579" t="s">
        <v>973</v>
      </c>
      <c r="F579" t="str">
        <f>"2019-01-12 12:00:26"</f>
        <v>2019-01-12 12:00:26</v>
      </c>
    </row>
    <row r="580" spans="1:6" x14ac:dyDescent="0.3">
      <c r="A580" t="s">
        <v>974</v>
      </c>
      <c r="B580" t="str">
        <f>"18851488830"</f>
        <v>18851488830</v>
      </c>
      <c r="C580" t="str">
        <f>"320925199009105135"</f>
        <v>320925199009105135</v>
      </c>
      <c r="D580" t="s">
        <v>975</v>
      </c>
      <c r="E580" t="s">
        <v>976</v>
      </c>
      <c r="F580" t="str">
        <f>"2019-01-12 11:59:19"</f>
        <v>2019-01-12 11:59:19</v>
      </c>
    </row>
    <row r="581" spans="1:6" x14ac:dyDescent="0.3">
      <c r="A581" t="s">
        <v>977</v>
      </c>
      <c r="B581" t="str">
        <f>"18707981797"</f>
        <v>18707981797</v>
      </c>
      <c r="C581" t="str">
        <f>"360428199310100631"</f>
        <v>360428199310100631</v>
      </c>
      <c r="D581" t="s">
        <v>978</v>
      </c>
      <c r="E581" t="s">
        <v>979</v>
      </c>
      <c r="F581" t="str">
        <f>"2019-01-12 11:55:48"</f>
        <v>2019-01-12 11:55:48</v>
      </c>
    </row>
    <row r="582" spans="1:6" x14ac:dyDescent="0.3">
      <c r="A582" t="s">
        <v>980</v>
      </c>
      <c r="B582" t="str">
        <f>"18705946262"</f>
        <v>18705946262</v>
      </c>
      <c r="C582" t="str">
        <f>"350322198210073883"</f>
        <v>350322198210073883</v>
      </c>
      <c r="D582" t="s">
        <v>981</v>
      </c>
      <c r="E582" t="s">
        <v>982</v>
      </c>
      <c r="F582" t="str">
        <f>"2019-01-12 11:55:35"</f>
        <v>2019-01-12 11:55:35</v>
      </c>
    </row>
    <row r="583" spans="1:6" x14ac:dyDescent="0.3">
      <c r="A583" t="s">
        <v>983</v>
      </c>
      <c r="B583" t="str">
        <f>"13782088272"</f>
        <v>13782088272</v>
      </c>
      <c r="C583" t="str">
        <f>"411302198312100047"</f>
        <v>411302198312100047</v>
      </c>
      <c r="D583" t="s">
        <v>984</v>
      </c>
      <c r="E583" t="s">
        <v>985</v>
      </c>
      <c r="F583" t="str">
        <f>"2019-01-12 11:54:45"</f>
        <v>2019-01-12 11:54:45</v>
      </c>
    </row>
    <row r="584" spans="1:6" x14ac:dyDescent="0.3">
      <c r="A584" t="s">
        <v>986</v>
      </c>
      <c r="B584" t="str">
        <f>"13112244591"</f>
        <v>13112244591</v>
      </c>
      <c r="C584" t="str">
        <f>"429005199501133434"</f>
        <v>429005199501133434</v>
      </c>
      <c r="D584" t="s">
        <v>987</v>
      </c>
      <c r="E584" t="s">
        <v>988</v>
      </c>
      <c r="F584" t="str">
        <f>"2019-01-12 11:54:35"</f>
        <v>2019-01-12 11:54:35</v>
      </c>
    </row>
    <row r="585" spans="1:6" x14ac:dyDescent="0.3">
      <c r="A585" t="s">
        <v>989</v>
      </c>
      <c r="B585" t="str">
        <f>"18766183537"</f>
        <v>18766183537</v>
      </c>
      <c r="C585" t="str">
        <f>"371425198603018171"</f>
        <v>371425198603018171</v>
      </c>
      <c r="D585" t="s">
        <v>0</v>
      </c>
      <c r="E585" t="s">
        <v>0</v>
      </c>
      <c r="F585" t="str">
        <f>"2019-01-12 11:53:09"</f>
        <v>2019-01-12 11:53:09</v>
      </c>
    </row>
    <row r="586" spans="1:6" x14ac:dyDescent="0.3">
      <c r="A586" t="s">
        <v>0</v>
      </c>
      <c r="B586" t="str">
        <f>"13701542725"</f>
        <v>13701542725</v>
      </c>
      <c r="C586" t="s">
        <v>0</v>
      </c>
      <c r="D586" t="s">
        <v>0</v>
      </c>
      <c r="E586" t="s">
        <v>0</v>
      </c>
      <c r="F586" t="str">
        <f>"2019-01-12 11:51:27"</f>
        <v>2019-01-12 11:51:27</v>
      </c>
    </row>
    <row r="587" spans="1:6" x14ac:dyDescent="0.3">
      <c r="A587" t="s">
        <v>990</v>
      </c>
      <c r="B587" t="str">
        <f>"13824828264"</f>
        <v>13824828264</v>
      </c>
      <c r="C587" t="str">
        <f>"440802199107240434"</f>
        <v>440802199107240434</v>
      </c>
      <c r="D587" t="s">
        <v>991</v>
      </c>
      <c r="E587" t="s">
        <v>992</v>
      </c>
      <c r="F587" t="str">
        <f>"2019-01-12 11:49:55"</f>
        <v>2019-01-12 11:49:55</v>
      </c>
    </row>
    <row r="588" spans="1:6" x14ac:dyDescent="0.3">
      <c r="A588" t="s">
        <v>0</v>
      </c>
      <c r="B588" t="str">
        <f>"18375152191"</f>
        <v>18375152191</v>
      </c>
      <c r="C588" t="s">
        <v>0</v>
      </c>
      <c r="D588" t="s">
        <v>0</v>
      </c>
      <c r="E588" t="s">
        <v>0</v>
      </c>
      <c r="F588" t="str">
        <f>"2019-01-12 11:49:28"</f>
        <v>2019-01-12 11:49:28</v>
      </c>
    </row>
    <row r="589" spans="1:6" x14ac:dyDescent="0.3">
      <c r="A589" t="s">
        <v>0</v>
      </c>
      <c r="B589" t="str">
        <f>"15343030713"</f>
        <v>15343030713</v>
      </c>
      <c r="C589" t="s">
        <v>0</v>
      </c>
      <c r="D589" t="s">
        <v>0</v>
      </c>
      <c r="E589" t="s">
        <v>0</v>
      </c>
      <c r="F589" t="str">
        <f>"2019-01-12 11:49:10"</f>
        <v>2019-01-12 11:49:10</v>
      </c>
    </row>
    <row r="590" spans="1:6" x14ac:dyDescent="0.3">
      <c r="A590" t="s">
        <v>0</v>
      </c>
      <c r="B590" t="str">
        <f>"15285363945"</f>
        <v>15285363945</v>
      </c>
      <c r="C590" t="s">
        <v>0</v>
      </c>
      <c r="D590" t="s">
        <v>0</v>
      </c>
      <c r="E590" t="s">
        <v>0</v>
      </c>
      <c r="F590" t="str">
        <f>"2019-01-12 11:48:19"</f>
        <v>2019-01-12 11:48:19</v>
      </c>
    </row>
    <row r="591" spans="1:6" x14ac:dyDescent="0.3">
      <c r="A591" t="s">
        <v>0</v>
      </c>
      <c r="B591" t="str">
        <f>"15650872473"</f>
        <v>15650872473</v>
      </c>
      <c r="C591" t="s">
        <v>0</v>
      </c>
      <c r="D591" t="s">
        <v>0</v>
      </c>
      <c r="E591" t="s">
        <v>0</v>
      </c>
      <c r="F591" t="str">
        <f>"2019-01-12 11:47:34"</f>
        <v>2019-01-12 11:47:34</v>
      </c>
    </row>
    <row r="592" spans="1:6" x14ac:dyDescent="0.3">
      <c r="A592" t="s">
        <v>0</v>
      </c>
      <c r="B592" t="str">
        <f>"17701382890"</f>
        <v>17701382890</v>
      </c>
      <c r="C592" t="s">
        <v>0</v>
      </c>
      <c r="D592" t="s">
        <v>0</v>
      </c>
      <c r="E592" t="s">
        <v>0</v>
      </c>
      <c r="F592" t="str">
        <f>"2019-01-12 11:46:52"</f>
        <v>2019-01-12 11:46:52</v>
      </c>
    </row>
    <row r="593" spans="1:6" x14ac:dyDescent="0.3">
      <c r="A593" t="s">
        <v>993</v>
      </c>
      <c r="B593" t="str">
        <f>"13724333520"</f>
        <v>13724333520</v>
      </c>
      <c r="C593" t="str">
        <f>"440233198812010017"</f>
        <v>440233198812010017</v>
      </c>
      <c r="D593" t="s">
        <v>0</v>
      </c>
      <c r="E593" t="s">
        <v>0</v>
      </c>
      <c r="F593" t="str">
        <f>"2019-01-12 11:46:17"</f>
        <v>2019-01-12 11:46:17</v>
      </c>
    </row>
    <row r="594" spans="1:6" x14ac:dyDescent="0.3">
      <c r="A594" t="s">
        <v>0</v>
      </c>
      <c r="B594" t="str">
        <f>"15650855721"</f>
        <v>15650855721</v>
      </c>
      <c r="C594" t="s">
        <v>0</v>
      </c>
      <c r="D594" t="s">
        <v>0</v>
      </c>
      <c r="E594" t="s">
        <v>0</v>
      </c>
      <c r="F594" t="str">
        <f>"2019-01-12 11:45:52"</f>
        <v>2019-01-12 11:45:52</v>
      </c>
    </row>
    <row r="595" spans="1:6" x14ac:dyDescent="0.3">
      <c r="A595" t="s">
        <v>0</v>
      </c>
      <c r="B595" t="str">
        <f>"18704785054"</f>
        <v>18704785054</v>
      </c>
      <c r="C595" t="s">
        <v>0</v>
      </c>
      <c r="D595" t="s">
        <v>0</v>
      </c>
      <c r="E595" t="s">
        <v>0</v>
      </c>
      <c r="F595" t="str">
        <f>"2019-01-12 11:44:56"</f>
        <v>2019-01-12 11:44:56</v>
      </c>
    </row>
    <row r="596" spans="1:6" x14ac:dyDescent="0.3">
      <c r="A596" t="s">
        <v>994</v>
      </c>
      <c r="B596" t="str">
        <f>"15304460973"</f>
        <v>15304460973</v>
      </c>
      <c r="C596" t="str">
        <f>"220625199801102210"</f>
        <v>220625199801102210</v>
      </c>
      <c r="D596" t="s">
        <v>995</v>
      </c>
      <c r="E596" t="s">
        <v>996</v>
      </c>
      <c r="F596" t="str">
        <f>"2019-01-12 11:44:22"</f>
        <v>2019-01-12 11:44:22</v>
      </c>
    </row>
    <row r="597" spans="1:6" x14ac:dyDescent="0.3">
      <c r="A597" t="s">
        <v>100</v>
      </c>
      <c r="B597" t="str">
        <f>"15398589333"</f>
        <v>15398589333</v>
      </c>
      <c r="C597" t="str">
        <f>"51152719890615321X"</f>
        <v>51152719890615321X</v>
      </c>
      <c r="D597" t="s">
        <v>997</v>
      </c>
      <c r="E597" t="s">
        <v>998</v>
      </c>
      <c r="F597" t="str">
        <f>"2019-01-12 11:44:07"</f>
        <v>2019-01-12 11:44:07</v>
      </c>
    </row>
    <row r="598" spans="1:6" x14ac:dyDescent="0.3">
      <c r="A598" t="s">
        <v>999</v>
      </c>
      <c r="B598" t="str">
        <f>"15244600397"</f>
        <v>15244600397</v>
      </c>
      <c r="C598" t="str">
        <f>"23230219960106411X"</f>
        <v>23230219960106411X</v>
      </c>
      <c r="D598" t="s">
        <v>1000</v>
      </c>
      <c r="E598" t="s">
        <v>1001</v>
      </c>
      <c r="F598" t="str">
        <f>"2019-01-12 11:42:56"</f>
        <v>2019-01-12 11:42:56</v>
      </c>
    </row>
    <row r="599" spans="1:6" x14ac:dyDescent="0.3">
      <c r="A599" t="s">
        <v>1002</v>
      </c>
      <c r="B599" t="str">
        <f>"18563962567"</f>
        <v>18563962567</v>
      </c>
      <c r="C599" t="str">
        <f>"370213198412217015"</f>
        <v>370213198412217015</v>
      </c>
      <c r="D599" t="s">
        <v>1003</v>
      </c>
      <c r="E599" t="s">
        <v>1004</v>
      </c>
      <c r="F599" t="str">
        <f>"2019-01-12 11:39:14"</f>
        <v>2019-01-12 11:39:14</v>
      </c>
    </row>
    <row r="600" spans="1:6" x14ac:dyDescent="0.3">
      <c r="A600" t="s">
        <v>1005</v>
      </c>
      <c r="B600" t="str">
        <f>"18166986413"</f>
        <v>18166986413</v>
      </c>
      <c r="C600" t="str">
        <f>"522121198103240240"</f>
        <v>522121198103240240</v>
      </c>
      <c r="D600" t="s">
        <v>1006</v>
      </c>
      <c r="E600" t="s">
        <v>1007</v>
      </c>
      <c r="F600" t="str">
        <f>"2019-01-12 11:31:11"</f>
        <v>2019-01-12 11:31:11</v>
      </c>
    </row>
    <row r="601" spans="1:6" x14ac:dyDescent="0.3">
      <c r="A601" t="s">
        <v>1008</v>
      </c>
      <c r="B601" t="str">
        <f>"18289707086"</f>
        <v>18289707086</v>
      </c>
      <c r="C601" t="str">
        <f>"460022198605011715"</f>
        <v>460022198605011715</v>
      </c>
      <c r="D601" t="s">
        <v>1009</v>
      </c>
      <c r="E601" t="s">
        <v>1010</v>
      </c>
      <c r="F601" t="str">
        <f>"2019-01-12 11:27:08"</f>
        <v>2019-01-12 11:27:08</v>
      </c>
    </row>
    <row r="602" spans="1:6" x14ac:dyDescent="0.3">
      <c r="A602" t="s">
        <v>0</v>
      </c>
      <c r="B602" t="str">
        <f>"13146637805"</f>
        <v>13146637805</v>
      </c>
      <c r="C602" t="s">
        <v>0</v>
      </c>
      <c r="D602" t="s">
        <v>0</v>
      </c>
      <c r="E602" t="s">
        <v>0</v>
      </c>
      <c r="F602" t="str">
        <f>"2019-01-12 11:25:23"</f>
        <v>2019-01-12 11:25:23</v>
      </c>
    </row>
    <row r="603" spans="1:6" x14ac:dyDescent="0.3">
      <c r="A603" t="s">
        <v>1011</v>
      </c>
      <c r="B603" t="str">
        <f>"15822813774"</f>
        <v>15822813774</v>
      </c>
      <c r="C603" t="str">
        <f>"142430199511012753"</f>
        <v>142430199511012753</v>
      </c>
      <c r="D603" t="s">
        <v>1012</v>
      </c>
      <c r="E603" t="s">
        <v>1013</v>
      </c>
      <c r="F603" t="str">
        <f>"2019-01-12 11:24:07"</f>
        <v>2019-01-12 11:24:07</v>
      </c>
    </row>
    <row r="604" spans="1:6" x14ac:dyDescent="0.3">
      <c r="A604" t="s">
        <v>1014</v>
      </c>
      <c r="B604" t="str">
        <f>"15231441137"</f>
        <v>15231441137</v>
      </c>
      <c r="C604" t="str">
        <f>"130823198812253016"</f>
        <v>130823198812253016</v>
      </c>
      <c r="D604" t="s">
        <v>1015</v>
      </c>
      <c r="E604" t="s">
        <v>1016</v>
      </c>
      <c r="F604" t="str">
        <f>"2019-01-12 11:07:13"</f>
        <v>2019-01-12 11:07:13</v>
      </c>
    </row>
    <row r="605" spans="1:6" x14ac:dyDescent="0.3">
      <c r="A605" t="s">
        <v>1017</v>
      </c>
      <c r="B605" t="str">
        <f>"17542907983"</f>
        <v>17542907983</v>
      </c>
      <c r="C605" t="str">
        <f>"211403199306119015"</f>
        <v>211403199306119015</v>
      </c>
      <c r="D605" t="s">
        <v>1018</v>
      </c>
      <c r="E605" t="s">
        <v>1019</v>
      </c>
      <c r="F605" t="str">
        <f>"2019-01-12 11:05:48"</f>
        <v>2019-01-12 11:05:48</v>
      </c>
    </row>
    <row r="606" spans="1:6" x14ac:dyDescent="0.3">
      <c r="A606" t="s">
        <v>1020</v>
      </c>
      <c r="B606" t="str">
        <f>"15737229659"</f>
        <v>15737229659</v>
      </c>
      <c r="C606" t="str">
        <f>"41041119991217562X"</f>
        <v>41041119991217562X</v>
      </c>
      <c r="D606" t="s">
        <v>1021</v>
      </c>
      <c r="E606" t="s">
        <v>1022</v>
      </c>
      <c r="F606" t="str">
        <f>"2019-01-12 10:41:07"</f>
        <v>2019-01-12 10:41:07</v>
      </c>
    </row>
    <row r="607" spans="1:6" x14ac:dyDescent="0.3">
      <c r="A607" t="s">
        <v>1023</v>
      </c>
      <c r="B607" t="str">
        <f>"13656085974"</f>
        <v>13656085974</v>
      </c>
      <c r="C607" t="str">
        <f>"350623198304104516"</f>
        <v>350623198304104516</v>
      </c>
      <c r="D607" t="s">
        <v>1024</v>
      </c>
      <c r="E607" t="s">
        <v>1025</v>
      </c>
      <c r="F607" t="str">
        <f>"2019-01-12 09:57:43"</f>
        <v>2019-01-12 09:57:43</v>
      </c>
    </row>
    <row r="608" spans="1:6" x14ac:dyDescent="0.3">
      <c r="A608" t="s">
        <v>0</v>
      </c>
      <c r="B608" t="str">
        <f>"13417063403"</f>
        <v>13417063403</v>
      </c>
      <c r="C608" t="s">
        <v>0</v>
      </c>
      <c r="D608" t="s">
        <v>0</v>
      </c>
      <c r="E608" t="s">
        <v>0</v>
      </c>
      <c r="F608" t="str">
        <f>"2019-01-12 09:46:20"</f>
        <v>2019-01-12 09:46:20</v>
      </c>
    </row>
    <row r="609" spans="1:6" x14ac:dyDescent="0.3">
      <c r="A609" t="s">
        <v>1026</v>
      </c>
      <c r="B609" t="str">
        <f>"15243533143"</f>
        <v>15243533143</v>
      </c>
      <c r="C609" t="str">
        <f>"431026199203072123"</f>
        <v>431026199203072123</v>
      </c>
      <c r="D609" t="s">
        <v>1027</v>
      </c>
      <c r="E609" t="s">
        <v>1028</v>
      </c>
      <c r="F609" t="str">
        <f>"2019-01-12 09:25:02"</f>
        <v>2019-01-12 09:25:02</v>
      </c>
    </row>
    <row r="610" spans="1:6" x14ac:dyDescent="0.3">
      <c r="A610" t="s">
        <v>1029</v>
      </c>
      <c r="B610" t="str">
        <f>"15175915508"</f>
        <v>15175915508</v>
      </c>
      <c r="C610" t="str">
        <f>"130582199510044815"</f>
        <v>130582199510044815</v>
      </c>
      <c r="D610" t="s">
        <v>0</v>
      </c>
      <c r="E610" t="s">
        <v>0</v>
      </c>
      <c r="F610" t="str">
        <f>"2019-01-12 00:21:12"</f>
        <v>2019-01-12 00:21:12</v>
      </c>
    </row>
    <row r="611" spans="1:6" x14ac:dyDescent="0.3">
      <c r="A611" t="s">
        <v>1030</v>
      </c>
      <c r="B611" t="str">
        <f>"18543105439"</f>
        <v>18543105439</v>
      </c>
      <c r="C611" t="str">
        <f>"232302198806260021"</f>
        <v>232302198806260021</v>
      </c>
      <c r="D611" t="s">
        <v>1031</v>
      </c>
      <c r="E611" t="s">
        <v>1032</v>
      </c>
      <c r="F611" t="str">
        <f>"2019-01-12 00:15:16"</f>
        <v>2019-01-12 00:15:16</v>
      </c>
    </row>
    <row r="612" spans="1:6" x14ac:dyDescent="0.3">
      <c r="A612" t="s">
        <v>1033</v>
      </c>
      <c r="B612" t="str">
        <f>"13661177173"</f>
        <v>13661177173</v>
      </c>
      <c r="C612" t="str">
        <f>"440582198709200051"</f>
        <v>440582198709200051</v>
      </c>
      <c r="D612" t="s">
        <v>1034</v>
      </c>
      <c r="E612" t="s">
        <v>1035</v>
      </c>
      <c r="F612" t="str">
        <f>"2019-01-11 22:28:36"</f>
        <v>2019-01-11 22:28:36</v>
      </c>
    </row>
    <row r="613" spans="1:6" x14ac:dyDescent="0.3">
      <c r="A613" t="s">
        <v>1036</v>
      </c>
      <c r="B613" t="str">
        <f>"18318691369"</f>
        <v>18318691369</v>
      </c>
      <c r="C613" t="str">
        <f>"441881198510073420"</f>
        <v>441881198510073420</v>
      </c>
      <c r="D613" t="s">
        <v>1037</v>
      </c>
      <c r="E613" t="s">
        <v>1038</v>
      </c>
      <c r="F613" t="str">
        <f>"2019-01-11 20:31:47"</f>
        <v>2019-01-11 20:31:47</v>
      </c>
    </row>
    <row r="614" spans="1:6" x14ac:dyDescent="0.3">
      <c r="A614" t="s">
        <v>1039</v>
      </c>
      <c r="B614" t="str">
        <f>"18018743841"</f>
        <v>18018743841</v>
      </c>
      <c r="C614" t="str">
        <f>"440307198107041523"</f>
        <v>440307198107041523</v>
      </c>
      <c r="D614" t="s">
        <v>1040</v>
      </c>
      <c r="E614" t="s">
        <v>1041</v>
      </c>
      <c r="F614" t="str">
        <f>"2019-01-11 17:07:44"</f>
        <v>2019-01-11 17:07:44</v>
      </c>
    </row>
    <row r="615" spans="1:6" x14ac:dyDescent="0.3">
      <c r="A615" t="s">
        <v>0</v>
      </c>
      <c r="B615" t="str">
        <f>"15138410944"</f>
        <v>15138410944</v>
      </c>
      <c r="C615" t="s">
        <v>0</v>
      </c>
      <c r="D615" t="s">
        <v>0</v>
      </c>
      <c r="E615" t="s">
        <v>0</v>
      </c>
      <c r="F615" t="str">
        <f>"2019-01-11 16:31:21"</f>
        <v>2019-01-11 16:31:21</v>
      </c>
    </row>
    <row r="616" spans="1:6" x14ac:dyDescent="0.3">
      <c r="A616" t="s">
        <v>1042</v>
      </c>
      <c r="B616" t="str">
        <f>"15826231965"</f>
        <v>15826231965</v>
      </c>
      <c r="C616" t="str">
        <f>"512301196911133114"</f>
        <v>512301196911133114</v>
      </c>
      <c r="D616" t="s">
        <v>1043</v>
      </c>
      <c r="E616" t="s">
        <v>1044</v>
      </c>
      <c r="F616" t="str">
        <f>"2019-01-11 16:01:28"</f>
        <v>2019-01-11 16:01:28</v>
      </c>
    </row>
    <row r="617" spans="1:6" x14ac:dyDescent="0.3">
      <c r="A617" t="s">
        <v>1045</v>
      </c>
      <c r="B617" t="str">
        <f>"13408551422"</f>
        <v>13408551422</v>
      </c>
      <c r="C617" t="str">
        <f>"510322199111112511"</f>
        <v>510322199111112511</v>
      </c>
      <c r="D617" t="s">
        <v>1046</v>
      </c>
      <c r="E617" t="s">
        <v>1046</v>
      </c>
      <c r="F617" t="str">
        <f>"2019-01-11 15:09:19"</f>
        <v>2019-01-11 15:09:19</v>
      </c>
    </row>
    <row r="618" spans="1:6" x14ac:dyDescent="0.3">
      <c r="A618" t="s">
        <v>1047</v>
      </c>
      <c r="B618" t="str">
        <f>"18301278233"</f>
        <v>18301278233</v>
      </c>
      <c r="C618" t="str">
        <f>"220621199407290748"</f>
        <v>220621199407290748</v>
      </c>
      <c r="D618" t="s">
        <v>0</v>
      </c>
      <c r="E618" t="s">
        <v>0</v>
      </c>
      <c r="F618" t="str">
        <f>"2019-01-11 13:57:08"</f>
        <v>2019-01-11 13:57:08</v>
      </c>
    </row>
    <row r="619" spans="1:6" x14ac:dyDescent="0.3">
      <c r="A619" t="s">
        <v>1048</v>
      </c>
      <c r="B619" t="str">
        <f>"13680748371"</f>
        <v>13680748371</v>
      </c>
      <c r="C619" t="str">
        <f>"442531199212123210"</f>
        <v>442531199212123210</v>
      </c>
      <c r="D619" t="s">
        <v>1049</v>
      </c>
      <c r="E619" t="s">
        <v>1050</v>
      </c>
      <c r="F619" t="str">
        <f>"2019-01-11 13:51:07"</f>
        <v>2019-01-11 13:51:07</v>
      </c>
    </row>
    <row r="620" spans="1:6" x14ac:dyDescent="0.3">
      <c r="A620" t="s">
        <v>1051</v>
      </c>
      <c r="B620" t="str">
        <f>"15615697158"</f>
        <v>15615697158</v>
      </c>
      <c r="C620" t="str">
        <f>"371322198705013414"</f>
        <v>371322198705013414</v>
      </c>
      <c r="D620" t="s">
        <v>1052</v>
      </c>
      <c r="E620" t="s">
        <v>1053</v>
      </c>
      <c r="F620" t="str">
        <f>"2019-01-11 12:27:22"</f>
        <v>2019-01-11 12:27:22</v>
      </c>
    </row>
    <row r="621" spans="1:6" x14ac:dyDescent="0.3">
      <c r="A621" t="s">
        <v>1054</v>
      </c>
      <c r="B621" t="str">
        <f>"18530520256"</f>
        <v>18530520256</v>
      </c>
      <c r="C621" t="str">
        <f>"410521199308313510"</f>
        <v>410521199308313510</v>
      </c>
      <c r="D621" t="s">
        <v>1055</v>
      </c>
      <c r="E621" t="s">
        <v>1056</v>
      </c>
      <c r="F621" t="str">
        <f>"2019-01-11 12:14:57"</f>
        <v>2019-01-11 12:14:57</v>
      </c>
    </row>
    <row r="622" spans="1:6" x14ac:dyDescent="0.3">
      <c r="A622" t="s">
        <v>0</v>
      </c>
      <c r="B622" t="str">
        <f>"15961090641"</f>
        <v>15961090641</v>
      </c>
      <c r="C622" t="s">
        <v>0</v>
      </c>
      <c r="D622" t="s">
        <v>0</v>
      </c>
      <c r="E622" t="s">
        <v>0</v>
      </c>
      <c r="F622" t="str">
        <f>"2019-01-11 11:13:35"</f>
        <v>2019-01-11 11:13:35</v>
      </c>
    </row>
    <row r="623" spans="1:6" x14ac:dyDescent="0.3">
      <c r="A623" t="s">
        <v>1057</v>
      </c>
      <c r="B623" t="str">
        <f>"13704478865"</f>
        <v>13704478865</v>
      </c>
      <c r="C623" t="str">
        <f>"222303197703015824"</f>
        <v>222303197703015824</v>
      </c>
      <c r="D623" t="s">
        <v>1058</v>
      </c>
      <c r="E623" t="s">
        <v>1059</v>
      </c>
      <c r="F623" t="str">
        <f>"2019-01-11 08:03:36"</f>
        <v>2019-01-11 08:03:36</v>
      </c>
    </row>
    <row r="624" spans="1:6" x14ac:dyDescent="0.3">
      <c r="A624" t="s">
        <v>0</v>
      </c>
      <c r="B624" t="str">
        <f>"15131937757"</f>
        <v>15131937757</v>
      </c>
      <c r="C624" t="s">
        <v>0</v>
      </c>
      <c r="D624" t="s">
        <v>0</v>
      </c>
      <c r="E624" t="s">
        <v>0</v>
      </c>
      <c r="F624" t="str">
        <f>"2019-01-11 03:39:59"</f>
        <v>2019-01-11 03:39:59</v>
      </c>
    </row>
    <row r="625" spans="1:6" x14ac:dyDescent="0.3">
      <c r="A625" t="s">
        <v>0</v>
      </c>
      <c r="B625" t="str">
        <f>"15073257893"</f>
        <v>15073257893</v>
      </c>
      <c r="C625" t="s">
        <v>0</v>
      </c>
      <c r="D625" t="s">
        <v>0</v>
      </c>
      <c r="E625" t="s">
        <v>0</v>
      </c>
      <c r="F625" t="str">
        <f>"2019-01-11 01:26:01"</f>
        <v>2019-01-11 01:26:01</v>
      </c>
    </row>
    <row r="626" spans="1:6" x14ac:dyDescent="0.3">
      <c r="A626" t="s">
        <v>1060</v>
      </c>
      <c r="B626" t="str">
        <f>"18876032370"</f>
        <v>18876032370</v>
      </c>
      <c r="C626" t="str">
        <f>"460025199608094214"</f>
        <v>460025199608094214</v>
      </c>
      <c r="D626" t="s">
        <v>1061</v>
      </c>
      <c r="E626" t="s">
        <v>1062</v>
      </c>
      <c r="F626" t="str">
        <f>"2019-01-11 01:12:59"</f>
        <v>2019-01-11 01:12:59</v>
      </c>
    </row>
    <row r="627" spans="1:6" x14ac:dyDescent="0.3">
      <c r="A627" t="s">
        <v>1063</v>
      </c>
      <c r="B627" t="str">
        <f>"15979538036"</f>
        <v>15979538036</v>
      </c>
      <c r="C627" t="str">
        <f>"362228196910102830"</f>
        <v>362228196910102830</v>
      </c>
      <c r="D627" t="s">
        <v>0</v>
      </c>
      <c r="E627" t="s">
        <v>0</v>
      </c>
      <c r="F627" t="str">
        <f>"2019-01-10 22:02:56"</f>
        <v>2019-01-10 22:02:56</v>
      </c>
    </row>
    <row r="628" spans="1:6" x14ac:dyDescent="0.3">
      <c r="A628" t="s">
        <v>1064</v>
      </c>
      <c r="B628" t="str">
        <f>"13627891955"</f>
        <v>13627891955</v>
      </c>
      <c r="C628" t="str">
        <f>"450521199011076910"</f>
        <v>450521199011076910</v>
      </c>
      <c r="D628" t="s">
        <v>1065</v>
      </c>
      <c r="E628" t="s">
        <v>1066</v>
      </c>
      <c r="F628" t="str">
        <f>"2019-01-10 18:28:22"</f>
        <v>2019-01-10 18:28:22</v>
      </c>
    </row>
    <row r="629" spans="1:6" x14ac:dyDescent="0.3">
      <c r="A629" t="s">
        <v>1067</v>
      </c>
      <c r="B629" t="str">
        <f>"13055337158"</f>
        <v>13055337158</v>
      </c>
      <c r="C629" t="str">
        <f>"342901197403151610"</f>
        <v>342901197403151610</v>
      </c>
      <c r="D629" t="s">
        <v>0</v>
      </c>
      <c r="E629" t="s">
        <v>0</v>
      </c>
      <c r="F629" t="str">
        <f>"2019-01-10 15:39:37"</f>
        <v>2019-01-10 15:39:37</v>
      </c>
    </row>
    <row r="630" spans="1:6" x14ac:dyDescent="0.3">
      <c r="A630" t="s">
        <v>1068</v>
      </c>
      <c r="B630" t="str">
        <f>"13937261232"</f>
        <v>13937261232</v>
      </c>
      <c r="C630" t="str">
        <f>"410522198510252813"</f>
        <v>410522198510252813</v>
      </c>
      <c r="D630" t="s">
        <v>1069</v>
      </c>
      <c r="E630" t="s">
        <v>1070</v>
      </c>
      <c r="F630" t="str">
        <f>"2019-01-10 15:25:08"</f>
        <v>2019-01-10 15:25:08</v>
      </c>
    </row>
    <row r="631" spans="1:6" x14ac:dyDescent="0.3">
      <c r="A631" t="s">
        <v>1071</v>
      </c>
      <c r="B631" t="str">
        <f>"18229335988"</f>
        <v>18229335988</v>
      </c>
      <c r="C631" t="str">
        <f>"431025198702106825"</f>
        <v>431025198702106825</v>
      </c>
      <c r="D631" t="s">
        <v>1072</v>
      </c>
      <c r="E631" t="s">
        <v>1073</v>
      </c>
      <c r="F631" t="str">
        <f>"2019-01-10 14:52:28"</f>
        <v>2019-01-10 14:52:28</v>
      </c>
    </row>
    <row r="632" spans="1:6" x14ac:dyDescent="0.3">
      <c r="A632" t="s">
        <v>1074</v>
      </c>
      <c r="B632" t="str">
        <f>"15092457065"</f>
        <v>15092457065</v>
      </c>
      <c r="C632" t="str">
        <f>"130730198712202244"</f>
        <v>130730198712202244</v>
      </c>
      <c r="D632" t="s">
        <v>1075</v>
      </c>
      <c r="E632" t="s">
        <v>1076</v>
      </c>
      <c r="F632" t="str">
        <f>"2019-01-10 14:42:50"</f>
        <v>2019-01-10 14:42:50</v>
      </c>
    </row>
    <row r="633" spans="1:6" x14ac:dyDescent="0.3">
      <c r="A633" t="s">
        <v>0</v>
      </c>
      <c r="B633" t="str">
        <f>"15716109707"</f>
        <v>15716109707</v>
      </c>
      <c r="C633" t="s">
        <v>0</v>
      </c>
      <c r="D633" t="s">
        <v>0</v>
      </c>
      <c r="E633" t="s">
        <v>0</v>
      </c>
      <c r="F633" t="str">
        <f>"2019-01-10 14:24:41"</f>
        <v>2019-01-10 14:24:41</v>
      </c>
    </row>
    <row r="634" spans="1:6" x14ac:dyDescent="0.3">
      <c r="A634" t="s">
        <v>1077</v>
      </c>
      <c r="B634" t="str">
        <f>"18786313833"</f>
        <v>18786313833</v>
      </c>
      <c r="C634" t="str">
        <f>"522132197609077334"</f>
        <v>522132197609077334</v>
      </c>
      <c r="D634" t="s">
        <v>1078</v>
      </c>
      <c r="E634" t="s">
        <v>1079</v>
      </c>
      <c r="F634" t="str">
        <f>"2019-01-10 12:46:42"</f>
        <v>2019-01-10 12:46:42</v>
      </c>
    </row>
    <row r="635" spans="1:6" x14ac:dyDescent="0.3">
      <c r="A635" t="s">
        <v>1080</v>
      </c>
      <c r="B635" t="str">
        <f>"18284343791"</f>
        <v>18284343791</v>
      </c>
      <c r="C635" t="str">
        <f>"511181199602134432"</f>
        <v>511181199602134432</v>
      </c>
      <c r="D635" t="s">
        <v>1081</v>
      </c>
      <c r="E635" t="s">
        <v>1082</v>
      </c>
      <c r="F635" t="str">
        <f>"2019-01-10 11:54:04"</f>
        <v>2019-01-10 11:54:04</v>
      </c>
    </row>
    <row r="636" spans="1:6" x14ac:dyDescent="0.3">
      <c r="A636" t="s">
        <v>1083</v>
      </c>
      <c r="B636" t="str">
        <f>"13884177152"</f>
        <v>13884177152</v>
      </c>
      <c r="C636" t="str">
        <f>"622825199103160314"</f>
        <v>622825199103160314</v>
      </c>
      <c r="D636" t="s">
        <v>1084</v>
      </c>
      <c r="E636" t="s">
        <v>1085</v>
      </c>
      <c r="F636" t="str">
        <f>"2019-01-10 11:11:26"</f>
        <v>2019-01-10 11:11:26</v>
      </c>
    </row>
    <row r="637" spans="1:6" x14ac:dyDescent="0.3">
      <c r="A637" t="s">
        <v>1086</v>
      </c>
      <c r="B637" t="str">
        <f>"18960705659"</f>
        <v>18960705659</v>
      </c>
      <c r="C637" t="str">
        <f>"350111198212215072"</f>
        <v>350111198212215072</v>
      </c>
      <c r="D637" t="s">
        <v>1087</v>
      </c>
      <c r="E637" t="s">
        <v>1088</v>
      </c>
      <c r="F637" t="str">
        <f>"2019-01-10 11:01:18"</f>
        <v>2019-01-10 11:01:18</v>
      </c>
    </row>
    <row r="638" spans="1:6" x14ac:dyDescent="0.3">
      <c r="A638" t="s">
        <v>1089</v>
      </c>
      <c r="B638" t="str">
        <f>"13542625006"</f>
        <v>13542625006</v>
      </c>
      <c r="C638" t="str">
        <f>"452127197010151236"</f>
        <v>452127197010151236</v>
      </c>
      <c r="D638" t="s">
        <v>1090</v>
      </c>
      <c r="E638" t="s">
        <v>1091</v>
      </c>
      <c r="F638" t="str">
        <f>"2019-01-10 10:47:19"</f>
        <v>2019-01-10 10:47:19</v>
      </c>
    </row>
    <row r="639" spans="1:6" x14ac:dyDescent="0.3">
      <c r="A639" t="s">
        <v>0</v>
      </c>
      <c r="B639" t="str">
        <f>"15922739049"</f>
        <v>15922739049</v>
      </c>
      <c r="C639" t="s">
        <v>0</v>
      </c>
      <c r="D639" t="s">
        <v>0</v>
      </c>
      <c r="E639" t="s">
        <v>0</v>
      </c>
      <c r="F639" t="str">
        <f>"2019-01-10 10:08:38"</f>
        <v>2019-01-10 10:08:38</v>
      </c>
    </row>
    <row r="640" spans="1:6" x14ac:dyDescent="0.3">
      <c r="A640" t="s">
        <v>1092</v>
      </c>
      <c r="B640" t="str">
        <f>"15830087202"</f>
        <v>15830087202</v>
      </c>
      <c r="C640" t="str">
        <f>"130431198904081037"</f>
        <v>130431198904081037</v>
      </c>
      <c r="D640" t="s">
        <v>1093</v>
      </c>
      <c r="E640" t="s">
        <v>1094</v>
      </c>
      <c r="F640" t="str">
        <f>"2019-01-10 10:05:02"</f>
        <v>2019-01-10 10:05:02</v>
      </c>
    </row>
    <row r="641" spans="1:6" x14ac:dyDescent="0.3">
      <c r="A641" t="s">
        <v>1095</v>
      </c>
      <c r="B641" t="str">
        <f>"15899780019"</f>
        <v>15899780019</v>
      </c>
      <c r="C641" t="str">
        <f>"431226198607303916"</f>
        <v>431226198607303916</v>
      </c>
      <c r="D641" t="s">
        <v>0</v>
      </c>
      <c r="E641" t="s">
        <v>0</v>
      </c>
      <c r="F641" t="str">
        <f>"2019-01-10 07:40:38"</f>
        <v>2019-01-10 07:40:38</v>
      </c>
    </row>
    <row r="642" spans="1:6" x14ac:dyDescent="0.3">
      <c r="A642" t="s">
        <v>0</v>
      </c>
      <c r="B642" t="str">
        <f>"15915556880"</f>
        <v>15915556880</v>
      </c>
      <c r="C642" t="s">
        <v>0</v>
      </c>
      <c r="D642" t="s">
        <v>0</v>
      </c>
      <c r="E642" t="s">
        <v>0</v>
      </c>
      <c r="F642" t="str">
        <f>"2019-01-10 06:00:42"</f>
        <v>2019-01-10 06:00:42</v>
      </c>
    </row>
    <row r="643" spans="1:6" x14ac:dyDescent="0.3">
      <c r="A643" t="s">
        <v>1096</v>
      </c>
      <c r="B643" t="str">
        <f>"15661447411"</f>
        <v>15661447411</v>
      </c>
      <c r="C643" t="str">
        <f>"150221199504121022"</f>
        <v>150221199504121022</v>
      </c>
      <c r="D643" t="s">
        <v>0</v>
      </c>
      <c r="E643" t="s">
        <v>0</v>
      </c>
      <c r="F643" t="str">
        <f>"2019-01-09 22:54:16"</f>
        <v>2019-01-09 22:54:16</v>
      </c>
    </row>
    <row r="644" spans="1:6" x14ac:dyDescent="0.3">
      <c r="A644" t="s">
        <v>1097</v>
      </c>
      <c r="B644" t="str">
        <f>"17355516518"</f>
        <v>17355516518</v>
      </c>
      <c r="C644" t="str">
        <f>"340521199702253829"</f>
        <v>340521199702253829</v>
      </c>
      <c r="D644" t="s">
        <v>0</v>
      </c>
      <c r="E644" t="s">
        <v>0</v>
      </c>
      <c r="F644" t="str">
        <f>"2019-01-09 22:49:06"</f>
        <v>2019-01-09 22:49:06</v>
      </c>
    </row>
    <row r="645" spans="1:6" x14ac:dyDescent="0.3">
      <c r="A645" t="s">
        <v>1098</v>
      </c>
      <c r="B645" t="str">
        <f>"15593969915"</f>
        <v>15593969915</v>
      </c>
      <c r="C645" t="str">
        <f>"620423199409157517"</f>
        <v>620423199409157517</v>
      </c>
      <c r="D645" t="s">
        <v>1099</v>
      </c>
      <c r="E645" t="s">
        <v>1100</v>
      </c>
      <c r="F645" t="str">
        <f>"2019-01-09 21:18:57"</f>
        <v>2019-01-09 21:18:57</v>
      </c>
    </row>
    <row r="646" spans="1:6" x14ac:dyDescent="0.3">
      <c r="A646" t="s">
        <v>1101</v>
      </c>
      <c r="B646" t="str">
        <f>"13411676954"</f>
        <v>13411676954</v>
      </c>
      <c r="C646" t="str">
        <f>"362329199209165716"</f>
        <v>362329199209165716</v>
      </c>
      <c r="D646" t="s">
        <v>1102</v>
      </c>
      <c r="E646" t="s">
        <v>1103</v>
      </c>
      <c r="F646" t="str">
        <f>"2019-01-09 19:47:21"</f>
        <v>2019-01-09 19:47:21</v>
      </c>
    </row>
    <row r="647" spans="1:6" x14ac:dyDescent="0.3">
      <c r="A647" t="s">
        <v>757</v>
      </c>
      <c r="B647" t="str">
        <f>"18506060225"</f>
        <v>18506060225</v>
      </c>
      <c r="C647" t="str">
        <f>"350105198508312739"</f>
        <v>350105198508312739</v>
      </c>
      <c r="D647" t="s">
        <v>1104</v>
      </c>
      <c r="E647" t="s">
        <v>1105</v>
      </c>
      <c r="F647" t="str">
        <f>"2019-01-09 18:40:03"</f>
        <v>2019-01-09 18:40:03</v>
      </c>
    </row>
    <row r="648" spans="1:6" x14ac:dyDescent="0.3">
      <c r="A648" t="s">
        <v>1106</v>
      </c>
      <c r="B648" t="str">
        <f>"13759456601"</f>
        <v>13759456601</v>
      </c>
      <c r="C648" t="str">
        <f>"530125198909300412"</f>
        <v>530125198909300412</v>
      </c>
      <c r="D648" t="s">
        <v>1107</v>
      </c>
      <c r="E648" t="s">
        <v>1108</v>
      </c>
      <c r="F648" t="str">
        <f>"2019-01-09 17:41:11"</f>
        <v>2019-01-09 17:41:11</v>
      </c>
    </row>
    <row r="649" spans="1:6" x14ac:dyDescent="0.3">
      <c r="A649" t="s">
        <v>1109</v>
      </c>
      <c r="B649" t="str">
        <f>"17635360638"</f>
        <v>17635360638</v>
      </c>
      <c r="C649" t="str">
        <f>"14062119841225101X"</f>
        <v>14062119841225101X</v>
      </c>
      <c r="D649" t="s">
        <v>1110</v>
      </c>
      <c r="E649" t="s">
        <v>1111</v>
      </c>
      <c r="F649" t="str">
        <f>"2019-01-09 17:35:51"</f>
        <v>2019-01-09 17:35:51</v>
      </c>
    </row>
    <row r="650" spans="1:6" x14ac:dyDescent="0.3">
      <c r="A650" t="s">
        <v>0</v>
      </c>
      <c r="B650" t="str">
        <f>"15233077397"</f>
        <v>15233077397</v>
      </c>
      <c r="C650" t="s">
        <v>0</v>
      </c>
      <c r="D650" t="s">
        <v>0</v>
      </c>
      <c r="E650" t="s">
        <v>0</v>
      </c>
      <c r="F650" t="str">
        <f>"2019-01-09 16:31:23"</f>
        <v>2019-01-09 16:31:23</v>
      </c>
    </row>
    <row r="651" spans="1:6" x14ac:dyDescent="0.3">
      <c r="A651" t="s">
        <v>1112</v>
      </c>
      <c r="B651" t="str">
        <f>"18703638917"</f>
        <v>18703638917</v>
      </c>
      <c r="C651" t="str">
        <f>"412722198901056118"</f>
        <v>412722198901056118</v>
      </c>
      <c r="D651" t="s">
        <v>1113</v>
      </c>
      <c r="E651" t="s">
        <v>1114</v>
      </c>
      <c r="F651" t="str">
        <f>"2019-01-09 16:01:17"</f>
        <v>2019-01-09 16:01:17</v>
      </c>
    </row>
    <row r="652" spans="1:6" x14ac:dyDescent="0.3">
      <c r="A652" t="s">
        <v>1115</v>
      </c>
      <c r="B652" t="str">
        <f>"18630257713"</f>
        <v>18630257713</v>
      </c>
      <c r="C652" t="str">
        <f>"231002198710052028"</f>
        <v>231002198710052028</v>
      </c>
      <c r="D652" t="s">
        <v>0</v>
      </c>
      <c r="E652" t="s">
        <v>0</v>
      </c>
      <c r="F652" t="str">
        <f>"2019-01-09 14:41:43"</f>
        <v>2019-01-09 14:41:43</v>
      </c>
    </row>
    <row r="653" spans="1:6" x14ac:dyDescent="0.3">
      <c r="A653" t="s">
        <v>0</v>
      </c>
      <c r="B653" t="str">
        <f>"13767813050"</f>
        <v>13767813050</v>
      </c>
      <c r="C653" t="s">
        <v>0</v>
      </c>
      <c r="D653" t="s">
        <v>0</v>
      </c>
      <c r="E653" t="s">
        <v>0</v>
      </c>
      <c r="F653" t="str">
        <f>"2019-01-09 14:02:15"</f>
        <v>2019-01-09 14:02:15</v>
      </c>
    </row>
    <row r="654" spans="1:6" x14ac:dyDescent="0.3">
      <c r="A654" t="s">
        <v>0</v>
      </c>
      <c r="B654" t="str">
        <f>"13796409698"</f>
        <v>13796409698</v>
      </c>
      <c r="C654" t="s">
        <v>0</v>
      </c>
      <c r="D654" t="s">
        <v>0</v>
      </c>
      <c r="E654" t="s">
        <v>0</v>
      </c>
      <c r="F654" t="str">
        <f>"2019-01-09 13:57:57"</f>
        <v>2019-01-09 13:57:57</v>
      </c>
    </row>
    <row r="655" spans="1:6" x14ac:dyDescent="0.3">
      <c r="A655" t="s">
        <v>1116</v>
      </c>
      <c r="B655" t="str">
        <f>"13461009087"</f>
        <v>13461009087</v>
      </c>
      <c r="C655" t="str">
        <f>"140622199310033629"</f>
        <v>140622199310033629</v>
      </c>
      <c r="D655" t="s">
        <v>0</v>
      </c>
      <c r="E655" t="s">
        <v>0</v>
      </c>
      <c r="F655" t="str">
        <f>"2019-01-09 13:08:37"</f>
        <v>2019-01-09 13:08:37</v>
      </c>
    </row>
    <row r="656" spans="1:6" x14ac:dyDescent="0.3">
      <c r="A656" t="s">
        <v>0</v>
      </c>
      <c r="B656" t="str">
        <f>"15042855099"</f>
        <v>15042855099</v>
      </c>
      <c r="C656" t="s">
        <v>0</v>
      </c>
      <c r="D656" t="s">
        <v>0</v>
      </c>
      <c r="E656" t="s">
        <v>0</v>
      </c>
      <c r="F656" t="str">
        <f>"2019-01-09 12:55:44"</f>
        <v>2019-01-09 12:55:44</v>
      </c>
    </row>
    <row r="657" spans="1:6" x14ac:dyDescent="0.3">
      <c r="A657" t="s">
        <v>1117</v>
      </c>
      <c r="B657" t="str">
        <f>"13399098691"</f>
        <v>13399098691</v>
      </c>
      <c r="C657" t="str">
        <f>"652722198101090013"</f>
        <v>652722198101090013</v>
      </c>
      <c r="D657" t="s">
        <v>0</v>
      </c>
      <c r="E657" t="s">
        <v>0</v>
      </c>
      <c r="F657" t="str">
        <f>"2019-01-09 08:58:37"</f>
        <v>2019-01-09 08:58:37</v>
      </c>
    </row>
    <row r="658" spans="1:6" x14ac:dyDescent="0.3">
      <c r="A658" t="s">
        <v>1118</v>
      </c>
      <c r="B658" t="str">
        <f>"15200398520"</f>
        <v>15200398520</v>
      </c>
      <c r="C658" t="str">
        <f>"430321198911053344"</f>
        <v>430321198911053344</v>
      </c>
      <c r="D658" t="s">
        <v>1119</v>
      </c>
      <c r="E658" t="s">
        <v>1120</v>
      </c>
      <c r="F658" t="str">
        <f>"2019-01-09 00:32:31"</f>
        <v>2019-01-09 00:32:31</v>
      </c>
    </row>
    <row r="659" spans="1:6" x14ac:dyDescent="0.3">
      <c r="A659" t="s">
        <v>1121</v>
      </c>
      <c r="B659" t="str">
        <f>"15878158711"</f>
        <v>15878158711</v>
      </c>
      <c r="C659" t="str">
        <f>"452128199301204532"</f>
        <v>452128199301204532</v>
      </c>
      <c r="D659" t="s">
        <v>0</v>
      </c>
      <c r="E659" t="s">
        <v>0</v>
      </c>
      <c r="F659" t="str">
        <f>"2019-01-08 22:45:13"</f>
        <v>2019-01-08 22:45:13</v>
      </c>
    </row>
    <row r="660" spans="1:6" x14ac:dyDescent="0.3">
      <c r="A660" t="s">
        <v>1122</v>
      </c>
      <c r="B660" t="str">
        <f>"18277532355"</f>
        <v>18277532355</v>
      </c>
      <c r="C660" t="str">
        <f>"522630199207190020"</f>
        <v>522630199207190020</v>
      </c>
      <c r="D660" t="s">
        <v>1123</v>
      </c>
      <c r="E660" t="s">
        <v>1124</v>
      </c>
      <c r="F660" t="str">
        <f>"2019-01-08 19:38:04"</f>
        <v>2019-01-08 19:38:04</v>
      </c>
    </row>
    <row r="661" spans="1:6" x14ac:dyDescent="0.3">
      <c r="A661" t="s">
        <v>1125</v>
      </c>
      <c r="B661" t="str">
        <f>"15813610038"</f>
        <v>15813610038</v>
      </c>
      <c r="C661" t="str">
        <f>"440682199411014336"</f>
        <v>440682199411014336</v>
      </c>
      <c r="D661" t="s">
        <v>1126</v>
      </c>
      <c r="E661" t="s">
        <v>1127</v>
      </c>
      <c r="F661" t="str">
        <f>"2019-01-08 19:28:44"</f>
        <v>2019-01-08 19:28:44</v>
      </c>
    </row>
    <row r="662" spans="1:6" x14ac:dyDescent="0.3">
      <c r="A662" t="s">
        <v>1128</v>
      </c>
      <c r="B662" t="str">
        <f>"18749590444"</f>
        <v>18749590444</v>
      </c>
      <c r="C662" t="str">
        <f>"411024199005220010"</f>
        <v>411024199005220010</v>
      </c>
      <c r="D662" t="s">
        <v>1129</v>
      </c>
      <c r="E662" t="s">
        <v>1130</v>
      </c>
      <c r="F662" t="str">
        <f>"2019-01-08 18:13:10"</f>
        <v>2019-01-08 18:13:10</v>
      </c>
    </row>
    <row r="663" spans="1:6" x14ac:dyDescent="0.3">
      <c r="A663" t="s">
        <v>1131</v>
      </c>
      <c r="B663" t="str">
        <f>"18314915520"</f>
        <v>18314915520</v>
      </c>
      <c r="C663" t="str">
        <f>"411327199506072912"</f>
        <v>411327199506072912</v>
      </c>
      <c r="D663" t="s">
        <v>1132</v>
      </c>
      <c r="E663" t="s">
        <v>1133</v>
      </c>
      <c r="F663" t="str">
        <f>"2019-01-08 18:10:07"</f>
        <v>2019-01-08 18:10:07</v>
      </c>
    </row>
    <row r="664" spans="1:6" x14ac:dyDescent="0.3">
      <c r="A664" t="s">
        <v>1134</v>
      </c>
      <c r="B664" t="str">
        <f>"18878556556"</f>
        <v>18878556556</v>
      </c>
      <c r="C664" t="str">
        <f>"352224198210033311"</f>
        <v>352224198210033311</v>
      </c>
      <c r="D664" t="s">
        <v>1135</v>
      </c>
      <c r="E664" t="s">
        <v>1136</v>
      </c>
      <c r="F664" t="str">
        <f>"2019-01-08 18:08:37"</f>
        <v>2019-01-08 18:08:37</v>
      </c>
    </row>
    <row r="665" spans="1:6" x14ac:dyDescent="0.3">
      <c r="A665" t="s">
        <v>1137</v>
      </c>
      <c r="B665" t="str">
        <f>"15031955994"</f>
        <v>15031955994</v>
      </c>
      <c r="C665" t="str">
        <f>"130582198505120217"</f>
        <v>130582198505120217</v>
      </c>
      <c r="D665" t="s">
        <v>0</v>
      </c>
      <c r="E665" t="s">
        <v>0</v>
      </c>
      <c r="F665" t="str">
        <f>"2019-01-08 16:24:02"</f>
        <v>2019-01-08 16:24:02</v>
      </c>
    </row>
    <row r="666" spans="1:6" x14ac:dyDescent="0.3">
      <c r="A666" t="s">
        <v>1138</v>
      </c>
      <c r="B666" t="str">
        <f>"13614718908"</f>
        <v>13614718908</v>
      </c>
      <c r="C666" t="str">
        <f>"152222198106141611"</f>
        <v>152222198106141611</v>
      </c>
      <c r="D666" t="s">
        <v>0</v>
      </c>
      <c r="E666" t="s">
        <v>0</v>
      </c>
      <c r="F666" t="str">
        <f>"2019-01-08 13:39:38"</f>
        <v>2019-01-08 13:39:38</v>
      </c>
    </row>
    <row r="667" spans="1:6" x14ac:dyDescent="0.3">
      <c r="A667" t="s">
        <v>1139</v>
      </c>
      <c r="B667" t="str">
        <f>"13705365035"</f>
        <v>13705365035</v>
      </c>
      <c r="C667" t="str">
        <f>"370783198610285736"</f>
        <v>370783198610285736</v>
      </c>
      <c r="D667" t="s">
        <v>1140</v>
      </c>
      <c r="E667" t="s">
        <v>1141</v>
      </c>
      <c r="F667" t="str">
        <f>"2019-01-08 10:56:01"</f>
        <v>2019-01-08 10:56:01</v>
      </c>
    </row>
    <row r="668" spans="1:6" x14ac:dyDescent="0.3">
      <c r="A668" t="s">
        <v>0</v>
      </c>
      <c r="B668" t="str">
        <f>"15854769466"</f>
        <v>15854769466</v>
      </c>
      <c r="C668" t="s">
        <v>0</v>
      </c>
      <c r="D668" t="s">
        <v>0</v>
      </c>
      <c r="E668" t="s">
        <v>0</v>
      </c>
      <c r="F668" t="str">
        <f>"2019-01-08 10:44:34"</f>
        <v>2019-01-08 10:44:34</v>
      </c>
    </row>
    <row r="669" spans="1:6" x14ac:dyDescent="0.3">
      <c r="A669" t="s">
        <v>1142</v>
      </c>
      <c r="B669" t="str">
        <f>"13666402355"</f>
        <v>13666402355</v>
      </c>
      <c r="C669" t="str">
        <f>"230321198509041700"</f>
        <v>230321198509041700</v>
      </c>
      <c r="D669" t="s">
        <v>1143</v>
      </c>
      <c r="E669" t="s">
        <v>1144</v>
      </c>
      <c r="F669" t="str">
        <f>"2019-01-08 08:33:32"</f>
        <v>2019-01-08 08:33:32</v>
      </c>
    </row>
    <row r="670" spans="1:6" x14ac:dyDescent="0.3">
      <c r="A670" t="s">
        <v>1145</v>
      </c>
      <c r="B670" t="str">
        <f>"13708684695"</f>
        <v>13708684695</v>
      </c>
      <c r="C670" t="str">
        <f>"530302198905230935"</f>
        <v>530302198905230935</v>
      </c>
      <c r="D670" t="s">
        <v>1146</v>
      </c>
      <c r="E670" t="s">
        <v>1147</v>
      </c>
      <c r="F670" t="str">
        <f>"2019-01-08 08:25:00"</f>
        <v>2019-01-08 08:25:00</v>
      </c>
    </row>
    <row r="671" spans="1:6" x14ac:dyDescent="0.3">
      <c r="A671" t="s">
        <v>1148</v>
      </c>
      <c r="B671" t="str">
        <f>"18967335075"</f>
        <v>18967335075</v>
      </c>
      <c r="C671" t="str">
        <f>"430529198902090014"</f>
        <v>430529198902090014</v>
      </c>
      <c r="D671" t="s">
        <v>1149</v>
      </c>
      <c r="E671" t="s">
        <v>1150</v>
      </c>
      <c r="F671" t="str">
        <f>"2019-01-08 00:16:10"</f>
        <v>2019-01-08 00:16:10</v>
      </c>
    </row>
    <row r="672" spans="1:6" x14ac:dyDescent="0.3">
      <c r="A672" t="s">
        <v>1151</v>
      </c>
      <c r="B672" t="str">
        <f>"15605073188"</f>
        <v>15605073188</v>
      </c>
      <c r="C672" t="str">
        <f>"35210119680430081X"</f>
        <v>35210119680430081X</v>
      </c>
      <c r="D672" t="s">
        <v>1152</v>
      </c>
      <c r="E672" t="s">
        <v>1153</v>
      </c>
      <c r="F672" t="str">
        <f>"2019-01-07 23:17:06"</f>
        <v>2019-01-07 23:17:06</v>
      </c>
    </row>
    <row r="673" spans="1:6" x14ac:dyDescent="0.3">
      <c r="A673" t="s">
        <v>0</v>
      </c>
      <c r="B673" t="str">
        <f>"15770750709"</f>
        <v>15770750709</v>
      </c>
      <c r="C673" t="s">
        <v>0</v>
      </c>
      <c r="D673" t="s">
        <v>0</v>
      </c>
      <c r="E673" t="s">
        <v>0</v>
      </c>
      <c r="F673" t="str">
        <f>"2019-01-07 20:27:44"</f>
        <v>2019-01-07 20:27:44</v>
      </c>
    </row>
    <row r="674" spans="1:6" x14ac:dyDescent="0.3">
      <c r="A674" t="s">
        <v>1154</v>
      </c>
      <c r="B674" t="str">
        <f>"13322931709"</f>
        <v>13322931709</v>
      </c>
      <c r="C674" t="str">
        <f>"430981198909231905"</f>
        <v>430981198909231905</v>
      </c>
      <c r="D674" t="s">
        <v>1155</v>
      </c>
      <c r="E674" t="s">
        <v>1156</v>
      </c>
      <c r="F674" t="str">
        <f>"2019-01-07 20:08:17"</f>
        <v>2019-01-07 20:08:17</v>
      </c>
    </row>
    <row r="675" spans="1:6" x14ac:dyDescent="0.3">
      <c r="A675" t="s">
        <v>0</v>
      </c>
      <c r="B675" t="str">
        <f>"15588352014"</f>
        <v>15588352014</v>
      </c>
      <c r="C675" t="s">
        <v>0</v>
      </c>
      <c r="D675" t="s">
        <v>0</v>
      </c>
      <c r="E675" t="s">
        <v>0</v>
      </c>
      <c r="F675" t="str">
        <f>"2019-01-07 18:37:50"</f>
        <v>2019-01-07 18:37:50</v>
      </c>
    </row>
    <row r="676" spans="1:6" x14ac:dyDescent="0.3">
      <c r="A676" t="s">
        <v>1157</v>
      </c>
      <c r="B676" t="str">
        <f>"15937420754"</f>
        <v>15937420754</v>
      </c>
      <c r="C676" t="str">
        <f>"411082198701074810"</f>
        <v>411082198701074810</v>
      </c>
      <c r="D676" t="s">
        <v>1158</v>
      </c>
      <c r="E676" t="s">
        <v>1159</v>
      </c>
      <c r="F676" t="str">
        <f>"2019-01-07 18:24:31"</f>
        <v>2019-01-07 18:24:31</v>
      </c>
    </row>
    <row r="677" spans="1:6" x14ac:dyDescent="0.3">
      <c r="A677" t="s">
        <v>1160</v>
      </c>
      <c r="B677" t="str">
        <f>"17692916132"</f>
        <v>17692916132</v>
      </c>
      <c r="C677" t="str">
        <f>"13053519901005481X"</f>
        <v>13053519901005481X</v>
      </c>
      <c r="D677" t="s">
        <v>0</v>
      </c>
      <c r="E677" t="s">
        <v>0</v>
      </c>
      <c r="F677" t="str">
        <f>"2019-01-07 17:19:02"</f>
        <v>2019-01-07 17:19:02</v>
      </c>
    </row>
    <row r="678" spans="1:6" x14ac:dyDescent="0.3">
      <c r="A678" t="s">
        <v>1161</v>
      </c>
      <c r="B678" t="str">
        <f>"17688510473"</f>
        <v>17688510473</v>
      </c>
      <c r="C678" t="str">
        <f>"440281199803216617"</f>
        <v>440281199803216617</v>
      </c>
      <c r="D678" t="s">
        <v>1162</v>
      </c>
      <c r="E678" t="s">
        <v>1163</v>
      </c>
      <c r="F678" t="str">
        <f>"2019-01-07 15:23:01"</f>
        <v>2019-01-07 15:23:01</v>
      </c>
    </row>
    <row r="679" spans="1:6" x14ac:dyDescent="0.3">
      <c r="A679" t="s">
        <v>0</v>
      </c>
      <c r="B679" t="str">
        <f>"15961881807"</f>
        <v>15961881807</v>
      </c>
      <c r="C679" t="s">
        <v>0</v>
      </c>
      <c r="D679" t="s">
        <v>0</v>
      </c>
      <c r="E679" t="s">
        <v>0</v>
      </c>
      <c r="F679" t="str">
        <f>"2019-01-07 15:19:48"</f>
        <v>2019-01-07 15:19:48</v>
      </c>
    </row>
    <row r="680" spans="1:6" x14ac:dyDescent="0.3">
      <c r="A680" t="s">
        <v>1164</v>
      </c>
      <c r="B680" t="str">
        <f>"15072558055"</f>
        <v>15072558055</v>
      </c>
      <c r="C680" t="str">
        <f>"420528198310132219"</f>
        <v>420528198310132219</v>
      </c>
      <c r="D680" t="s">
        <v>1165</v>
      </c>
      <c r="E680" t="s">
        <v>1166</v>
      </c>
      <c r="F680" t="str">
        <f>"2019-01-07 15:14:30"</f>
        <v>2019-01-07 15:14:30</v>
      </c>
    </row>
    <row r="681" spans="1:6" x14ac:dyDescent="0.3">
      <c r="A681" t="s">
        <v>1167</v>
      </c>
      <c r="B681" t="str">
        <f>"18879909696"</f>
        <v>18879909696</v>
      </c>
      <c r="C681" t="str">
        <f>"360311199609052037"</f>
        <v>360311199609052037</v>
      </c>
      <c r="D681" t="s">
        <v>0</v>
      </c>
      <c r="E681" t="s">
        <v>0</v>
      </c>
      <c r="F681" t="str">
        <f>"2019-01-07 13:10:13"</f>
        <v>2019-01-07 13:10:13</v>
      </c>
    </row>
    <row r="682" spans="1:6" x14ac:dyDescent="0.3">
      <c r="A682" t="s">
        <v>1168</v>
      </c>
      <c r="B682" t="str">
        <f>"15052529269"</f>
        <v>15052529269</v>
      </c>
      <c r="C682" t="str">
        <f>"321027199406230014"</f>
        <v>321027199406230014</v>
      </c>
      <c r="D682" t="s">
        <v>1169</v>
      </c>
      <c r="E682" t="s">
        <v>1170</v>
      </c>
      <c r="F682" t="str">
        <f>"2019-01-07 13:02:51"</f>
        <v>2019-01-07 13:02:51</v>
      </c>
    </row>
    <row r="683" spans="1:6" x14ac:dyDescent="0.3">
      <c r="A683" t="s">
        <v>1171</v>
      </c>
      <c r="B683" t="str">
        <f>"18321763179"</f>
        <v>18321763179</v>
      </c>
      <c r="C683" t="str">
        <f>"362525199602254534"</f>
        <v>362525199602254534</v>
      </c>
      <c r="D683" t="s">
        <v>1172</v>
      </c>
      <c r="E683" t="s">
        <v>1173</v>
      </c>
      <c r="F683" t="str">
        <f>"2019-01-07 12:43:41"</f>
        <v>2019-01-07 12:43:41</v>
      </c>
    </row>
    <row r="684" spans="1:6" x14ac:dyDescent="0.3">
      <c r="A684" t="s">
        <v>1174</v>
      </c>
      <c r="B684" t="str">
        <f>"18324436044"</f>
        <v>18324436044</v>
      </c>
      <c r="C684" t="str">
        <f>"330822199209280015"</f>
        <v>330822199209280015</v>
      </c>
      <c r="D684" t="s">
        <v>1175</v>
      </c>
      <c r="E684" t="s">
        <v>1176</v>
      </c>
      <c r="F684" t="str">
        <f>"2019-01-07 12:37:10"</f>
        <v>2019-01-07 12:37:10</v>
      </c>
    </row>
    <row r="685" spans="1:6" x14ac:dyDescent="0.3">
      <c r="A685" t="s">
        <v>1177</v>
      </c>
      <c r="B685" t="str">
        <f>"15050284472"</f>
        <v>15050284472</v>
      </c>
      <c r="C685" t="str">
        <f>"410225198904152957"</f>
        <v>410225198904152957</v>
      </c>
      <c r="D685" t="s">
        <v>1178</v>
      </c>
      <c r="E685" t="s">
        <v>1179</v>
      </c>
      <c r="F685" t="str">
        <f>"2019-01-07 12:29:53"</f>
        <v>2019-01-07 12:29:53</v>
      </c>
    </row>
    <row r="686" spans="1:6" x14ac:dyDescent="0.3">
      <c r="A686" t="s">
        <v>1180</v>
      </c>
      <c r="B686" t="str">
        <f>"17614355960"</f>
        <v>17614355960</v>
      </c>
      <c r="C686" t="str">
        <f>"220602199306030657"</f>
        <v>220602199306030657</v>
      </c>
      <c r="D686" t="s">
        <v>1181</v>
      </c>
      <c r="E686" t="s">
        <v>1182</v>
      </c>
      <c r="F686" t="str">
        <f>"2019-01-07 12:23:34"</f>
        <v>2019-01-07 12:23:34</v>
      </c>
    </row>
    <row r="687" spans="1:6" x14ac:dyDescent="0.3">
      <c r="A687" t="s">
        <v>0</v>
      </c>
      <c r="B687" t="str">
        <f>"18634790290"</f>
        <v>18634790290</v>
      </c>
      <c r="C687" t="s">
        <v>0</v>
      </c>
      <c r="D687" t="s">
        <v>0</v>
      </c>
      <c r="E687" t="s">
        <v>0</v>
      </c>
      <c r="F687" t="str">
        <f>"2019-01-07 11:18:26"</f>
        <v>2019-01-07 11:18:26</v>
      </c>
    </row>
    <row r="688" spans="1:6" x14ac:dyDescent="0.3">
      <c r="A688" t="s">
        <v>1183</v>
      </c>
      <c r="B688" t="str">
        <f>"13280931555"</f>
        <v>13280931555</v>
      </c>
      <c r="C688" t="str">
        <f>"370602198911271318"</f>
        <v>370602198911271318</v>
      </c>
      <c r="D688" t="s">
        <v>1184</v>
      </c>
      <c r="E688" t="s">
        <v>1185</v>
      </c>
      <c r="F688" t="str">
        <f>"2019-01-07 09:51:46"</f>
        <v>2019-01-07 09:51:46</v>
      </c>
    </row>
    <row r="689" spans="1:6" x14ac:dyDescent="0.3">
      <c r="A689" t="s">
        <v>1186</v>
      </c>
      <c r="B689" t="str">
        <f>"15069675655"</f>
        <v>15069675655</v>
      </c>
      <c r="C689" t="str">
        <f>"37078319980512251X"</f>
        <v>37078319980512251X</v>
      </c>
      <c r="D689" t="s">
        <v>0</v>
      </c>
      <c r="E689" t="s">
        <v>0</v>
      </c>
      <c r="F689" t="str">
        <f>"2019-01-07 09:48:47"</f>
        <v>2019-01-07 09:48:47</v>
      </c>
    </row>
    <row r="690" spans="1:6" x14ac:dyDescent="0.3">
      <c r="A690" t="s">
        <v>1187</v>
      </c>
      <c r="B690" t="str">
        <f>"15900525621"</f>
        <v>15900525621</v>
      </c>
      <c r="C690" t="str">
        <f>"411528199601300423"</f>
        <v>411528199601300423</v>
      </c>
      <c r="D690" t="s">
        <v>0</v>
      </c>
      <c r="E690" t="s">
        <v>0</v>
      </c>
      <c r="F690" t="str">
        <f>"2019-01-07 05:56:00"</f>
        <v>2019-01-07 05:56:00</v>
      </c>
    </row>
    <row r="691" spans="1:6" x14ac:dyDescent="0.3">
      <c r="A691" t="s">
        <v>1188</v>
      </c>
      <c r="B691" t="str">
        <f>"15224885581"</f>
        <v>15224885581</v>
      </c>
      <c r="C691" t="str">
        <f>"411327199208100612"</f>
        <v>411327199208100612</v>
      </c>
      <c r="D691" t="s">
        <v>1189</v>
      </c>
      <c r="E691" t="s">
        <v>1190</v>
      </c>
      <c r="F691" t="str">
        <f>"2019-01-07 05:15:53"</f>
        <v>2019-01-07 05:15:53</v>
      </c>
    </row>
    <row r="692" spans="1:6" x14ac:dyDescent="0.3">
      <c r="A692" t="s">
        <v>1191</v>
      </c>
      <c r="B692" t="str">
        <f>"15009248397"</f>
        <v>15009248397</v>
      </c>
      <c r="C692" t="str">
        <f>"620503199011205750"</f>
        <v>620503199011205750</v>
      </c>
      <c r="D692" t="s">
        <v>1192</v>
      </c>
      <c r="E692" t="s">
        <v>1193</v>
      </c>
      <c r="F692" t="str">
        <f>"2019-01-07 01:10:03"</f>
        <v>2019-01-07 01:10:03</v>
      </c>
    </row>
    <row r="693" spans="1:6" x14ac:dyDescent="0.3">
      <c r="A693" t="s">
        <v>1194</v>
      </c>
      <c r="B693" t="str">
        <f>"13502667831"</f>
        <v>13502667831</v>
      </c>
      <c r="C693" t="str">
        <f>"445281198109115357"</f>
        <v>445281198109115357</v>
      </c>
      <c r="D693" t="s">
        <v>1195</v>
      </c>
      <c r="E693" t="s">
        <v>1196</v>
      </c>
      <c r="F693" t="str">
        <f>"2019-01-07 00:05:15"</f>
        <v>2019-01-07 00:05:15</v>
      </c>
    </row>
    <row r="694" spans="1:6" x14ac:dyDescent="0.3">
      <c r="A694" t="s">
        <v>0</v>
      </c>
      <c r="B694" t="str">
        <f>"15537994404"</f>
        <v>15537994404</v>
      </c>
      <c r="C694" t="s">
        <v>0</v>
      </c>
      <c r="D694" t="s">
        <v>0</v>
      </c>
      <c r="E694" t="s">
        <v>0</v>
      </c>
      <c r="F694" t="str">
        <f>"2019-01-06 22:42:13"</f>
        <v>2019-01-06 22:42:13</v>
      </c>
    </row>
    <row r="695" spans="1:6" x14ac:dyDescent="0.3">
      <c r="A695" t="s">
        <v>1197</v>
      </c>
      <c r="B695" t="str">
        <f>"18253775992"</f>
        <v>18253775992</v>
      </c>
      <c r="C695" t="str">
        <f>"370883198402162868"</f>
        <v>370883198402162868</v>
      </c>
      <c r="D695" t="s">
        <v>0</v>
      </c>
      <c r="E695" t="s">
        <v>0</v>
      </c>
      <c r="F695" t="str">
        <f>"2019-01-06 22:39:48"</f>
        <v>2019-01-06 22:39:48</v>
      </c>
    </row>
    <row r="696" spans="1:6" x14ac:dyDescent="0.3">
      <c r="A696" t="s">
        <v>0</v>
      </c>
      <c r="B696" t="str">
        <f>"13331081876"</f>
        <v>13331081876</v>
      </c>
      <c r="C696" t="s">
        <v>0</v>
      </c>
      <c r="D696" t="s">
        <v>0</v>
      </c>
      <c r="E696" t="s">
        <v>0</v>
      </c>
      <c r="F696" t="str">
        <f>"2019-01-06 21:58:29"</f>
        <v>2019-01-06 21:58:29</v>
      </c>
    </row>
    <row r="697" spans="1:6" x14ac:dyDescent="0.3">
      <c r="A697" t="s">
        <v>1198</v>
      </c>
      <c r="B697" t="str">
        <f>"15976167501"</f>
        <v>15976167501</v>
      </c>
      <c r="C697" t="str">
        <f>"513002198608083556"</f>
        <v>513002198608083556</v>
      </c>
      <c r="D697" t="s">
        <v>0</v>
      </c>
      <c r="E697" t="s">
        <v>0</v>
      </c>
      <c r="F697" t="str">
        <f>"2019-01-06 21:11:38"</f>
        <v>2019-01-06 21:11:38</v>
      </c>
    </row>
    <row r="698" spans="1:6" x14ac:dyDescent="0.3">
      <c r="A698" t="s">
        <v>0</v>
      </c>
      <c r="B698" t="str">
        <f>"13281877795"</f>
        <v>13281877795</v>
      </c>
      <c r="C698" t="s">
        <v>0</v>
      </c>
      <c r="D698" t="s">
        <v>0</v>
      </c>
      <c r="E698" t="s">
        <v>0</v>
      </c>
      <c r="F698" t="str">
        <f>"2019-01-06 19:02:04"</f>
        <v>2019-01-06 19:02:04</v>
      </c>
    </row>
    <row r="699" spans="1:6" x14ac:dyDescent="0.3">
      <c r="A699" t="s">
        <v>1199</v>
      </c>
      <c r="B699" t="str">
        <f>"15536770918"</f>
        <v>15536770918</v>
      </c>
      <c r="C699" t="str">
        <f>"142602199201261514"</f>
        <v>142602199201261514</v>
      </c>
      <c r="D699" t="s">
        <v>1200</v>
      </c>
      <c r="E699" t="s">
        <v>1201</v>
      </c>
      <c r="F699" t="str">
        <f>"2019-01-06 18:28:14"</f>
        <v>2019-01-06 18:28:14</v>
      </c>
    </row>
    <row r="700" spans="1:6" x14ac:dyDescent="0.3">
      <c r="A700" t="s">
        <v>1202</v>
      </c>
      <c r="B700" t="str">
        <f>"18889267057"</f>
        <v>18889267057</v>
      </c>
      <c r="C700" t="str">
        <f>"460103199508181510"</f>
        <v>460103199508181510</v>
      </c>
      <c r="D700" t="s">
        <v>1203</v>
      </c>
      <c r="E700" t="s">
        <v>1204</v>
      </c>
      <c r="F700" t="str">
        <f>"2019-01-06 17:21:05"</f>
        <v>2019-01-06 17:21:05</v>
      </c>
    </row>
    <row r="701" spans="1:6" x14ac:dyDescent="0.3">
      <c r="A701" t="s">
        <v>1205</v>
      </c>
      <c r="B701" t="str">
        <f>"18515868108"</f>
        <v>18515868108</v>
      </c>
      <c r="C701" t="str">
        <f>"21012219960229272X"</f>
        <v>21012219960229272X</v>
      </c>
      <c r="D701" t="s">
        <v>1206</v>
      </c>
      <c r="E701" t="s">
        <v>1207</v>
      </c>
      <c r="F701" t="str">
        <f>"2019-01-06 16:21:43"</f>
        <v>2019-01-06 16:21:43</v>
      </c>
    </row>
    <row r="702" spans="1:6" x14ac:dyDescent="0.3">
      <c r="A702" t="s">
        <v>1208</v>
      </c>
      <c r="B702" t="str">
        <f>"13163852835"</f>
        <v>13163852835</v>
      </c>
      <c r="C702" t="str">
        <f>"352229199901064519"</f>
        <v>352229199901064519</v>
      </c>
      <c r="D702" t="s">
        <v>1209</v>
      </c>
      <c r="E702" t="s">
        <v>1210</v>
      </c>
      <c r="F702" t="str">
        <f>"2019-01-06 16:21:36"</f>
        <v>2019-01-06 16:21:36</v>
      </c>
    </row>
    <row r="703" spans="1:6" x14ac:dyDescent="0.3">
      <c r="A703" t="s">
        <v>1211</v>
      </c>
      <c r="B703" t="str">
        <f>"18109355522"</f>
        <v>18109355522</v>
      </c>
      <c r="C703" t="str">
        <f>"62232319890914022X"</f>
        <v>62232319890914022X</v>
      </c>
      <c r="D703" t="s">
        <v>1212</v>
      </c>
      <c r="E703" t="s">
        <v>1213</v>
      </c>
      <c r="F703" t="str">
        <f>"2019-01-06 15:45:53"</f>
        <v>2019-01-06 15:45:53</v>
      </c>
    </row>
    <row r="704" spans="1:6" x14ac:dyDescent="0.3">
      <c r="A704" t="s">
        <v>1214</v>
      </c>
      <c r="B704" t="str">
        <f>"17504708556"</f>
        <v>17504708556</v>
      </c>
      <c r="C704" t="str">
        <f>"152131199101230311"</f>
        <v>152131199101230311</v>
      </c>
      <c r="D704" t="s">
        <v>0</v>
      </c>
      <c r="E704" t="s">
        <v>0</v>
      </c>
      <c r="F704" t="str">
        <f>"2019-01-06 15:12:52"</f>
        <v>2019-01-06 15:12:52</v>
      </c>
    </row>
    <row r="705" spans="1:6" x14ac:dyDescent="0.3">
      <c r="A705" t="s">
        <v>1215</v>
      </c>
      <c r="B705" t="str">
        <f>"15501659267"</f>
        <v>15501659267</v>
      </c>
      <c r="C705" t="str">
        <f>"421081198410232511"</f>
        <v>421081198410232511</v>
      </c>
      <c r="D705" t="s">
        <v>1216</v>
      </c>
      <c r="E705" t="s">
        <v>1217</v>
      </c>
      <c r="F705" t="str">
        <f>"2019-01-06 14:34:23"</f>
        <v>2019-01-06 14:34:23</v>
      </c>
    </row>
    <row r="706" spans="1:6" x14ac:dyDescent="0.3">
      <c r="A706" t="s">
        <v>0</v>
      </c>
      <c r="B706" t="str">
        <f>"18180197776"</f>
        <v>18180197776</v>
      </c>
      <c r="C706" t="s">
        <v>0</v>
      </c>
      <c r="D706" t="s">
        <v>0</v>
      </c>
      <c r="E706" t="s">
        <v>0</v>
      </c>
      <c r="F706" t="str">
        <f>"2019-01-06 14:23:54"</f>
        <v>2019-01-06 14:23:54</v>
      </c>
    </row>
    <row r="707" spans="1:6" x14ac:dyDescent="0.3">
      <c r="A707" t="s">
        <v>1218</v>
      </c>
      <c r="B707" t="str">
        <f>"13560312106"</f>
        <v>13560312106</v>
      </c>
      <c r="C707" t="str">
        <f>"452625199111280882"</f>
        <v>452625199111280882</v>
      </c>
      <c r="D707" t="s">
        <v>1219</v>
      </c>
      <c r="E707" t="s">
        <v>1220</v>
      </c>
      <c r="F707" t="str">
        <f>"2019-01-06 13:39:26"</f>
        <v>2019-01-06 13:39:26</v>
      </c>
    </row>
    <row r="708" spans="1:6" x14ac:dyDescent="0.3">
      <c r="A708" t="s">
        <v>1221</v>
      </c>
      <c r="B708" t="str">
        <f>"13512769605"</f>
        <v>13512769605</v>
      </c>
      <c r="C708" t="str">
        <f>"445221198609231016"</f>
        <v>445221198609231016</v>
      </c>
      <c r="D708" t="s">
        <v>0</v>
      </c>
      <c r="E708" t="s">
        <v>0</v>
      </c>
      <c r="F708" t="str">
        <f>"2019-01-06 13:39:26"</f>
        <v>2019-01-06 13:39:26</v>
      </c>
    </row>
    <row r="709" spans="1:6" x14ac:dyDescent="0.3">
      <c r="A709" t="s">
        <v>1222</v>
      </c>
      <c r="B709" t="str">
        <f>"13939879823"</f>
        <v>13939879823</v>
      </c>
      <c r="C709" t="str">
        <f>"411221198504087514"</f>
        <v>411221198504087514</v>
      </c>
      <c r="D709" t="s">
        <v>0</v>
      </c>
      <c r="E709" t="s">
        <v>0</v>
      </c>
      <c r="F709" t="str">
        <f>"2019-01-06 13:09:05"</f>
        <v>2019-01-06 13:09:05</v>
      </c>
    </row>
    <row r="710" spans="1:6" x14ac:dyDescent="0.3">
      <c r="A710" t="s">
        <v>1223</v>
      </c>
      <c r="B710" t="str">
        <f>"18323219103"</f>
        <v>18323219103</v>
      </c>
      <c r="C710" t="str">
        <f>"500234199111207033"</f>
        <v>500234199111207033</v>
      </c>
      <c r="D710" t="s">
        <v>1224</v>
      </c>
      <c r="E710" t="s">
        <v>1225</v>
      </c>
      <c r="F710" t="str">
        <f>"2019-01-06 11:58:37"</f>
        <v>2019-01-06 11:58:37</v>
      </c>
    </row>
    <row r="711" spans="1:6" x14ac:dyDescent="0.3">
      <c r="A711" t="s">
        <v>1226</v>
      </c>
      <c r="B711" t="str">
        <f>"18217125343"</f>
        <v>18217125343</v>
      </c>
      <c r="C711" t="str">
        <f>"340321199004178592"</f>
        <v>340321199004178592</v>
      </c>
      <c r="D711" t="s">
        <v>1227</v>
      </c>
      <c r="E711" t="s">
        <v>1228</v>
      </c>
      <c r="F711" t="str">
        <f>"2019-01-06 11:34:34"</f>
        <v>2019-01-06 11:34:34</v>
      </c>
    </row>
    <row r="712" spans="1:6" x14ac:dyDescent="0.3">
      <c r="A712" t="s">
        <v>1229</v>
      </c>
      <c r="B712" t="str">
        <f>"13689465796"</f>
        <v>13689465796</v>
      </c>
      <c r="C712" t="str">
        <f>"622727198502268325"</f>
        <v>622727198502268325</v>
      </c>
      <c r="D712" t="s">
        <v>1230</v>
      </c>
      <c r="E712" t="s">
        <v>1231</v>
      </c>
      <c r="F712" t="str">
        <f>"2019-01-06 11:09:50"</f>
        <v>2019-01-06 11:09:50</v>
      </c>
    </row>
    <row r="713" spans="1:6" x14ac:dyDescent="0.3">
      <c r="A713" t="s">
        <v>1232</v>
      </c>
      <c r="B713" t="str">
        <f>"13280168186"</f>
        <v>13280168186</v>
      </c>
      <c r="C713" t="str">
        <f>"370782198805187611"</f>
        <v>370782198805187611</v>
      </c>
      <c r="D713" t="s">
        <v>1233</v>
      </c>
      <c r="E713" t="s">
        <v>1234</v>
      </c>
      <c r="F713" t="str">
        <f>"2019-01-06 10:19:34"</f>
        <v>2019-01-06 10:19:34</v>
      </c>
    </row>
    <row r="714" spans="1:6" x14ac:dyDescent="0.3">
      <c r="A714" t="s">
        <v>1235</v>
      </c>
      <c r="B714" t="str">
        <f>"15159460856"</f>
        <v>15159460856</v>
      </c>
      <c r="C714" t="str">
        <f>"350782198109042511"</f>
        <v>350782198109042511</v>
      </c>
      <c r="D714" t="s">
        <v>1236</v>
      </c>
      <c r="E714" t="s">
        <v>1237</v>
      </c>
      <c r="F714" t="str">
        <f>"2019-01-06 09:51:56"</f>
        <v>2019-01-06 09:51:56</v>
      </c>
    </row>
    <row r="715" spans="1:6" x14ac:dyDescent="0.3">
      <c r="A715" t="s">
        <v>1238</v>
      </c>
      <c r="B715" t="str">
        <f>"13925050276"</f>
        <v>13925050276</v>
      </c>
      <c r="C715" t="str">
        <f>"440182199211051813"</f>
        <v>440182199211051813</v>
      </c>
      <c r="D715" t="s">
        <v>1239</v>
      </c>
      <c r="E715" t="s">
        <v>1240</v>
      </c>
      <c r="F715" t="str">
        <f>"2019-01-06 08:43:24"</f>
        <v>2019-01-06 08:43:24</v>
      </c>
    </row>
    <row r="716" spans="1:6" x14ac:dyDescent="0.3">
      <c r="A716" t="s">
        <v>1241</v>
      </c>
      <c r="B716" t="str">
        <f>"18550074060"</f>
        <v>18550074060</v>
      </c>
      <c r="C716" t="str">
        <f>"371524199605275212"</f>
        <v>371524199605275212</v>
      </c>
      <c r="D716" t="s">
        <v>1242</v>
      </c>
      <c r="E716" t="s">
        <v>1243</v>
      </c>
      <c r="F716" t="str">
        <f>"2019-01-06 07:26:45"</f>
        <v>2019-01-06 07:26:45</v>
      </c>
    </row>
    <row r="717" spans="1:6" x14ac:dyDescent="0.3">
      <c r="A717" t="s">
        <v>1244</v>
      </c>
      <c r="B717" t="str">
        <f>"13317370060"</f>
        <v>13317370060</v>
      </c>
      <c r="C717" t="str">
        <f>"430903198908182719"</f>
        <v>430903198908182719</v>
      </c>
      <c r="D717" t="s">
        <v>1245</v>
      </c>
      <c r="E717" t="s">
        <v>1246</v>
      </c>
      <c r="F717" t="str">
        <f>"2019-01-06 02:07:31"</f>
        <v>2019-01-06 02:07:31</v>
      </c>
    </row>
    <row r="718" spans="1:6" x14ac:dyDescent="0.3">
      <c r="A718" t="s">
        <v>1247</v>
      </c>
      <c r="B718" t="str">
        <f>"13913241926"</f>
        <v>13913241926</v>
      </c>
      <c r="C718" t="str">
        <f>"340827198302020356"</f>
        <v>340827198302020356</v>
      </c>
      <c r="D718" t="s">
        <v>0</v>
      </c>
      <c r="E718" t="s">
        <v>0</v>
      </c>
      <c r="F718" t="str">
        <f>"2019-01-06 00:35:28"</f>
        <v>2019-01-06 00:35:28</v>
      </c>
    </row>
    <row r="719" spans="1:6" x14ac:dyDescent="0.3">
      <c r="A719" t="s">
        <v>1248</v>
      </c>
      <c r="B719" t="str">
        <f>"13982151944"</f>
        <v>13982151944</v>
      </c>
      <c r="C719" t="str">
        <f>"360681199406180819"</f>
        <v>360681199406180819</v>
      </c>
      <c r="D719" t="s">
        <v>1249</v>
      </c>
      <c r="E719" t="s">
        <v>1250</v>
      </c>
      <c r="F719" t="str">
        <f>"2019-01-05 22:11:11"</f>
        <v>2019-01-05 22:11:11</v>
      </c>
    </row>
    <row r="720" spans="1:6" x14ac:dyDescent="0.3">
      <c r="A720" t="s">
        <v>0</v>
      </c>
      <c r="B720" t="str">
        <f>"13687594282"</f>
        <v>13687594282</v>
      </c>
      <c r="C720" t="s">
        <v>0</v>
      </c>
      <c r="D720" t="s">
        <v>0</v>
      </c>
      <c r="E720" t="s">
        <v>0</v>
      </c>
      <c r="F720" t="str">
        <f>"2019-01-05 22:03:20"</f>
        <v>2019-01-05 22:03:20</v>
      </c>
    </row>
    <row r="721" spans="1:6" x14ac:dyDescent="0.3">
      <c r="A721" t="s">
        <v>1251</v>
      </c>
      <c r="B721" t="str">
        <f>"15072222812"</f>
        <v>15072222812</v>
      </c>
      <c r="C721" t="str">
        <f>"420684198611050010"</f>
        <v>420684198611050010</v>
      </c>
      <c r="D721" t="s">
        <v>0</v>
      </c>
      <c r="E721" t="s">
        <v>0</v>
      </c>
      <c r="F721" t="str">
        <f>"2019-01-05 21:56:38"</f>
        <v>2019-01-05 21:56:38</v>
      </c>
    </row>
    <row r="722" spans="1:6" x14ac:dyDescent="0.3">
      <c r="A722" t="s">
        <v>0</v>
      </c>
      <c r="B722" t="str">
        <f>"18007051534"</f>
        <v>18007051534</v>
      </c>
      <c r="C722" t="s">
        <v>0</v>
      </c>
      <c r="D722" t="s">
        <v>0</v>
      </c>
      <c r="E722" t="s">
        <v>0</v>
      </c>
      <c r="F722" t="str">
        <f>"2019-01-05 21:41:01"</f>
        <v>2019-01-05 21:41:01</v>
      </c>
    </row>
    <row r="723" spans="1:6" x14ac:dyDescent="0.3">
      <c r="A723" t="s">
        <v>1252</v>
      </c>
      <c r="B723" t="str">
        <f>"18988242093"</f>
        <v>18988242093</v>
      </c>
      <c r="C723" t="str">
        <f>"533103199505272020"</f>
        <v>533103199505272020</v>
      </c>
      <c r="D723" t="s">
        <v>1253</v>
      </c>
      <c r="E723" t="s">
        <v>1254</v>
      </c>
      <c r="F723" t="str">
        <f>"2019-01-05 20:56:07"</f>
        <v>2019-01-05 20:56:07</v>
      </c>
    </row>
    <row r="724" spans="1:6" x14ac:dyDescent="0.3">
      <c r="A724" t="s">
        <v>1255</v>
      </c>
      <c r="B724" t="str">
        <f>"13868466785"</f>
        <v>13868466785</v>
      </c>
      <c r="C724" t="str">
        <f>"330381199404071828"</f>
        <v>330381199404071828</v>
      </c>
      <c r="D724" t="s">
        <v>1256</v>
      </c>
      <c r="E724" t="s">
        <v>1257</v>
      </c>
      <c r="F724" t="str">
        <f>"2019-01-05 13:52:30"</f>
        <v>2019-01-05 13:52:30</v>
      </c>
    </row>
    <row r="725" spans="1:6" x14ac:dyDescent="0.3">
      <c r="A725" t="s">
        <v>1258</v>
      </c>
      <c r="B725" t="str">
        <f>"15952475871"</f>
        <v>15952475871</v>
      </c>
      <c r="C725" t="str">
        <f>"320283199212171715"</f>
        <v>320283199212171715</v>
      </c>
      <c r="D725" t="s">
        <v>1259</v>
      </c>
      <c r="E725" t="s">
        <v>1260</v>
      </c>
      <c r="F725" t="str">
        <f>"2019-01-05 12:13:06"</f>
        <v>2019-01-05 12:13:06</v>
      </c>
    </row>
    <row r="726" spans="1:6" x14ac:dyDescent="0.3">
      <c r="A726" t="s">
        <v>1261</v>
      </c>
      <c r="B726" t="str">
        <f>"13063282345"</f>
        <v>13063282345</v>
      </c>
      <c r="C726" t="str">
        <f>"340827199602160013"</f>
        <v>340827199602160013</v>
      </c>
      <c r="D726" t="s">
        <v>1262</v>
      </c>
      <c r="E726" t="s">
        <v>1263</v>
      </c>
      <c r="F726" t="str">
        <f>"2019-01-05 11:53:37"</f>
        <v>2019-01-05 11:53:37</v>
      </c>
    </row>
    <row r="727" spans="1:6" x14ac:dyDescent="0.3">
      <c r="A727" t="s">
        <v>1264</v>
      </c>
      <c r="B727" t="str">
        <f>"18238561111"</f>
        <v>18238561111</v>
      </c>
      <c r="C727" t="str">
        <f>"410504199004210516"</f>
        <v>410504199004210516</v>
      </c>
      <c r="D727" t="s">
        <v>1265</v>
      </c>
      <c r="E727" t="s">
        <v>1266</v>
      </c>
      <c r="F727" t="str">
        <f>"2019-01-05 11:50:48"</f>
        <v>2019-01-05 11:50:48</v>
      </c>
    </row>
    <row r="728" spans="1:6" x14ac:dyDescent="0.3">
      <c r="A728" t="s">
        <v>0</v>
      </c>
      <c r="B728" t="str">
        <f>"13977395743"</f>
        <v>13977395743</v>
      </c>
      <c r="C728" t="s">
        <v>0</v>
      </c>
      <c r="D728" t="s">
        <v>0</v>
      </c>
      <c r="E728" t="s">
        <v>0</v>
      </c>
      <c r="F728" t="str">
        <f>"2019-01-05 11:41:38"</f>
        <v>2019-01-05 11:41:38</v>
      </c>
    </row>
    <row r="729" spans="1:6" x14ac:dyDescent="0.3">
      <c r="A729" t="s">
        <v>1267</v>
      </c>
      <c r="B729" t="str">
        <f>"13883023994"</f>
        <v>13883023994</v>
      </c>
      <c r="C729" t="str">
        <f>"50023419890401371X"</f>
        <v>50023419890401371X</v>
      </c>
      <c r="D729" t="s">
        <v>0</v>
      </c>
      <c r="E729" t="s">
        <v>0</v>
      </c>
      <c r="F729" t="str">
        <f>"2019-01-05 07:47:33"</f>
        <v>2019-01-05 07:47:33</v>
      </c>
    </row>
    <row r="730" spans="1:6" x14ac:dyDescent="0.3">
      <c r="A730" t="s">
        <v>1268</v>
      </c>
      <c r="B730" t="str">
        <f>"13950461244"</f>
        <v>13950461244</v>
      </c>
      <c r="C730" t="str">
        <f>"35032219780728059X"</f>
        <v>35032219780728059X</v>
      </c>
      <c r="D730" t="s">
        <v>1269</v>
      </c>
      <c r="E730" t="s">
        <v>1270</v>
      </c>
      <c r="F730" t="str">
        <f>"2019-01-05 03:03:28"</f>
        <v>2019-01-05 03:03:28</v>
      </c>
    </row>
    <row r="731" spans="1:6" x14ac:dyDescent="0.3">
      <c r="A731" t="s">
        <v>0</v>
      </c>
      <c r="B731" t="str">
        <f>"14718249430"</f>
        <v>14718249430</v>
      </c>
      <c r="C731" t="s">
        <v>0</v>
      </c>
      <c r="D731" t="s">
        <v>0</v>
      </c>
      <c r="E731" t="s">
        <v>0</v>
      </c>
      <c r="F731" t="str">
        <f>"2019-01-04 23:38:35"</f>
        <v>2019-01-04 23:38:35</v>
      </c>
    </row>
    <row r="732" spans="1:6" x14ac:dyDescent="0.3">
      <c r="A732" t="s">
        <v>1271</v>
      </c>
      <c r="B732" t="str">
        <f>"13531555442"</f>
        <v>13531555442</v>
      </c>
      <c r="C732" t="str">
        <f>"445122199005195013"</f>
        <v>445122199005195013</v>
      </c>
      <c r="D732" t="s">
        <v>1272</v>
      </c>
      <c r="E732" t="s">
        <v>1273</v>
      </c>
      <c r="F732" t="str">
        <f>"2019-01-04 21:18:05"</f>
        <v>2019-01-04 21:18:05</v>
      </c>
    </row>
    <row r="733" spans="1:6" x14ac:dyDescent="0.3">
      <c r="A733" t="s">
        <v>1274</v>
      </c>
      <c r="B733" t="str">
        <f>"13837461917"</f>
        <v>13837461917</v>
      </c>
      <c r="C733" t="str">
        <f>"411002198706284516"</f>
        <v>411002198706284516</v>
      </c>
      <c r="D733" t="s">
        <v>1275</v>
      </c>
      <c r="E733" t="s">
        <v>1276</v>
      </c>
      <c r="F733" t="str">
        <f>"2019-01-04 16:05:23"</f>
        <v>2019-01-04 16:05:23</v>
      </c>
    </row>
    <row r="734" spans="1:6" x14ac:dyDescent="0.3">
      <c r="A734" t="s">
        <v>1277</v>
      </c>
      <c r="B734" t="str">
        <f>"15632076165"</f>
        <v>15632076165</v>
      </c>
      <c r="C734" t="str">
        <f>"130421198807286011"</f>
        <v>130421198807286011</v>
      </c>
      <c r="D734" t="s">
        <v>0</v>
      </c>
      <c r="E734" t="s">
        <v>0</v>
      </c>
      <c r="F734" t="str">
        <f>"2019-01-04 14:32:29"</f>
        <v>2019-01-04 14:32:29</v>
      </c>
    </row>
    <row r="735" spans="1:6" x14ac:dyDescent="0.3">
      <c r="A735" t="s">
        <v>1278</v>
      </c>
      <c r="B735" t="str">
        <f>"15244188885"</f>
        <v>15244188885</v>
      </c>
      <c r="C735" t="str">
        <f>"370181198709175232"</f>
        <v>370181198709175232</v>
      </c>
      <c r="D735" t="s">
        <v>1279</v>
      </c>
      <c r="E735" t="s">
        <v>1280</v>
      </c>
      <c r="F735" t="str">
        <f>"2019-01-04 12:25:11"</f>
        <v>2019-01-04 12:25:11</v>
      </c>
    </row>
    <row r="736" spans="1:6" x14ac:dyDescent="0.3">
      <c r="A736" t="s">
        <v>1281</v>
      </c>
      <c r="B736" t="str">
        <f>"18360638487"</f>
        <v>18360638487</v>
      </c>
      <c r="C736" t="str">
        <f>"320703198702263517"</f>
        <v>320703198702263517</v>
      </c>
      <c r="D736" t="s">
        <v>1282</v>
      </c>
      <c r="E736" t="s">
        <v>1283</v>
      </c>
      <c r="F736" t="str">
        <f>"2019-01-04 11:36:44"</f>
        <v>2019-01-04 11:36:44</v>
      </c>
    </row>
    <row r="737" spans="1:6" x14ac:dyDescent="0.3">
      <c r="A737" t="s">
        <v>0</v>
      </c>
      <c r="B737" t="str">
        <f>"13582588098"</f>
        <v>13582588098</v>
      </c>
      <c r="C737" t="s">
        <v>0</v>
      </c>
      <c r="D737" t="s">
        <v>0</v>
      </c>
      <c r="E737" t="s">
        <v>0</v>
      </c>
      <c r="F737" t="str">
        <f>"2019-01-04 08:55:42"</f>
        <v>2019-01-04 08:55:42</v>
      </c>
    </row>
    <row r="738" spans="1:6" x14ac:dyDescent="0.3">
      <c r="A738" t="s">
        <v>1284</v>
      </c>
      <c r="B738" t="str">
        <f>"13288664545"</f>
        <v>13288664545</v>
      </c>
      <c r="C738" t="str">
        <f>"445381199212011740"</f>
        <v>445381199212011740</v>
      </c>
      <c r="D738" t="s">
        <v>1285</v>
      </c>
      <c r="E738" t="s">
        <v>1286</v>
      </c>
      <c r="F738" t="str">
        <f>"2019-01-04 01:50:36"</f>
        <v>2019-01-04 01:50:36</v>
      </c>
    </row>
    <row r="739" spans="1:6" x14ac:dyDescent="0.3">
      <c r="A739" t="s">
        <v>1287</v>
      </c>
      <c r="B739" t="str">
        <f>"18980436132"</f>
        <v>18980436132</v>
      </c>
      <c r="C739" t="str">
        <f>"510105199207153273"</f>
        <v>510105199207153273</v>
      </c>
      <c r="D739" t="s">
        <v>1288</v>
      </c>
      <c r="E739" t="s">
        <v>1289</v>
      </c>
      <c r="F739" t="str">
        <f>"2019-01-04 01:34:00"</f>
        <v>2019-01-04 01:34:00</v>
      </c>
    </row>
    <row r="740" spans="1:6" x14ac:dyDescent="0.3">
      <c r="A740" t="s">
        <v>1290</v>
      </c>
      <c r="B740" t="str">
        <f>"15087816414"</f>
        <v>15087816414</v>
      </c>
      <c r="C740" t="str">
        <f>"533523199303310014"</f>
        <v>533523199303310014</v>
      </c>
      <c r="D740" t="s">
        <v>0</v>
      </c>
      <c r="E740" t="s">
        <v>0</v>
      </c>
      <c r="F740" t="str">
        <f>"2019-01-04 00:38:53"</f>
        <v>2019-01-04 00:38:53</v>
      </c>
    </row>
    <row r="741" spans="1:6" x14ac:dyDescent="0.3">
      <c r="A741" t="s">
        <v>1291</v>
      </c>
      <c r="B741" t="str">
        <f>"13400039009"</f>
        <v>13400039009</v>
      </c>
      <c r="C741" t="str">
        <f>"320283199002095013"</f>
        <v>320283199002095013</v>
      </c>
      <c r="D741" t="s">
        <v>1292</v>
      </c>
      <c r="E741" t="s">
        <v>1293</v>
      </c>
      <c r="F741" t="str">
        <f>"2019-01-04 00:15:49"</f>
        <v>2019-01-04 00:15:49</v>
      </c>
    </row>
    <row r="742" spans="1:6" x14ac:dyDescent="0.3">
      <c r="A742" t="s">
        <v>1294</v>
      </c>
      <c r="B742" t="str">
        <f>"18703211752"</f>
        <v>18703211752</v>
      </c>
      <c r="C742" t="str">
        <f>"131122199403041224"</f>
        <v>131122199403041224</v>
      </c>
      <c r="D742" t="s">
        <v>1295</v>
      </c>
      <c r="E742" t="s">
        <v>1295</v>
      </c>
      <c r="F742" t="str">
        <f>"2019-01-03 22:12:18"</f>
        <v>2019-01-03 22:12:18</v>
      </c>
    </row>
    <row r="743" spans="1:6" x14ac:dyDescent="0.3">
      <c r="A743" t="s">
        <v>1296</v>
      </c>
      <c r="B743" t="str">
        <f>"18796282241"</f>
        <v>18796282241</v>
      </c>
      <c r="C743" t="str">
        <f>"32032119941206147X"</f>
        <v>32032119941206147X</v>
      </c>
      <c r="D743" t="s">
        <v>0</v>
      </c>
      <c r="E743" t="s">
        <v>0</v>
      </c>
      <c r="F743" t="str">
        <f>"2019-01-03 17:08:09"</f>
        <v>2019-01-03 17:08:09</v>
      </c>
    </row>
    <row r="744" spans="1:6" x14ac:dyDescent="0.3">
      <c r="A744" t="s">
        <v>1297</v>
      </c>
      <c r="B744" t="str">
        <f>"15816116016"</f>
        <v>15816116016</v>
      </c>
      <c r="C744" t="str">
        <f>"440811199105230319"</f>
        <v>440811199105230319</v>
      </c>
      <c r="D744" t="s">
        <v>1298</v>
      </c>
      <c r="E744" t="s">
        <v>1299</v>
      </c>
      <c r="F744" t="str">
        <f>"2019-01-03 16:19:17"</f>
        <v>2019-01-03 16:19:17</v>
      </c>
    </row>
    <row r="745" spans="1:6" x14ac:dyDescent="0.3">
      <c r="A745" t="s">
        <v>1300</v>
      </c>
      <c r="B745" t="str">
        <f>"15951107125"</f>
        <v>15951107125</v>
      </c>
      <c r="C745" t="str">
        <f>"610523198911078872"</f>
        <v>610523198911078872</v>
      </c>
      <c r="D745" t="s">
        <v>1301</v>
      </c>
      <c r="E745" t="s">
        <v>1302</v>
      </c>
      <c r="F745" t="str">
        <f>"2019-01-03 15:40:54"</f>
        <v>2019-01-03 15:40:54</v>
      </c>
    </row>
    <row r="746" spans="1:6" x14ac:dyDescent="0.3">
      <c r="A746" t="s">
        <v>1303</v>
      </c>
      <c r="B746" t="str">
        <f>"18606082702"</f>
        <v>18606082702</v>
      </c>
      <c r="C746" t="str">
        <f>"350582199104170542"</f>
        <v>350582199104170542</v>
      </c>
      <c r="D746" t="s">
        <v>1304</v>
      </c>
      <c r="E746" t="s">
        <v>1305</v>
      </c>
      <c r="F746" t="str">
        <f>"2019-01-03 15:40:54"</f>
        <v>2019-01-03 15:40:54</v>
      </c>
    </row>
    <row r="747" spans="1:6" x14ac:dyDescent="0.3">
      <c r="A747" t="s">
        <v>0</v>
      </c>
      <c r="B747" t="str">
        <f>"18841477185"</f>
        <v>18841477185</v>
      </c>
      <c r="C747" t="s">
        <v>0</v>
      </c>
      <c r="D747" t="s">
        <v>0</v>
      </c>
      <c r="E747" t="s">
        <v>0</v>
      </c>
      <c r="F747" t="str">
        <f>"2019-01-03 15:40:43"</f>
        <v>2019-01-03 15:40:43</v>
      </c>
    </row>
    <row r="748" spans="1:6" x14ac:dyDescent="0.3">
      <c r="A748" t="s">
        <v>0</v>
      </c>
      <c r="B748" t="str">
        <f>"18234653765"</f>
        <v>18234653765</v>
      </c>
      <c r="C748" t="s">
        <v>0</v>
      </c>
      <c r="D748" t="s">
        <v>0</v>
      </c>
      <c r="E748" t="s">
        <v>0</v>
      </c>
      <c r="F748" t="str">
        <f>"2019-01-03 14:38:22"</f>
        <v>2019-01-03 14:38:22</v>
      </c>
    </row>
    <row r="749" spans="1:6" x14ac:dyDescent="0.3">
      <c r="A749" t="s">
        <v>1306</v>
      </c>
      <c r="B749" t="str">
        <f>"18401566111"</f>
        <v>18401566111</v>
      </c>
      <c r="C749" t="str">
        <f>"232126199305211314"</f>
        <v>232126199305211314</v>
      </c>
      <c r="D749" t="s">
        <v>1307</v>
      </c>
      <c r="E749" t="s">
        <v>1308</v>
      </c>
      <c r="F749" t="str">
        <f>"2019-01-03 14:10:25"</f>
        <v>2019-01-03 14:10:25</v>
      </c>
    </row>
    <row r="750" spans="1:6" x14ac:dyDescent="0.3">
      <c r="A750" t="s">
        <v>1309</v>
      </c>
      <c r="B750" t="str">
        <f>"15856025469"</f>
        <v>15856025469</v>
      </c>
      <c r="C750" t="str">
        <f>"512328196905042558"</f>
        <v>512328196905042558</v>
      </c>
      <c r="D750" t="s">
        <v>1310</v>
      </c>
      <c r="E750" t="s">
        <v>1311</v>
      </c>
      <c r="F750" t="str">
        <f>"2019-01-03 11:23:53"</f>
        <v>2019-01-03 11:23:53</v>
      </c>
    </row>
    <row r="751" spans="1:6" x14ac:dyDescent="0.3">
      <c r="A751" t="s">
        <v>0</v>
      </c>
      <c r="B751" t="str">
        <f>"13772113700"</f>
        <v>13772113700</v>
      </c>
      <c r="C751" t="s">
        <v>0</v>
      </c>
      <c r="D751" t="s">
        <v>0</v>
      </c>
      <c r="E751" t="s">
        <v>0</v>
      </c>
      <c r="F751" t="str">
        <f>"2019-01-03 10:47:14"</f>
        <v>2019-01-03 10:47:14</v>
      </c>
    </row>
    <row r="752" spans="1:6" x14ac:dyDescent="0.3">
      <c r="A752" t="s">
        <v>1312</v>
      </c>
      <c r="B752" t="str">
        <f>"18240283402"</f>
        <v>18240283402</v>
      </c>
      <c r="C752" t="str">
        <f>"210781199508304416"</f>
        <v>210781199508304416</v>
      </c>
      <c r="D752" t="s">
        <v>1313</v>
      </c>
      <c r="E752" t="s">
        <v>1314</v>
      </c>
      <c r="F752" t="str">
        <f>"2019-01-03 10:36:26"</f>
        <v>2019-01-03 10:36:26</v>
      </c>
    </row>
    <row r="753" spans="1:6" x14ac:dyDescent="0.3">
      <c r="A753" t="s">
        <v>1315</v>
      </c>
      <c r="B753" t="str">
        <f>"13359291385"</f>
        <v>13359291385</v>
      </c>
      <c r="C753" t="str">
        <f>"612732197308294639"</f>
        <v>612732197308294639</v>
      </c>
      <c r="D753" t="s">
        <v>0</v>
      </c>
      <c r="E753" t="s">
        <v>0</v>
      </c>
      <c r="F753" t="str">
        <f>"2019-01-03 10:31:15"</f>
        <v>2019-01-03 10:31:15</v>
      </c>
    </row>
    <row r="754" spans="1:6" x14ac:dyDescent="0.3">
      <c r="A754" t="s">
        <v>1316</v>
      </c>
      <c r="B754" t="str">
        <f>"15084212456"</f>
        <v>15084212456</v>
      </c>
      <c r="C754" t="str">
        <f>"211381199404293918"</f>
        <v>211381199404293918</v>
      </c>
      <c r="D754" t="s">
        <v>1317</v>
      </c>
      <c r="E754" t="s">
        <v>1318</v>
      </c>
      <c r="F754" t="str">
        <f>"2019-01-03 09:13:46"</f>
        <v>2019-01-03 09:13:46</v>
      </c>
    </row>
    <row r="755" spans="1:6" x14ac:dyDescent="0.3">
      <c r="A755" t="s">
        <v>0</v>
      </c>
      <c r="B755" t="str">
        <f>"15187683494"</f>
        <v>15187683494</v>
      </c>
      <c r="C755" t="s">
        <v>0</v>
      </c>
      <c r="D755" t="s">
        <v>0</v>
      </c>
      <c r="E755" t="s">
        <v>0</v>
      </c>
      <c r="F755" t="str">
        <f>"2019-01-03 06:40:55"</f>
        <v>2019-01-03 06:40:55</v>
      </c>
    </row>
    <row r="756" spans="1:6" x14ac:dyDescent="0.3">
      <c r="A756" t="s">
        <v>1319</v>
      </c>
      <c r="B756" t="str">
        <f>"15151061239"</f>
        <v>15151061239</v>
      </c>
      <c r="C756" t="str">
        <f>"320925199508287228"</f>
        <v>320925199508287228</v>
      </c>
      <c r="D756" t="s">
        <v>1320</v>
      </c>
      <c r="E756" t="s">
        <v>1321</v>
      </c>
      <c r="F756" t="str">
        <f>"2019-01-03 00:37:12"</f>
        <v>2019-01-03 00:37:12</v>
      </c>
    </row>
    <row r="757" spans="1:6" x14ac:dyDescent="0.3">
      <c r="A757" t="s">
        <v>1322</v>
      </c>
      <c r="B757" t="str">
        <f>"18662570278"</f>
        <v>18662570278</v>
      </c>
      <c r="C757" t="str">
        <f>"32092519901223283X"</f>
        <v>32092519901223283X</v>
      </c>
      <c r="D757" t="s">
        <v>1323</v>
      </c>
      <c r="E757" t="s">
        <v>1324</v>
      </c>
      <c r="F757" t="str">
        <f>"2019-01-02 21:27:59"</f>
        <v>2019-01-02 21:27:59</v>
      </c>
    </row>
    <row r="758" spans="1:6" x14ac:dyDescent="0.3">
      <c r="A758" t="s">
        <v>1325</v>
      </c>
      <c r="B758" t="str">
        <f>"13842860102"</f>
        <v>13842860102</v>
      </c>
      <c r="C758" t="str">
        <f>"211021197408113513"</f>
        <v>211021197408113513</v>
      </c>
      <c r="D758" t="s">
        <v>1326</v>
      </c>
      <c r="E758" t="s">
        <v>1327</v>
      </c>
      <c r="F758" t="str">
        <f>"2019-01-02 18:19:37"</f>
        <v>2019-01-02 18:19:37</v>
      </c>
    </row>
    <row r="759" spans="1:6" x14ac:dyDescent="0.3">
      <c r="A759" t="s">
        <v>1328</v>
      </c>
      <c r="B759" t="str">
        <f>"18261168759"</f>
        <v>18261168759</v>
      </c>
      <c r="C759" t="str">
        <f>"320483198910163719"</f>
        <v>320483198910163719</v>
      </c>
      <c r="D759" t="s">
        <v>1329</v>
      </c>
      <c r="E759" t="s">
        <v>1330</v>
      </c>
      <c r="F759" t="str">
        <f>"2019-01-02 16:58:34"</f>
        <v>2019-01-02 16:58:34</v>
      </c>
    </row>
    <row r="760" spans="1:6" x14ac:dyDescent="0.3">
      <c r="A760" t="s">
        <v>1331</v>
      </c>
      <c r="B760" t="str">
        <f>"15570856120"</f>
        <v>15570856120</v>
      </c>
      <c r="C760" t="str">
        <f>"510623199009237513"</f>
        <v>510623199009237513</v>
      </c>
      <c r="D760" t="s">
        <v>1332</v>
      </c>
      <c r="E760" t="s">
        <v>1333</v>
      </c>
      <c r="F760" t="str">
        <f>"2019-01-02 15:42:13"</f>
        <v>2019-01-02 15:42:13</v>
      </c>
    </row>
    <row r="761" spans="1:6" x14ac:dyDescent="0.3">
      <c r="A761" t="s">
        <v>1334</v>
      </c>
      <c r="B761" t="str">
        <f>"15843029300"</f>
        <v>15843029300</v>
      </c>
      <c r="C761" t="str">
        <f>"220284198504285819"</f>
        <v>220284198504285819</v>
      </c>
      <c r="D761" t="s">
        <v>1335</v>
      </c>
      <c r="E761" t="s">
        <v>1336</v>
      </c>
      <c r="F761" t="str">
        <f>"2019-01-02 13:24:21"</f>
        <v>2019-01-02 13:24:21</v>
      </c>
    </row>
    <row r="762" spans="1:6" x14ac:dyDescent="0.3">
      <c r="A762" t="s">
        <v>1337</v>
      </c>
      <c r="B762" t="str">
        <f>"15107423788"</f>
        <v>15107423788</v>
      </c>
      <c r="C762" t="str">
        <f>"433124198706081419"</f>
        <v>433124198706081419</v>
      </c>
      <c r="D762" t="s">
        <v>1338</v>
      </c>
      <c r="E762" t="s">
        <v>1339</v>
      </c>
      <c r="F762" t="str">
        <f>"2019-01-02 13:21:21"</f>
        <v>2019-01-02 13:21:21</v>
      </c>
    </row>
    <row r="763" spans="1:6" x14ac:dyDescent="0.3">
      <c r="A763" t="s">
        <v>1340</v>
      </c>
      <c r="B763" t="str">
        <f>"17838376717"</f>
        <v>17838376717</v>
      </c>
      <c r="C763" t="str">
        <f>"410181199806307214"</f>
        <v>410181199806307214</v>
      </c>
      <c r="D763" t="s">
        <v>1341</v>
      </c>
      <c r="E763" t="s">
        <v>1342</v>
      </c>
      <c r="F763" t="str">
        <f>"2019-01-02 11:58:47"</f>
        <v>2019-01-02 11:58:47</v>
      </c>
    </row>
    <row r="764" spans="1:6" x14ac:dyDescent="0.3">
      <c r="A764" t="s">
        <v>0</v>
      </c>
      <c r="B764" t="str">
        <f>"13840618893"</f>
        <v>13840618893</v>
      </c>
      <c r="C764" t="s">
        <v>0</v>
      </c>
      <c r="D764" t="s">
        <v>0</v>
      </c>
      <c r="E764" t="s">
        <v>0</v>
      </c>
      <c r="F764" t="str">
        <f>"2019-01-02 11:46:11"</f>
        <v>2019-01-02 11:46:11</v>
      </c>
    </row>
    <row r="765" spans="1:6" x14ac:dyDescent="0.3">
      <c r="A765" t="s">
        <v>1343</v>
      </c>
      <c r="B765" t="str">
        <f>"18227745450"</f>
        <v>18227745450</v>
      </c>
      <c r="C765" t="str">
        <f>"510321199106298335"</f>
        <v>510321199106298335</v>
      </c>
      <c r="D765" t="s">
        <v>0</v>
      </c>
      <c r="E765" t="s">
        <v>0</v>
      </c>
      <c r="F765" t="str">
        <f>"2019-01-02 02:52:49"</f>
        <v>2019-01-02 02:52:49</v>
      </c>
    </row>
    <row r="766" spans="1:6" x14ac:dyDescent="0.3">
      <c r="A766" t="s">
        <v>1344</v>
      </c>
      <c r="B766" t="str">
        <f>"15914912195"</f>
        <v>15914912195</v>
      </c>
      <c r="C766" t="str">
        <f>"441402199908181031"</f>
        <v>441402199908181031</v>
      </c>
      <c r="D766" t="s">
        <v>1345</v>
      </c>
      <c r="E766" t="s">
        <v>1346</v>
      </c>
      <c r="F766" t="str">
        <f>"2019-01-02 00:44:11"</f>
        <v>2019-01-02 00:44:11</v>
      </c>
    </row>
    <row r="767" spans="1:6" x14ac:dyDescent="0.3">
      <c r="A767" t="s">
        <v>1347</v>
      </c>
      <c r="B767" t="str">
        <f>"18824117238"</f>
        <v>18824117238</v>
      </c>
      <c r="C767" t="str">
        <f>"43042619970811721X"</f>
        <v>43042619970811721X</v>
      </c>
      <c r="D767" t="s">
        <v>0</v>
      </c>
      <c r="E767" t="s">
        <v>0</v>
      </c>
      <c r="F767" t="str">
        <f>"2019-01-02 00:33:34"</f>
        <v>2019-01-02 00:33:34</v>
      </c>
    </row>
    <row r="768" spans="1:6" x14ac:dyDescent="0.3">
      <c r="A768" t="s">
        <v>1348</v>
      </c>
      <c r="B768" t="str">
        <f>"15185339969"</f>
        <v>15185339969</v>
      </c>
      <c r="C768" t="str">
        <f>"522124199011160431"</f>
        <v>522124199011160431</v>
      </c>
      <c r="D768" t="s">
        <v>1349</v>
      </c>
      <c r="E768" t="s">
        <v>1350</v>
      </c>
      <c r="F768" t="str">
        <f>"2019-01-02 00:19:27"</f>
        <v>2019-01-02 00:19:27</v>
      </c>
    </row>
    <row r="769" spans="1:6" x14ac:dyDescent="0.3">
      <c r="A769" t="s">
        <v>1351</v>
      </c>
      <c r="B769" t="str">
        <f>"13692266058"</f>
        <v>13692266058</v>
      </c>
      <c r="C769" t="str">
        <f>"441301198103240624"</f>
        <v>441301198103240624</v>
      </c>
      <c r="D769" t="s">
        <v>1352</v>
      </c>
      <c r="E769" t="s">
        <v>1353</v>
      </c>
      <c r="F769" t="str">
        <f>"2019-01-01 21:23:34"</f>
        <v>2019-01-01 21:23:34</v>
      </c>
    </row>
    <row r="770" spans="1:6" x14ac:dyDescent="0.3">
      <c r="A770" t="s">
        <v>1354</v>
      </c>
      <c r="B770" t="str">
        <f>"18825168526"</f>
        <v>18825168526</v>
      </c>
      <c r="C770" t="str">
        <f>"440582199508094234"</f>
        <v>440582199508094234</v>
      </c>
      <c r="D770" t="s">
        <v>0</v>
      </c>
      <c r="E770" t="s">
        <v>0</v>
      </c>
      <c r="F770" t="str">
        <f>"2019-01-01 20:46:37"</f>
        <v>2019-01-01 20:46:37</v>
      </c>
    </row>
    <row r="771" spans="1:6" x14ac:dyDescent="0.3">
      <c r="A771" t="s">
        <v>1355</v>
      </c>
      <c r="B771" t="str">
        <f>"18585400708"</f>
        <v>18585400708</v>
      </c>
      <c r="C771" t="str">
        <f>"522726198607080011"</f>
        <v>522726198607080011</v>
      </c>
      <c r="D771" t="s">
        <v>1356</v>
      </c>
      <c r="E771" t="s">
        <v>1357</v>
      </c>
      <c r="F771" t="str">
        <f>"2019-01-01 17:18:54"</f>
        <v>2019-01-01 17:18:54</v>
      </c>
    </row>
    <row r="772" spans="1:6" x14ac:dyDescent="0.3">
      <c r="A772" t="s">
        <v>1358</v>
      </c>
      <c r="B772" t="str">
        <f>"13734458607"</f>
        <v>13734458607</v>
      </c>
      <c r="C772" t="str">
        <f>"372524198407284958"</f>
        <v>372524198407284958</v>
      </c>
      <c r="D772" t="s">
        <v>1359</v>
      </c>
      <c r="E772" t="s">
        <v>1360</v>
      </c>
      <c r="F772" t="str">
        <f>"2019-01-01 15:24:26"</f>
        <v>2019-01-01 15:24:26</v>
      </c>
    </row>
    <row r="773" spans="1:6" x14ac:dyDescent="0.3">
      <c r="A773" t="s">
        <v>559</v>
      </c>
      <c r="B773" t="str">
        <f>"15926163147"</f>
        <v>15926163147</v>
      </c>
      <c r="C773" t="str">
        <f>"420302199203080951"</f>
        <v>420302199203080951</v>
      </c>
      <c r="D773" t="s">
        <v>1361</v>
      </c>
      <c r="E773" t="s">
        <v>1362</v>
      </c>
      <c r="F773" t="str">
        <f>"2019-01-01 14:58:29"</f>
        <v>2019-01-01 14:58:29</v>
      </c>
    </row>
    <row r="774" spans="1:6" x14ac:dyDescent="0.3">
      <c r="A774" t="s">
        <v>0</v>
      </c>
      <c r="B774" t="str">
        <f>"18186103740"</f>
        <v>18186103740</v>
      </c>
      <c r="C774" t="s">
        <v>0</v>
      </c>
      <c r="D774" t="s">
        <v>0</v>
      </c>
      <c r="E774" t="s">
        <v>0</v>
      </c>
      <c r="F774" t="str">
        <f>"2019-01-01 14:33:53"</f>
        <v>2019-01-01 14:33:53</v>
      </c>
    </row>
    <row r="775" spans="1:6" x14ac:dyDescent="0.3">
      <c r="A775" t="s">
        <v>1363</v>
      </c>
      <c r="B775" t="str">
        <f>"13762757151"</f>
        <v>13762757151</v>
      </c>
      <c r="C775" t="str">
        <f>"430621198208094175"</f>
        <v>430621198208094175</v>
      </c>
      <c r="D775" t="s">
        <v>1364</v>
      </c>
      <c r="E775" t="s">
        <v>1365</v>
      </c>
      <c r="F775" t="str">
        <f>"2019-01-01 13:52:30"</f>
        <v>2019-01-01 13:52:30</v>
      </c>
    </row>
    <row r="776" spans="1:6" x14ac:dyDescent="0.3">
      <c r="A776" t="s">
        <v>0</v>
      </c>
      <c r="B776" t="str">
        <f>"13977053990"</f>
        <v>13977053990</v>
      </c>
      <c r="C776" t="s">
        <v>0</v>
      </c>
      <c r="D776" t="s">
        <v>0</v>
      </c>
      <c r="E776" t="s">
        <v>0</v>
      </c>
      <c r="F776" t="str">
        <f>"2019-01-01 13:35:56"</f>
        <v>2019-01-01 13:35:56</v>
      </c>
    </row>
    <row r="777" spans="1:6" x14ac:dyDescent="0.3">
      <c r="A777" t="s">
        <v>1366</v>
      </c>
      <c r="B777" t="str">
        <f>"13014322563"</f>
        <v>13014322563</v>
      </c>
      <c r="C777" t="str">
        <f>"150429199007081711"</f>
        <v>150429199007081711</v>
      </c>
      <c r="D777" t="s">
        <v>0</v>
      </c>
      <c r="E777" t="s">
        <v>0</v>
      </c>
      <c r="F777" t="str">
        <f>"2019-01-01 13:04:20"</f>
        <v>2019-01-01 13:04:20</v>
      </c>
    </row>
    <row r="778" spans="1:6" x14ac:dyDescent="0.3">
      <c r="A778" t="s">
        <v>0</v>
      </c>
      <c r="B778" t="str">
        <f>"15382624008"</f>
        <v>15382624008</v>
      </c>
      <c r="C778" t="s">
        <v>0</v>
      </c>
      <c r="D778" t="s">
        <v>0</v>
      </c>
      <c r="E778" t="s">
        <v>0</v>
      </c>
      <c r="F778" t="str">
        <f>"2019-01-01 13:00:58"</f>
        <v>2019-01-01 13:00:58</v>
      </c>
    </row>
    <row r="779" spans="1:6" x14ac:dyDescent="0.3">
      <c r="A779" t="s">
        <v>0</v>
      </c>
      <c r="B779" t="str">
        <f>"15076697861"</f>
        <v>15076697861</v>
      </c>
      <c r="C779" t="s">
        <v>0</v>
      </c>
      <c r="D779" t="s">
        <v>0</v>
      </c>
      <c r="E779" t="s">
        <v>0</v>
      </c>
      <c r="F779" t="str">
        <f>"2018-12-31 23:02:58"</f>
        <v>2018-12-31 23:02:58</v>
      </c>
    </row>
    <row r="780" spans="1:6" x14ac:dyDescent="0.3">
      <c r="A780" t="s">
        <v>0</v>
      </c>
      <c r="B780" t="str">
        <f>"13286806223"</f>
        <v>13286806223</v>
      </c>
      <c r="C780" t="s">
        <v>0</v>
      </c>
      <c r="D780" t="s">
        <v>0</v>
      </c>
      <c r="E780" t="s">
        <v>0</v>
      </c>
      <c r="F780" t="str">
        <f>"2018-12-31 19:03:52"</f>
        <v>2018-12-31 19:03:52</v>
      </c>
    </row>
    <row r="781" spans="1:6" x14ac:dyDescent="0.3">
      <c r="A781" t="s">
        <v>1367</v>
      </c>
      <c r="B781" t="str">
        <f>"13486367597"</f>
        <v>13486367597</v>
      </c>
      <c r="C781" t="str">
        <f>"339005199204075811"</f>
        <v>339005199204075811</v>
      </c>
      <c r="D781" t="s">
        <v>1368</v>
      </c>
      <c r="E781" t="s">
        <v>1369</v>
      </c>
      <c r="F781" t="str">
        <f>"2018-12-31 17:25:51"</f>
        <v>2018-12-31 17:25:51</v>
      </c>
    </row>
    <row r="782" spans="1:6" x14ac:dyDescent="0.3">
      <c r="A782" t="s">
        <v>1370</v>
      </c>
      <c r="B782" t="str">
        <f>"17817327929"</f>
        <v>17817327929</v>
      </c>
      <c r="C782" t="str">
        <f>"450621198411021725"</f>
        <v>450621198411021725</v>
      </c>
      <c r="D782" t="s">
        <v>1371</v>
      </c>
      <c r="E782" t="s">
        <v>1372</v>
      </c>
      <c r="F782" t="str">
        <f>"2018-12-31 15:12:09"</f>
        <v>2018-12-31 15:12:09</v>
      </c>
    </row>
    <row r="783" spans="1:6" x14ac:dyDescent="0.3">
      <c r="A783" t="s">
        <v>0</v>
      </c>
      <c r="B783" t="str">
        <f>"15227936056"</f>
        <v>15227936056</v>
      </c>
      <c r="C783" t="s">
        <v>0</v>
      </c>
      <c r="D783" t="s">
        <v>0</v>
      </c>
      <c r="E783" t="s">
        <v>0</v>
      </c>
      <c r="F783" t="str">
        <f>"2018-12-31 14:39:57"</f>
        <v>2018-12-31 14:39:57</v>
      </c>
    </row>
    <row r="784" spans="1:6" x14ac:dyDescent="0.3">
      <c r="A784" t="s">
        <v>1373</v>
      </c>
      <c r="B784" t="str">
        <f>"13354228088"</f>
        <v>13354228088</v>
      </c>
      <c r="C784" t="str">
        <f>"210124198709130649"</f>
        <v>210124198709130649</v>
      </c>
      <c r="D784" t="s">
        <v>1374</v>
      </c>
      <c r="E784" t="s">
        <v>1374</v>
      </c>
      <c r="F784" t="str">
        <f>"2018-12-31 14:22:37"</f>
        <v>2018-12-31 14:22:37</v>
      </c>
    </row>
    <row r="785" spans="1:6" x14ac:dyDescent="0.3">
      <c r="A785" t="s">
        <v>1375</v>
      </c>
      <c r="B785" t="str">
        <f>"18211967132"</f>
        <v>18211967132</v>
      </c>
      <c r="C785" t="str">
        <f>"410325199005017014"</f>
        <v>410325199005017014</v>
      </c>
      <c r="D785" t="s">
        <v>1376</v>
      </c>
      <c r="E785" t="s">
        <v>1377</v>
      </c>
      <c r="F785" t="str">
        <f>"2018-12-31 14:00:26"</f>
        <v>2018-12-31 14:00:26</v>
      </c>
    </row>
    <row r="786" spans="1:6" x14ac:dyDescent="0.3">
      <c r="A786" t="s">
        <v>1378</v>
      </c>
      <c r="B786" t="str">
        <f>"13682619955"</f>
        <v>13682619955</v>
      </c>
      <c r="C786" t="str">
        <f>"440582199603274276"</f>
        <v>440582199603274276</v>
      </c>
      <c r="D786" t="s">
        <v>1379</v>
      </c>
      <c r="E786" t="s">
        <v>1380</v>
      </c>
      <c r="F786" t="str">
        <f>"2018-12-31 12:43:13"</f>
        <v>2018-12-31 12:43:13</v>
      </c>
    </row>
    <row r="787" spans="1:6" x14ac:dyDescent="0.3">
      <c r="A787" t="s">
        <v>1381</v>
      </c>
      <c r="B787" t="str">
        <f>"18233935731"</f>
        <v>18233935731</v>
      </c>
      <c r="C787" t="str">
        <f>"130434199805144817"</f>
        <v>130434199805144817</v>
      </c>
      <c r="D787" t="s">
        <v>1382</v>
      </c>
      <c r="E787" t="s">
        <v>1383</v>
      </c>
      <c r="F787" t="str">
        <f>"2018-12-31 11:09:56"</f>
        <v>2018-12-31 11:09:56</v>
      </c>
    </row>
    <row r="788" spans="1:6" x14ac:dyDescent="0.3">
      <c r="A788" t="s">
        <v>1384</v>
      </c>
      <c r="B788" t="str">
        <f>"18809339932"</f>
        <v>18809339932</v>
      </c>
      <c r="C788" t="str">
        <f>"622725199108153513"</f>
        <v>622725199108153513</v>
      </c>
      <c r="D788" t="s">
        <v>1385</v>
      </c>
      <c r="E788" t="s">
        <v>1386</v>
      </c>
      <c r="F788" t="str">
        <f>"2018-12-31 10:41:03"</f>
        <v>2018-12-31 10:41:03</v>
      </c>
    </row>
    <row r="789" spans="1:6" x14ac:dyDescent="0.3">
      <c r="A789" t="s">
        <v>1387</v>
      </c>
      <c r="B789" t="str">
        <f>"15248458679"</f>
        <v>15248458679</v>
      </c>
      <c r="C789" t="str">
        <f>"150421198808070101"</f>
        <v>150421198808070101</v>
      </c>
      <c r="D789" t="s">
        <v>0</v>
      </c>
      <c r="E789" t="s">
        <v>0</v>
      </c>
      <c r="F789" t="str">
        <f>"2018-12-30 23:43:08"</f>
        <v>2018-12-30 23:43:08</v>
      </c>
    </row>
    <row r="790" spans="1:6" x14ac:dyDescent="0.3">
      <c r="A790" t="s">
        <v>1388</v>
      </c>
      <c r="B790" t="str">
        <f>"18642634656"</f>
        <v>18642634656</v>
      </c>
      <c r="C790" t="str">
        <f>"21028119821231754X"</f>
        <v>21028119821231754X</v>
      </c>
      <c r="D790" t="s">
        <v>0</v>
      </c>
      <c r="E790" t="s">
        <v>0</v>
      </c>
      <c r="F790" t="str">
        <f>"2018-12-30 22:47:42"</f>
        <v>2018-12-30 22:47:42</v>
      </c>
    </row>
    <row r="791" spans="1:6" x14ac:dyDescent="0.3">
      <c r="A791" t="s">
        <v>1389</v>
      </c>
      <c r="B791" t="str">
        <f>"15100265321"</f>
        <v>15100265321</v>
      </c>
      <c r="C791" t="str">
        <f>"130629199205130948"</f>
        <v>130629199205130948</v>
      </c>
      <c r="D791" t="s">
        <v>0</v>
      </c>
      <c r="E791" t="s">
        <v>0</v>
      </c>
      <c r="F791" t="str">
        <f>"2018-12-30 22:22:42"</f>
        <v>2018-12-30 22:22:42</v>
      </c>
    </row>
    <row r="792" spans="1:6" x14ac:dyDescent="0.3">
      <c r="A792" t="s">
        <v>0</v>
      </c>
      <c r="B792" t="str">
        <f>"13542831100"</f>
        <v>13542831100</v>
      </c>
      <c r="C792" t="s">
        <v>0</v>
      </c>
      <c r="D792" t="s">
        <v>0</v>
      </c>
      <c r="E792" t="s">
        <v>0</v>
      </c>
      <c r="F792" t="str">
        <f>"2018-12-30 20:03:10"</f>
        <v>2018-12-30 20:03:10</v>
      </c>
    </row>
    <row r="793" spans="1:6" x14ac:dyDescent="0.3">
      <c r="A793" t="s">
        <v>1390</v>
      </c>
      <c r="B793" t="str">
        <f>"15882290802"</f>
        <v>15882290802</v>
      </c>
      <c r="C793" t="str">
        <f>"510105197606030765"</f>
        <v>510105197606030765</v>
      </c>
      <c r="D793" t="s">
        <v>1391</v>
      </c>
      <c r="E793" t="s">
        <v>1392</v>
      </c>
      <c r="F793" t="str">
        <f>"2018-12-30 16:56:21"</f>
        <v>2018-12-30 16:56:21</v>
      </c>
    </row>
    <row r="794" spans="1:6" x14ac:dyDescent="0.3">
      <c r="A794" t="s">
        <v>1393</v>
      </c>
      <c r="B794" t="str">
        <f>"13582349586"</f>
        <v>13582349586</v>
      </c>
      <c r="C794" t="str">
        <f>"130182199901020026"</f>
        <v>130182199901020026</v>
      </c>
      <c r="D794" t="s">
        <v>1394</v>
      </c>
      <c r="E794" t="s">
        <v>1395</v>
      </c>
      <c r="F794" t="str">
        <f>"2018-12-30 15:33:09"</f>
        <v>2018-12-30 15:33:09</v>
      </c>
    </row>
    <row r="795" spans="1:6" x14ac:dyDescent="0.3">
      <c r="A795" t="s">
        <v>1396</v>
      </c>
      <c r="B795" t="str">
        <f>"13314174088"</f>
        <v>13314174088</v>
      </c>
      <c r="C795" t="str">
        <f>"210803199209190013"</f>
        <v>210803199209190013</v>
      </c>
      <c r="D795" t="s">
        <v>1397</v>
      </c>
      <c r="E795" t="s">
        <v>1398</v>
      </c>
      <c r="F795" t="str">
        <f>"2018-12-30 13:12:28"</f>
        <v>2018-12-30 13:12:28</v>
      </c>
    </row>
    <row r="796" spans="1:6" x14ac:dyDescent="0.3">
      <c r="A796" t="s">
        <v>1399</v>
      </c>
      <c r="B796" t="str">
        <f>"17336870395"</f>
        <v>17336870395</v>
      </c>
      <c r="C796" t="str">
        <f>"513723198611244939"</f>
        <v>513723198611244939</v>
      </c>
      <c r="D796" t="s">
        <v>1400</v>
      </c>
      <c r="E796" t="s">
        <v>1401</v>
      </c>
      <c r="F796" t="str">
        <f>"2018-12-30 05:32:29"</f>
        <v>2018-12-30 05:32:29</v>
      </c>
    </row>
    <row r="797" spans="1:6" x14ac:dyDescent="0.3">
      <c r="A797" t="s">
        <v>648</v>
      </c>
      <c r="B797" t="str">
        <f>"18210693935"</f>
        <v>18210693935</v>
      </c>
      <c r="C797" t="str">
        <f>"132530197306160612"</f>
        <v>132530197306160612</v>
      </c>
      <c r="D797" t="s">
        <v>0</v>
      </c>
      <c r="E797" t="s">
        <v>0</v>
      </c>
      <c r="F797" t="str">
        <f>"2018-12-30 03:01:40"</f>
        <v>2018-12-30 03:01:40</v>
      </c>
    </row>
    <row r="798" spans="1:6" x14ac:dyDescent="0.3">
      <c r="A798" t="s">
        <v>1402</v>
      </c>
      <c r="B798" t="str">
        <f>"15259893253"</f>
        <v>15259893253</v>
      </c>
      <c r="C798" t="str">
        <f>"350421199511066015"</f>
        <v>350421199511066015</v>
      </c>
      <c r="D798" t="s">
        <v>1403</v>
      </c>
      <c r="E798" t="s">
        <v>1404</v>
      </c>
      <c r="F798" t="str">
        <f>"2018-12-30 01:37:58"</f>
        <v>2018-12-30 01:37:58</v>
      </c>
    </row>
    <row r="799" spans="1:6" x14ac:dyDescent="0.3">
      <c r="A799" t="s">
        <v>1405</v>
      </c>
      <c r="B799" t="str">
        <f>"15580712889"</f>
        <v>15580712889</v>
      </c>
      <c r="C799" t="str">
        <f>"433024197211240019"</f>
        <v>433024197211240019</v>
      </c>
      <c r="D799" t="s">
        <v>1406</v>
      </c>
      <c r="E799" t="s">
        <v>1407</v>
      </c>
      <c r="F799" t="str">
        <f>"2018-12-29 22:14:27"</f>
        <v>2018-12-29 22:14:27</v>
      </c>
    </row>
    <row r="800" spans="1:6" x14ac:dyDescent="0.3">
      <c r="A800" t="s">
        <v>0</v>
      </c>
      <c r="B800" t="str">
        <f>"18245413753"</f>
        <v>18245413753</v>
      </c>
      <c r="C800" t="s">
        <v>0</v>
      </c>
      <c r="D800" t="s">
        <v>0</v>
      </c>
      <c r="E800" t="s">
        <v>0</v>
      </c>
      <c r="F800" t="str">
        <f>"2018-12-29 20:54:13"</f>
        <v>2018-12-29 20:54:13</v>
      </c>
    </row>
    <row r="801" spans="1:6" x14ac:dyDescent="0.3">
      <c r="A801" t="s">
        <v>1408</v>
      </c>
      <c r="B801" t="str">
        <f>"13680723325"</f>
        <v>13680723325</v>
      </c>
      <c r="C801" t="str">
        <f>"441621199510284217"</f>
        <v>441621199510284217</v>
      </c>
      <c r="D801" t="s">
        <v>1409</v>
      </c>
      <c r="E801" t="s">
        <v>1410</v>
      </c>
      <c r="F801" t="str">
        <f>"2018-12-29 20:50:21"</f>
        <v>2018-12-29 20:50:21</v>
      </c>
    </row>
    <row r="802" spans="1:6" x14ac:dyDescent="0.3">
      <c r="A802" t="s">
        <v>1411</v>
      </c>
      <c r="B802" t="str">
        <f>"18638816749"</f>
        <v>18638816749</v>
      </c>
      <c r="C802" t="str">
        <f>"410305198712126519"</f>
        <v>410305198712126519</v>
      </c>
      <c r="D802" t="s">
        <v>1412</v>
      </c>
      <c r="E802" t="s">
        <v>1413</v>
      </c>
      <c r="F802" t="str">
        <f>"2018-12-29 19:14:25"</f>
        <v>2018-12-29 19:14:25</v>
      </c>
    </row>
    <row r="803" spans="1:6" x14ac:dyDescent="0.3">
      <c r="A803" t="s">
        <v>1414</v>
      </c>
      <c r="B803" t="str">
        <f>"15251286463"</f>
        <v>15251286463</v>
      </c>
      <c r="C803" t="str">
        <f>"320721199606010015"</f>
        <v>320721199606010015</v>
      </c>
      <c r="D803" t="s">
        <v>1415</v>
      </c>
      <c r="E803" t="s">
        <v>1416</v>
      </c>
      <c r="F803" t="str">
        <f>"2018-12-29 16:16:53"</f>
        <v>2018-12-29 16:16:53</v>
      </c>
    </row>
    <row r="804" spans="1:6" x14ac:dyDescent="0.3">
      <c r="A804" t="s">
        <v>0</v>
      </c>
      <c r="B804" t="str">
        <f>"18770886877"</f>
        <v>18770886877</v>
      </c>
      <c r="C804" t="s">
        <v>0</v>
      </c>
      <c r="D804" t="s">
        <v>0</v>
      </c>
      <c r="E804" t="s">
        <v>0</v>
      </c>
      <c r="F804" t="str">
        <f>"2018-12-29 16:14:04"</f>
        <v>2018-12-29 16:14:04</v>
      </c>
    </row>
    <row r="805" spans="1:6" x14ac:dyDescent="0.3">
      <c r="A805" t="s">
        <v>1417</v>
      </c>
      <c r="B805" t="str">
        <f>"15732550055"</f>
        <v>15732550055</v>
      </c>
      <c r="C805" t="str">
        <f>"130221199509202311"</f>
        <v>130221199509202311</v>
      </c>
      <c r="D805" t="s">
        <v>1418</v>
      </c>
      <c r="E805" t="s">
        <v>1419</v>
      </c>
      <c r="F805" t="str">
        <f>"2018-12-29 14:24:22"</f>
        <v>2018-12-29 14:24:22</v>
      </c>
    </row>
    <row r="806" spans="1:6" x14ac:dyDescent="0.3">
      <c r="A806" t="s">
        <v>1420</v>
      </c>
      <c r="B806" t="str">
        <f>"18133337482"</f>
        <v>18133337482</v>
      </c>
      <c r="C806" t="str">
        <f>"370404198705121417"</f>
        <v>370404198705121417</v>
      </c>
      <c r="D806" t="s">
        <v>1421</v>
      </c>
      <c r="E806" t="s">
        <v>1422</v>
      </c>
      <c r="F806" t="str">
        <f>"2018-12-29 13:42:20"</f>
        <v>2018-12-29 13:42:20</v>
      </c>
    </row>
    <row r="807" spans="1:6" x14ac:dyDescent="0.3">
      <c r="A807" t="s">
        <v>1423</v>
      </c>
      <c r="B807" t="str">
        <f>"18082891879"</f>
        <v>18082891879</v>
      </c>
      <c r="C807" t="str">
        <f>"650103197508244717"</f>
        <v>650103197508244717</v>
      </c>
      <c r="D807" t="s">
        <v>0</v>
      </c>
      <c r="E807" t="s">
        <v>0</v>
      </c>
      <c r="F807" t="str">
        <f>"2018-12-29 12:14:31"</f>
        <v>2018-12-29 12:14:31</v>
      </c>
    </row>
    <row r="808" spans="1:6" x14ac:dyDescent="0.3">
      <c r="A808" t="s">
        <v>1424</v>
      </c>
      <c r="B808" t="str">
        <f>"17694919918"</f>
        <v>17694919918</v>
      </c>
      <c r="C808" t="str">
        <f>"232101197307105236"</f>
        <v>232101197307105236</v>
      </c>
      <c r="D808" t="s">
        <v>1425</v>
      </c>
      <c r="E808" t="s">
        <v>1426</v>
      </c>
      <c r="F808" t="str">
        <f>"2018-12-29 11:25:17"</f>
        <v>2018-12-29 11:25:17</v>
      </c>
    </row>
    <row r="809" spans="1:6" x14ac:dyDescent="0.3">
      <c r="A809" t="s">
        <v>1427</v>
      </c>
      <c r="B809" t="str">
        <f>"13949209939"</f>
        <v>13949209939</v>
      </c>
      <c r="C809" t="str">
        <f>"410322198710158935"</f>
        <v>410322198710158935</v>
      </c>
      <c r="D809" t="s">
        <v>1428</v>
      </c>
      <c r="E809" t="s">
        <v>1429</v>
      </c>
      <c r="F809" t="str">
        <f>"2018-12-29 11:24:21"</f>
        <v>2018-12-29 11:24:21</v>
      </c>
    </row>
    <row r="810" spans="1:6" x14ac:dyDescent="0.3">
      <c r="A810" t="s">
        <v>1430</v>
      </c>
      <c r="B810" t="str">
        <f>"18600044591"</f>
        <v>18600044591</v>
      </c>
      <c r="C810" t="str">
        <f>"130705197312210316"</f>
        <v>130705197312210316</v>
      </c>
      <c r="D810" t="s">
        <v>1431</v>
      </c>
      <c r="E810" t="s">
        <v>1432</v>
      </c>
      <c r="F810" t="str">
        <f>"2018-12-29 10:50:52"</f>
        <v>2018-12-29 10:50:52</v>
      </c>
    </row>
    <row r="811" spans="1:6" x14ac:dyDescent="0.3">
      <c r="A811" t="s">
        <v>0</v>
      </c>
      <c r="B811" t="str">
        <f>"15248808356"</f>
        <v>15248808356</v>
      </c>
      <c r="C811" t="s">
        <v>0</v>
      </c>
      <c r="D811" t="s">
        <v>0</v>
      </c>
      <c r="E811" t="s">
        <v>0</v>
      </c>
      <c r="F811" t="str">
        <f>"2018-12-29 10:16:06"</f>
        <v>2018-12-29 10:16:06</v>
      </c>
    </row>
    <row r="812" spans="1:6" x14ac:dyDescent="0.3">
      <c r="A812" t="s">
        <v>1433</v>
      </c>
      <c r="B812" t="str">
        <f>"17608593084"</f>
        <v>17608593084</v>
      </c>
      <c r="C812" t="str">
        <f>"522322200011149834"</f>
        <v>522322200011149834</v>
      </c>
      <c r="D812" t="s">
        <v>1434</v>
      </c>
      <c r="E812" t="s">
        <v>1435</v>
      </c>
      <c r="F812" t="str">
        <f>"2018-12-29 10:11:16"</f>
        <v>2018-12-29 10:11:16</v>
      </c>
    </row>
    <row r="813" spans="1:6" x14ac:dyDescent="0.3">
      <c r="A813" t="s">
        <v>1436</v>
      </c>
      <c r="B813" t="str">
        <f>"18885913538"</f>
        <v>18885913538</v>
      </c>
      <c r="C813" t="str">
        <f>"522322197505041677"</f>
        <v>522322197505041677</v>
      </c>
      <c r="D813" t="s">
        <v>1437</v>
      </c>
      <c r="E813" t="s">
        <v>1438</v>
      </c>
      <c r="F813" t="str">
        <f>"2018-12-29 10:05:24"</f>
        <v>2018-12-29 10:05:24</v>
      </c>
    </row>
    <row r="814" spans="1:6" x14ac:dyDescent="0.3">
      <c r="A814" t="s">
        <v>1439</v>
      </c>
      <c r="B814" t="str">
        <f>"13842868060"</f>
        <v>13842868060</v>
      </c>
      <c r="C814" t="str">
        <f>"211321198202104110"</f>
        <v>211321198202104110</v>
      </c>
      <c r="D814" t="s">
        <v>1440</v>
      </c>
      <c r="E814" t="s">
        <v>1441</v>
      </c>
      <c r="F814" t="str">
        <f>"2018-12-29 10:00:18"</f>
        <v>2018-12-29 10:00:18</v>
      </c>
    </row>
    <row r="815" spans="1:6" x14ac:dyDescent="0.3">
      <c r="A815" t="s">
        <v>1442</v>
      </c>
      <c r="B815" t="str">
        <f>"17609523170"</f>
        <v>17609523170</v>
      </c>
      <c r="C815" t="str">
        <f>"642226199401243019"</f>
        <v>642226199401243019</v>
      </c>
      <c r="D815" t="s">
        <v>1443</v>
      </c>
      <c r="E815" t="s">
        <v>1444</v>
      </c>
      <c r="F815" t="str">
        <f>"2018-12-28 22:43:17"</f>
        <v>2018-12-28 22:43:17</v>
      </c>
    </row>
    <row r="816" spans="1:6" x14ac:dyDescent="0.3">
      <c r="A816" t="s">
        <v>0</v>
      </c>
      <c r="B816" t="str">
        <f>"15398007376"</f>
        <v>15398007376</v>
      </c>
      <c r="C816" t="s">
        <v>0</v>
      </c>
      <c r="D816" t="s">
        <v>0</v>
      </c>
      <c r="E816" t="s">
        <v>0</v>
      </c>
      <c r="F816" t="str">
        <f>"2018-12-28 22:06:53"</f>
        <v>2018-12-28 22:06:53</v>
      </c>
    </row>
    <row r="817" spans="1:6" x14ac:dyDescent="0.3">
      <c r="A817" t="s">
        <v>0</v>
      </c>
      <c r="B817" t="str">
        <f>"13511202975"</f>
        <v>13511202975</v>
      </c>
      <c r="C817" t="s">
        <v>0</v>
      </c>
      <c r="D817" t="s">
        <v>0</v>
      </c>
      <c r="E817" t="s">
        <v>0</v>
      </c>
      <c r="F817" t="str">
        <f>"2018-12-28 21:45:30"</f>
        <v>2018-12-28 21:45:30</v>
      </c>
    </row>
    <row r="818" spans="1:6" x14ac:dyDescent="0.3">
      <c r="A818" t="s">
        <v>1445</v>
      </c>
      <c r="B818" t="str">
        <f>"17766448422"</f>
        <v>17766448422</v>
      </c>
      <c r="C818" t="str">
        <f>"320826199902061236"</f>
        <v>320826199902061236</v>
      </c>
      <c r="D818" t="s">
        <v>1446</v>
      </c>
      <c r="E818" t="s">
        <v>1447</v>
      </c>
      <c r="F818" t="str">
        <f>"2018-12-28 20:54:01"</f>
        <v>2018-12-28 20:54:01</v>
      </c>
    </row>
    <row r="819" spans="1:6" x14ac:dyDescent="0.3">
      <c r="A819" t="s">
        <v>1448</v>
      </c>
      <c r="B819" t="str">
        <f>"15565691600"</f>
        <v>15565691600</v>
      </c>
      <c r="C819" t="str">
        <f>"411323199208206331"</f>
        <v>411323199208206331</v>
      </c>
      <c r="D819" t="s">
        <v>1449</v>
      </c>
      <c r="E819" t="s">
        <v>1450</v>
      </c>
      <c r="F819" t="str">
        <f>"2018-12-28 14:42:22"</f>
        <v>2018-12-28 14:42:22</v>
      </c>
    </row>
    <row r="820" spans="1:6" x14ac:dyDescent="0.3">
      <c r="A820" t="s">
        <v>0</v>
      </c>
      <c r="B820" t="str">
        <f>"15862965533"</f>
        <v>15862965533</v>
      </c>
      <c r="C820" t="s">
        <v>0</v>
      </c>
      <c r="D820" t="s">
        <v>0</v>
      </c>
      <c r="E820" t="s">
        <v>0</v>
      </c>
      <c r="F820" t="str">
        <f>"2018-12-28 14:22:19"</f>
        <v>2018-12-28 14:22:19</v>
      </c>
    </row>
    <row r="821" spans="1:6" x14ac:dyDescent="0.3">
      <c r="A821" t="s">
        <v>1451</v>
      </c>
      <c r="B821" t="str">
        <f>"13531640666"</f>
        <v>13531640666</v>
      </c>
      <c r="C821" t="str">
        <f>"429006197603244255"</f>
        <v>429006197603244255</v>
      </c>
      <c r="D821" t="s">
        <v>1452</v>
      </c>
      <c r="E821" t="s">
        <v>1453</v>
      </c>
      <c r="F821" t="str">
        <f>"2018-12-28 13:12:33"</f>
        <v>2018-12-28 13:12:33</v>
      </c>
    </row>
    <row r="822" spans="1:6" x14ac:dyDescent="0.3">
      <c r="A822" t="s">
        <v>1454</v>
      </c>
      <c r="B822" t="str">
        <f>"15531154333"</f>
        <v>15531154333</v>
      </c>
      <c r="C822" t="str">
        <f>"130124199103222711"</f>
        <v>130124199103222711</v>
      </c>
      <c r="D822" t="s">
        <v>0</v>
      </c>
      <c r="E822" t="s">
        <v>0</v>
      </c>
      <c r="F822" t="str">
        <f>"2018-12-28 12:47:36"</f>
        <v>2018-12-28 12:47:36</v>
      </c>
    </row>
    <row r="823" spans="1:6" x14ac:dyDescent="0.3">
      <c r="A823" t="s">
        <v>1455</v>
      </c>
      <c r="B823" t="str">
        <f>"18965213658"</f>
        <v>18965213658</v>
      </c>
      <c r="C823" t="str">
        <f>"350627197712212517"</f>
        <v>350627197712212517</v>
      </c>
      <c r="D823" t="s">
        <v>1456</v>
      </c>
      <c r="E823" t="s">
        <v>1457</v>
      </c>
      <c r="F823" t="str">
        <f>"2018-12-28 12:02:40"</f>
        <v>2018-12-28 12:02:40</v>
      </c>
    </row>
    <row r="824" spans="1:6" x14ac:dyDescent="0.3">
      <c r="A824" t="s">
        <v>1458</v>
      </c>
      <c r="B824" t="str">
        <f>"15946731146"</f>
        <v>15946731146</v>
      </c>
      <c r="C824" t="str">
        <f>"230321199203183209"</f>
        <v>230321199203183209</v>
      </c>
      <c r="D824" t="s">
        <v>1459</v>
      </c>
      <c r="E824" t="s">
        <v>1460</v>
      </c>
      <c r="F824" t="str">
        <f>"2018-12-28 11:42:24"</f>
        <v>2018-12-28 11:42:24</v>
      </c>
    </row>
    <row r="825" spans="1:6" x14ac:dyDescent="0.3">
      <c r="A825" t="s">
        <v>708</v>
      </c>
      <c r="B825" t="str">
        <f>"13870249222"</f>
        <v>13870249222</v>
      </c>
      <c r="C825" t="str">
        <f>"35012319860311563X"</f>
        <v>35012319860311563X</v>
      </c>
      <c r="D825" t="s">
        <v>0</v>
      </c>
      <c r="E825" t="s">
        <v>0</v>
      </c>
      <c r="F825" t="str">
        <f>"2018-12-28 11:06:07"</f>
        <v>2018-12-28 11:06:07</v>
      </c>
    </row>
    <row r="826" spans="1:6" x14ac:dyDescent="0.3">
      <c r="A826" t="s">
        <v>1461</v>
      </c>
      <c r="B826" t="str">
        <f>"13736665878"</f>
        <v>13736665878</v>
      </c>
      <c r="C826" t="str">
        <f>"331081198604047611"</f>
        <v>331081198604047611</v>
      </c>
      <c r="D826" t="s">
        <v>0</v>
      </c>
      <c r="E826" t="s">
        <v>0</v>
      </c>
      <c r="F826" t="str">
        <f>"2018-12-28 01:23:04"</f>
        <v>2018-12-28 01:23:04</v>
      </c>
    </row>
    <row r="827" spans="1:6" x14ac:dyDescent="0.3">
      <c r="A827" t="s">
        <v>1462</v>
      </c>
      <c r="B827" t="str">
        <f>"18955100754"</f>
        <v>18955100754</v>
      </c>
      <c r="C827" t="str">
        <f>"342401198210287615"</f>
        <v>342401198210287615</v>
      </c>
      <c r="D827" t="s">
        <v>1463</v>
      </c>
      <c r="E827" t="s">
        <v>1464</v>
      </c>
      <c r="F827" t="str">
        <f>"2018-12-27 22:29:39"</f>
        <v>2018-12-27 22:29:39</v>
      </c>
    </row>
    <row r="828" spans="1:6" x14ac:dyDescent="0.3">
      <c r="A828" t="s">
        <v>1465</v>
      </c>
      <c r="B828" t="str">
        <f>"15009017683"</f>
        <v>15009017683</v>
      </c>
      <c r="C828" t="str">
        <f>"51132119800812280X"</f>
        <v>51132119800812280X</v>
      </c>
      <c r="D828" t="s">
        <v>0</v>
      </c>
      <c r="E828" t="s">
        <v>0</v>
      </c>
      <c r="F828" t="str">
        <f>"2018-12-27 22:12:26"</f>
        <v>2018-12-27 22:12:26</v>
      </c>
    </row>
    <row r="829" spans="1:6" x14ac:dyDescent="0.3">
      <c r="A829" t="s">
        <v>0</v>
      </c>
      <c r="B829" t="str">
        <f>"13720910701"</f>
        <v>13720910701</v>
      </c>
      <c r="C829" t="s">
        <v>0</v>
      </c>
      <c r="D829" t="s">
        <v>0</v>
      </c>
      <c r="E829" t="s">
        <v>0</v>
      </c>
      <c r="F829" t="str">
        <f>"2018-12-27 21:46:20"</f>
        <v>2018-12-27 21:46:20</v>
      </c>
    </row>
    <row r="830" spans="1:6" x14ac:dyDescent="0.3">
      <c r="A830" t="s">
        <v>0</v>
      </c>
      <c r="B830" t="str">
        <f>"15949855400"</f>
        <v>15949855400</v>
      </c>
      <c r="C830" t="s">
        <v>0</v>
      </c>
      <c r="D830" t="s">
        <v>0</v>
      </c>
      <c r="E830" t="s">
        <v>0</v>
      </c>
      <c r="F830" t="str">
        <f>"2018-12-27 19:36:16"</f>
        <v>2018-12-27 19:36:16</v>
      </c>
    </row>
    <row r="831" spans="1:6" x14ac:dyDescent="0.3">
      <c r="A831" t="s">
        <v>0</v>
      </c>
      <c r="B831" t="str">
        <f>"13148469135"</f>
        <v>13148469135</v>
      </c>
      <c r="C831" t="s">
        <v>0</v>
      </c>
      <c r="D831" t="s">
        <v>0</v>
      </c>
      <c r="E831" t="s">
        <v>0</v>
      </c>
      <c r="F831" t="str">
        <f>"2018-12-27 19:31:47"</f>
        <v>2018-12-27 19:31:47</v>
      </c>
    </row>
    <row r="832" spans="1:6" x14ac:dyDescent="0.3">
      <c r="A832" t="s">
        <v>0</v>
      </c>
      <c r="B832" t="str">
        <f>"13088624825"</f>
        <v>13088624825</v>
      </c>
      <c r="C832" t="s">
        <v>0</v>
      </c>
      <c r="D832" t="s">
        <v>0</v>
      </c>
      <c r="E832" t="s">
        <v>0</v>
      </c>
      <c r="F832" t="str">
        <f>"2018-12-27 19:30:32"</f>
        <v>2018-12-27 19:30:32</v>
      </c>
    </row>
    <row r="833" spans="1:6" x14ac:dyDescent="0.3">
      <c r="A833" t="s">
        <v>0</v>
      </c>
      <c r="B833" t="str">
        <f>"13210001461"</f>
        <v>13210001461</v>
      </c>
      <c r="C833" t="s">
        <v>0</v>
      </c>
      <c r="D833" t="s">
        <v>0</v>
      </c>
      <c r="E833" t="s">
        <v>0</v>
      </c>
      <c r="F833" t="str">
        <f>"2018-12-27 19:28:52"</f>
        <v>2018-12-27 19:28:52</v>
      </c>
    </row>
    <row r="834" spans="1:6" x14ac:dyDescent="0.3">
      <c r="A834" t="s">
        <v>0</v>
      </c>
      <c r="B834" t="str">
        <f>"18745048165"</f>
        <v>18745048165</v>
      </c>
      <c r="C834" t="s">
        <v>0</v>
      </c>
      <c r="D834" t="s">
        <v>0</v>
      </c>
      <c r="E834" t="s">
        <v>0</v>
      </c>
      <c r="F834" t="str">
        <f>"2018-12-27 19:28:15"</f>
        <v>2018-12-27 19:28:15</v>
      </c>
    </row>
    <row r="835" spans="1:6" x14ac:dyDescent="0.3">
      <c r="A835" t="s">
        <v>0</v>
      </c>
      <c r="B835" t="str">
        <f>"18849182022"</f>
        <v>18849182022</v>
      </c>
      <c r="C835" t="s">
        <v>0</v>
      </c>
      <c r="D835" t="s">
        <v>0</v>
      </c>
      <c r="E835" t="s">
        <v>0</v>
      </c>
      <c r="F835" t="str">
        <f>"2018-12-27 19:28:13"</f>
        <v>2018-12-27 19:28:13</v>
      </c>
    </row>
    <row r="836" spans="1:6" x14ac:dyDescent="0.3">
      <c r="A836" t="s">
        <v>0</v>
      </c>
      <c r="B836" t="str">
        <f>"13065448136"</f>
        <v>13065448136</v>
      </c>
      <c r="C836" t="s">
        <v>0</v>
      </c>
      <c r="D836" t="s">
        <v>0</v>
      </c>
      <c r="E836" t="s">
        <v>0</v>
      </c>
      <c r="F836" t="str">
        <f>"2018-12-27 19:26:24"</f>
        <v>2018-12-27 19:26:24</v>
      </c>
    </row>
    <row r="837" spans="1:6" x14ac:dyDescent="0.3">
      <c r="A837" t="s">
        <v>0</v>
      </c>
      <c r="B837" t="str">
        <f>"15192575350"</f>
        <v>15192575350</v>
      </c>
      <c r="C837" t="s">
        <v>0</v>
      </c>
      <c r="D837" t="s">
        <v>0</v>
      </c>
      <c r="E837" t="s">
        <v>0</v>
      </c>
      <c r="F837" t="str">
        <f>"2018-12-27 19:26:12"</f>
        <v>2018-12-27 19:26:12</v>
      </c>
    </row>
    <row r="838" spans="1:6" x14ac:dyDescent="0.3">
      <c r="A838" t="s">
        <v>0</v>
      </c>
      <c r="B838" t="str">
        <f>"17367556425"</f>
        <v>17367556425</v>
      </c>
      <c r="C838" t="s">
        <v>0</v>
      </c>
      <c r="D838" t="s">
        <v>0</v>
      </c>
      <c r="E838" t="s">
        <v>0</v>
      </c>
      <c r="F838" t="str">
        <f>"2018-12-27 19:25:05"</f>
        <v>2018-12-27 19:25:05</v>
      </c>
    </row>
    <row r="839" spans="1:6" x14ac:dyDescent="0.3">
      <c r="A839" t="s">
        <v>0</v>
      </c>
      <c r="B839" t="str">
        <f>"18841265891"</f>
        <v>18841265891</v>
      </c>
      <c r="C839" t="s">
        <v>0</v>
      </c>
      <c r="D839" t="s">
        <v>0</v>
      </c>
      <c r="E839" t="s">
        <v>0</v>
      </c>
      <c r="F839" t="str">
        <f>"2018-12-27 19:24:23"</f>
        <v>2018-12-27 19:24:23</v>
      </c>
    </row>
    <row r="840" spans="1:6" x14ac:dyDescent="0.3">
      <c r="A840" t="s">
        <v>0</v>
      </c>
      <c r="B840" t="str">
        <f>"18953438709"</f>
        <v>18953438709</v>
      </c>
      <c r="C840" t="s">
        <v>0</v>
      </c>
      <c r="D840" t="s">
        <v>0</v>
      </c>
      <c r="E840" t="s">
        <v>0</v>
      </c>
      <c r="F840" t="str">
        <f>"2018-12-27 19:17:00"</f>
        <v>2018-12-27 19:17:00</v>
      </c>
    </row>
    <row r="841" spans="1:6" x14ac:dyDescent="0.3">
      <c r="A841" t="s">
        <v>0</v>
      </c>
      <c r="B841" t="str">
        <f>"13053421569"</f>
        <v>13053421569</v>
      </c>
      <c r="C841" t="s">
        <v>0</v>
      </c>
      <c r="D841" t="s">
        <v>0</v>
      </c>
      <c r="E841" t="s">
        <v>0</v>
      </c>
      <c r="F841" t="str">
        <f>"2018-12-27 19:15:32"</f>
        <v>2018-12-27 19:15:32</v>
      </c>
    </row>
    <row r="842" spans="1:6" x14ac:dyDescent="0.3">
      <c r="A842" t="s">
        <v>0</v>
      </c>
      <c r="B842" t="str">
        <f>"17130820683"</f>
        <v>17130820683</v>
      </c>
      <c r="C842" t="s">
        <v>0</v>
      </c>
      <c r="D842" t="s">
        <v>0</v>
      </c>
      <c r="E842" t="s">
        <v>0</v>
      </c>
      <c r="F842" t="str">
        <f>"2018-12-27 19:12:53"</f>
        <v>2018-12-27 19:12:53</v>
      </c>
    </row>
    <row r="843" spans="1:6" x14ac:dyDescent="0.3">
      <c r="A843" t="s">
        <v>0</v>
      </c>
      <c r="B843" t="str">
        <f>"18953436315"</f>
        <v>18953436315</v>
      </c>
      <c r="C843" t="s">
        <v>0</v>
      </c>
      <c r="D843" t="s">
        <v>0</v>
      </c>
      <c r="E843" t="s">
        <v>0</v>
      </c>
      <c r="F843" t="str">
        <f>"2018-12-27 19:11:06"</f>
        <v>2018-12-27 19:11:06</v>
      </c>
    </row>
    <row r="844" spans="1:6" x14ac:dyDescent="0.3">
      <c r="A844" t="s">
        <v>0</v>
      </c>
      <c r="B844" t="str">
        <f>"18250514536"</f>
        <v>18250514536</v>
      </c>
      <c r="C844" t="s">
        <v>0</v>
      </c>
      <c r="D844" t="s">
        <v>0</v>
      </c>
      <c r="E844" t="s">
        <v>0</v>
      </c>
      <c r="F844" t="str">
        <f>"2018-12-27 19:07:34"</f>
        <v>2018-12-27 19:07:34</v>
      </c>
    </row>
    <row r="845" spans="1:6" x14ac:dyDescent="0.3">
      <c r="A845" t="s">
        <v>0</v>
      </c>
      <c r="B845" t="str">
        <f>"17130820183"</f>
        <v>17130820183</v>
      </c>
      <c r="C845" t="s">
        <v>0</v>
      </c>
      <c r="D845" t="s">
        <v>0</v>
      </c>
      <c r="E845" t="s">
        <v>0</v>
      </c>
      <c r="F845" t="str">
        <f>"2018-12-27 19:07:33"</f>
        <v>2018-12-27 19:07:33</v>
      </c>
    </row>
    <row r="846" spans="1:6" x14ac:dyDescent="0.3">
      <c r="A846" t="s">
        <v>0</v>
      </c>
      <c r="B846" t="str">
        <f>"15754145448"</f>
        <v>15754145448</v>
      </c>
      <c r="C846" t="s">
        <v>0</v>
      </c>
      <c r="D846" t="s">
        <v>0</v>
      </c>
      <c r="E846" t="s">
        <v>0</v>
      </c>
      <c r="F846" t="str">
        <f>"2018-12-27 19:06:42"</f>
        <v>2018-12-27 19:06:42</v>
      </c>
    </row>
    <row r="847" spans="1:6" x14ac:dyDescent="0.3">
      <c r="A847" t="s">
        <v>0</v>
      </c>
      <c r="B847" t="str">
        <f>"15225001723"</f>
        <v>15225001723</v>
      </c>
      <c r="C847" t="s">
        <v>0</v>
      </c>
      <c r="D847" t="s">
        <v>0</v>
      </c>
      <c r="E847" t="s">
        <v>0</v>
      </c>
      <c r="F847" t="str">
        <f>"2018-12-27 19:05:18"</f>
        <v>2018-12-27 19:05:18</v>
      </c>
    </row>
    <row r="848" spans="1:6" x14ac:dyDescent="0.3">
      <c r="A848" t="s">
        <v>0</v>
      </c>
      <c r="B848" t="str">
        <f>"15602728465"</f>
        <v>15602728465</v>
      </c>
      <c r="C848" t="s">
        <v>0</v>
      </c>
      <c r="D848" t="s">
        <v>0</v>
      </c>
      <c r="E848" t="s">
        <v>0</v>
      </c>
      <c r="F848" t="str">
        <f>"2018-12-27 19:05:13"</f>
        <v>2018-12-27 19:05:13</v>
      </c>
    </row>
    <row r="849" spans="1:6" x14ac:dyDescent="0.3">
      <c r="A849" t="s">
        <v>0</v>
      </c>
      <c r="B849" t="str">
        <f>"18953438579"</f>
        <v>18953438579</v>
      </c>
      <c r="C849" t="s">
        <v>0</v>
      </c>
      <c r="D849" t="s">
        <v>0</v>
      </c>
      <c r="E849" t="s">
        <v>0</v>
      </c>
      <c r="F849" t="str">
        <f>"2018-12-27 19:05:12"</f>
        <v>2018-12-27 19:05:12</v>
      </c>
    </row>
    <row r="850" spans="1:6" x14ac:dyDescent="0.3">
      <c r="A850" t="s">
        <v>0</v>
      </c>
      <c r="B850" t="str">
        <f>"15849655747"</f>
        <v>15849655747</v>
      </c>
      <c r="C850" t="s">
        <v>0</v>
      </c>
      <c r="D850" t="s">
        <v>0</v>
      </c>
      <c r="E850" t="s">
        <v>0</v>
      </c>
      <c r="F850" t="str">
        <f>"2018-12-27 19:03:47"</f>
        <v>2018-12-27 19:03:47</v>
      </c>
    </row>
    <row r="851" spans="1:6" x14ac:dyDescent="0.3">
      <c r="A851" t="s">
        <v>0</v>
      </c>
      <c r="B851" t="str">
        <f>"18617420318"</f>
        <v>18617420318</v>
      </c>
      <c r="C851" t="s">
        <v>0</v>
      </c>
      <c r="D851" t="s">
        <v>0</v>
      </c>
      <c r="E851" t="s">
        <v>0</v>
      </c>
      <c r="F851" t="str">
        <f>"2018-12-27 19:03:42"</f>
        <v>2018-12-27 19:03:42</v>
      </c>
    </row>
    <row r="852" spans="1:6" x14ac:dyDescent="0.3">
      <c r="A852" t="s">
        <v>0</v>
      </c>
      <c r="B852" t="str">
        <f>"13234161023"</f>
        <v>13234161023</v>
      </c>
      <c r="C852" t="s">
        <v>0</v>
      </c>
      <c r="D852" t="s">
        <v>0</v>
      </c>
      <c r="E852" t="s">
        <v>0</v>
      </c>
      <c r="F852" t="str">
        <f>"2018-12-27 19:03:35"</f>
        <v>2018-12-27 19:03:35</v>
      </c>
    </row>
    <row r="853" spans="1:6" x14ac:dyDescent="0.3">
      <c r="A853" t="s">
        <v>0</v>
      </c>
      <c r="B853" t="str">
        <f>"15624862925"</f>
        <v>15624862925</v>
      </c>
      <c r="C853" t="s">
        <v>0</v>
      </c>
      <c r="D853" t="s">
        <v>0</v>
      </c>
      <c r="E853" t="s">
        <v>0</v>
      </c>
      <c r="F853" t="str">
        <f>"2018-12-27 19:02:57"</f>
        <v>2018-12-27 19:02:57</v>
      </c>
    </row>
    <row r="854" spans="1:6" x14ac:dyDescent="0.3">
      <c r="A854" t="s">
        <v>0</v>
      </c>
      <c r="B854" t="str">
        <f>"13639457098"</f>
        <v>13639457098</v>
      </c>
      <c r="C854" t="s">
        <v>0</v>
      </c>
      <c r="D854" t="s">
        <v>0</v>
      </c>
      <c r="E854" t="s">
        <v>0</v>
      </c>
      <c r="F854" t="str">
        <f>"2018-12-27 19:02:39"</f>
        <v>2018-12-27 19:02:39</v>
      </c>
    </row>
    <row r="855" spans="1:6" x14ac:dyDescent="0.3">
      <c r="A855" t="s">
        <v>0</v>
      </c>
      <c r="B855" t="str">
        <f>"15661438776"</f>
        <v>15661438776</v>
      </c>
      <c r="C855" t="s">
        <v>0</v>
      </c>
      <c r="D855" t="s">
        <v>0</v>
      </c>
      <c r="E855" t="s">
        <v>0</v>
      </c>
      <c r="F855" t="str">
        <f>"2018-12-27 19:02:16"</f>
        <v>2018-12-27 19:02:16</v>
      </c>
    </row>
    <row r="856" spans="1:6" x14ac:dyDescent="0.3">
      <c r="A856" t="s">
        <v>0</v>
      </c>
      <c r="B856" t="str">
        <f>"13904966942"</f>
        <v>13904966942</v>
      </c>
      <c r="C856" t="s">
        <v>0</v>
      </c>
      <c r="D856" t="s">
        <v>0</v>
      </c>
      <c r="E856" t="s">
        <v>0</v>
      </c>
      <c r="F856" t="str">
        <f>"2018-12-27 19:01:16"</f>
        <v>2018-12-27 19:01:16</v>
      </c>
    </row>
    <row r="857" spans="1:6" x14ac:dyDescent="0.3">
      <c r="A857" t="s">
        <v>0</v>
      </c>
      <c r="B857" t="str">
        <f>"13531495651"</f>
        <v>13531495651</v>
      </c>
      <c r="C857" t="s">
        <v>0</v>
      </c>
      <c r="D857" t="s">
        <v>0</v>
      </c>
      <c r="E857" t="s">
        <v>0</v>
      </c>
      <c r="F857" t="str">
        <f>"2018-12-27 19:01:07"</f>
        <v>2018-12-27 19:01:07</v>
      </c>
    </row>
    <row r="858" spans="1:6" x14ac:dyDescent="0.3">
      <c r="A858" t="s">
        <v>1466</v>
      </c>
      <c r="B858" t="str">
        <f>"18629450542"</f>
        <v>18629450542</v>
      </c>
      <c r="C858" t="str">
        <f>"610222199002250032"</f>
        <v>610222199002250032</v>
      </c>
      <c r="D858" t="s">
        <v>1467</v>
      </c>
      <c r="E858" t="s">
        <v>1468</v>
      </c>
      <c r="F858" t="str">
        <f>"2018-12-27 18:44:33"</f>
        <v>2018-12-27 18:44:33</v>
      </c>
    </row>
    <row r="859" spans="1:6" x14ac:dyDescent="0.3">
      <c r="A859" t="s">
        <v>0</v>
      </c>
      <c r="B859" t="str">
        <f>"13130699376"</f>
        <v>13130699376</v>
      </c>
      <c r="C859" t="s">
        <v>0</v>
      </c>
      <c r="D859" t="s">
        <v>0</v>
      </c>
      <c r="E859" t="s">
        <v>0</v>
      </c>
      <c r="F859" t="str">
        <f>"2018-12-27 18:34:54"</f>
        <v>2018-12-27 18:34:54</v>
      </c>
    </row>
    <row r="860" spans="1:6" x14ac:dyDescent="0.3">
      <c r="A860" t="s">
        <v>0</v>
      </c>
      <c r="B860" t="str">
        <f>"17632820061"</f>
        <v>17632820061</v>
      </c>
      <c r="C860" t="s">
        <v>0</v>
      </c>
      <c r="D860" t="s">
        <v>0</v>
      </c>
      <c r="E860" t="s">
        <v>0</v>
      </c>
      <c r="F860" t="str">
        <f>"2018-12-27 18:27:59"</f>
        <v>2018-12-27 18:27:59</v>
      </c>
    </row>
    <row r="861" spans="1:6" x14ac:dyDescent="0.3">
      <c r="A861" t="s">
        <v>0</v>
      </c>
      <c r="B861" t="str">
        <f>"18645988561"</f>
        <v>18645988561</v>
      </c>
      <c r="C861" t="s">
        <v>0</v>
      </c>
      <c r="D861" t="s">
        <v>0</v>
      </c>
      <c r="E861" t="s">
        <v>0</v>
      </c>
      <c r="F861" t="str">
        <f>"2018-12-27 18:27:10"</f>
        <v>2018-12-27 18:27:10</v>
      </c>
    </row>
    <row r="862" spans="1:6" x14ac:dyDescent="0.3">
      <c r="A862" t="s">
        <v>0</v>
      </c>
      <c r="B862" t="str">
        <f>"13711327159"</f>
        <v>13711327159</v>
      </c>
      <c r="C862" t="s">
        <v>0</v>
      </c>
      <c r="D862" t="s">
        <v>0</v>
      </c>
      <c r="E862" t="s">
        <v>0</v>
      </c>
      <c r="F862" t="str">
        <f>"2018-12-27 18:24:41"</f>
        <v>2018-12-27 18:24:41</v>
      </c>
    </row>
    <row r="863" spans="1:6" x14ac:dyDescent="0.3">
      <c r="A863" t="s">
        <v>0</v>
      </c>
      <c r="B863" t="str">
        <f>"13100890588"</f>
        <v>13100890588</v>
      </c>
      <c r="C863" t="s">
        <v>0</v>
      </c>
      <c r="D863" t="s">
        <v>0</v>
      </c>
      <c r="E863" t="s">
        <v>0</v>
      </c>
      <c r="F863" t="str">
        <f>"2018-12-27 18:18:54"</f>
        <v>2018-12-27 18:18:54</v>
      </c>
    </row>
    <row r="864" spans="1:6" x14ac:dyDescent="0.3">
      <c r="A864" t="s">
        <v>0</v>
      </c>
      <c r="B864" t="str">
        <f>"15100846157"</f>
        <v>15100846157</v>
      </c>
      <c r="C864" t="s">
        <v>0</v>
      </c>
      <c r="D864" t="s">
        <v>0</v>
      </c>
      <c r="E864" t="s">
        <v>0</v>
      </c>
      <c r="F864" t="str">
        <f>"2018-12-27 18:15:03"</f>
        <v>2018-12-27 18:15:03</v>
      </c>
    </row>
    <row r="865" spans="1:6" x14ac:dyDescent="0.3">
      <c r="A865" t="s">
        <v>0</v>
      </c>
      <c r="B865" t="str">
        <f>"15246088118"</f>
        <v>15246088118</v>
      </c>
      <c r="C865" t="s">
        <v>0</v>
      </c>
      <c r="D865" t="s">
        <v>0</v>
      </c>
      <c r="E865" t="s">
        <v>0</v>
      </c>
      <c r="F865" t="str">
        <f>"2018-12-27 17:59:40"</f>
        <v>2018-12-27 17:59:40</v>
      </c>
    </row>
    <row r="866" spans="1:6" x14ac:dyDescent="0.3">
      <c r="A866" t="s">
        <v>0</v>
      </c>
      <c r="B866" t="str">
        <f>"13105599409"</f>
        <v>13105599409</v>
      </c>
      <c r="C866" t="s">
        <v>0</v>
      </c>
      <c r="D866" t="s">
        <v>0</v>
      </c>
      <c r="E866" t="s">
        <v>0</v>
      </c>
      <c r="F866" t="str">
        <f>"2018-12-27 17:57:37"</f>
        <v>2018-12-27 17:57:37</v>
      </c>
    </row>
    <row r="867" spans="1:6" x14ac:dyDescent="0.3">
      <c r="A867" t="s">
        <v>0</v>
      </c>
      <c r="B867" t="str">
        <f>"13058910045"</f>
        <v>13058910045</v>
      </c>
      <c r="C867" t="s">
        <v>0</v>
      </c>
      <c r="D867" t="s">
        <v>0</v>
      </c>
      <c r="E867" t="s">
        <v>0</v>
      </c>
      <c r="F867" t="str">
        <f>"2018-12-27 17:55:42"</f>
        <v>2018-12-27 17:55:42</v>
      </c>
    </row>
    <row r="868" spans="1:6" x14ac:dyDescent="0.3">
      <c r="A868" t="s">
        <v>0</v>
      </c>
      <c r="B868" t="str">
        <f>"18139978293"</f>
        <v>18139978293</v>
      </c>
      <c r="C868" t="s">
        <v>0</v>
      </c>
      <c r="D868" t="s">
        <v>0</v>
      </c>
      <c r="E868" t="s">
        <v>0</v>
      </c>
      <c r="F868" t="str">
        <f>"2018-12-27 17:55:22"</f>
        <v>2018-12-27 17:55:22</v>
      </c>
    </row>
    <row r="869" spans="1:6" x14ac:dyDescent="0.3">
      <c r="A869" t="s">
        <v>0</v>
      </c>
      <c r="B869" t="str">
        <f>"15103402457"</f>
        <v>15103402457</v>
      </c>
      <c r="C869" t="s">
        <v>0</v>
      </c>
      <c r="D869" t="s">
        <v>0</v>
      </c>
      <c r="E869" t="s">
        <v>0</v>
      </c>
      <c r="F869" t="str">
        <f>"2018-12-27 17:55:07"</f>
        <v>2018-12-27 17:55:07</v>
      </c>
    </row>
    <row r="870" spans="1:6" x14ac:dyDescent="0.3">
      <c r="A870" t="s">
        <v>0</v>
      </c>
      <c r="B870" t="str">
        <f>"18919830445"</f>
        <v>18919830445</v>
      </c>
      <c r="C870" t="s">
        <v>0</v>
      </c>
      <c r="D870" t="s">
        <v>0</v>
      </c>
      <c r="E870" t="s">
        <v>0</v>
      </c>
      <c r="F870" t="str">
        <f>"2018-12-27 17:54:33"</f>
        <v>2018-12-27 17:54:33</v>
      </c>
    </row>
    <row r="871" spans="1:6" x14ac:dyDescent="0.3">
      <c r="A871" t="s">
        <v>0</v>
      </c>
      <c r="B871" t="str">
        <f>"13582392241"</f>
        <v>13582392241</v>
      </c>
      <c r="C871" t="s">
        <v>0</v>
      </c>
      <c r="D871" t="s">
        <v>0</v>
      </c>
      <c r="E871" t="s">
        <v>0</v>
      </c>
      <c r="F871" t="str">
        <f>"2018-12-27 17:52:57"</f>
        <v>2018-12-27 17:52:57</v>
      </c>
    </row>
    <row r="872" spans="1:6" x14ac:dyDescent="0.3">
      <c r="A872" t="s">
        <v>0</v>
      </c>
      <c r="B872" t="str">
        <f>"15829593652"</f>
        <v>15829593652</v>
      </c>
      <c r="C872" t="s">
        <v>0</v>
      </c>
      <c r="D872" t="s">
        <v>0</v>
      </c>
      <c r="E872" t="s">
        <v>0</v>
      </c>
      <c r="F872" t="str">
        <f>"2018-12-27 17:52:31"</f>
        <v>2018-12-27 17:52:31</v>
      </c>
    </row>
    <row r="873" spans="1:6" x14ac:dyDescent="0.3">
      <c r="A873" t="s">
        <v>0</v>
      </c>
      <c r="B873" t="str">
        <f>"15643678638"</f>
        <v>15643678638</v>
      </c>
      <c r="C873" t="s">
        <v>0</v>
      </c>
      <c r="D873" t="s">
        <v>0</v>
      </c>
      <c r="E873" t="s">
        <v>0</v>
      </c>
      <c r="F873" t="str">
        <f>"2018-12-27 17:47:28"</f>
        <v>2018-12-27 17:47:28</v>
      </c>
    </row>
    <row r="874" spans="1:6" x14ac:dyDescent="0.3">
      <c r="A874" t="s">
        <v>0</v>
      </c>
      <c r="B874" t="str">
        <f>"15943677387"</f>
        <v>15943677387</v>
      </c>
      <c r="C874" t="s">
        <v>0</v>
      </c>
      <c r="D874" t="s">
        <v>0</v>
      </c>
      <c r="E874" t="s">
        <v>0</v>
      </c>
      <c r="F874" t="str">
        <f>"2018-12-27 17:45:53"</f>
        <v>2018-12-27 17:45:53</v>
      </c>
    </row>
    <row r="875" spans="1:6" x14ac:dyDescent="0.3">
      <c r="A875" t="s">
        <v>0</v>
      </c>
      <c r="B875" t="str">
        <f>"15768824881"</f>
        <v>15768824881</v>
      </c>
      <c r="C875" t="s">
        <v>0</v>
      </c>
      <c r="D875" t="s">
        <v>0</v>
      </c>
      <c r="E875" t="s">
        <v>0</v>
      </c>
      <c r="F875" t="str">
        <f>"2018-12-27 17:45:47"</f>
        <v>2018-12-27 17:45:47</v>
      </c>
    </row>
    <row r="876" spans="1:6" x14ac:dyDescent="0.3">
      <c r="A876" t="s">
        <v>0</v>
      </c>
      <c r="B876" t="str">
        <f>"18935013943"</f>
        <v>18935013943</v>
      </c>
      <c r="C876" t="s">
        <v>0</v>
      </c>
      <c r="D876" t="s">
        <v>0</v>
      </c>
      <c r="E876" t="s">
        <v>0</v>
      </c>
      <c r="F876" t="str">
        <f>"2018-12-27 17:45:36"</f>
        <v>2018-12-27 17:45:36</v>
      </c>
    </row>
    <row r="877" spans="1:6" x14ac:dyDescent="0.3">
      <c r="A877" t="s">
        <v>0</v>
      </c>
      <c r="B877" t="str">
        <f>"15500265366"</f>
        <v>15500265366</v>
      </c>
      <c r="C877" t="s">
        <v>0</v>
      </c>
      <c r="D877" t="s">
        <v>0</v>
      </c>
      <c r="E877" t="s">
        <v>0</v>
      </c>
      <c r="F877" t="str">
        <f>"2018-12-27 17:44:45"</f>
        <v>2018-12-27 17:44:45</v>
      </c>
    </row>
    <row r="878" spans="1:6" x14ac:dyDescent="0.3">
      <c r="A878" t="s">
        <v>0</v>
      </c>
      <c r="B878" t="str">
        <f>"15945013755"</f>
        <v>15945013755</v>
      </c>
      <c r="C878" t="s">
        <v>0</v>
      </c>
      <c r="D878" t="s">
        <v>0</v>
      </c>
      <c r="E878" t="s">
        <v>0</v>
      </c>
      <c r="F878" t="str">
        <f>"2018-12-27 17:44:43"</f>
        <v>2018-12-27 17:44:43</v>
      </c>
    </row>
    <row r="879" spans="1:6" x14ac:dyDescent="0.3">
      <c r="A879" t="s">
        <v>0</v>
      </c>
      <c r="B879" t="str">
        <f>"13674654882"</f>
        <v>13674654882</v>
      </c>
      <c r="C879" t="s">
        <v>0</v>
      </c>
      <c r="D879" t="s">
        <v>0</v>
      </c>
      <c r="E879" t="s">
        <v>0</v>
      </c>
      <c r="F879" t="str">
        <f>"2018-12-27 17:44:25"</f>
        <v>2018-12-27 17:44:25</v>
      </c>
    </row>
    <row r="880" spans="1:6" x14ac:dyDescent="0.3">
      <c r="A880" t="s">
        <v>0</v>
      </c>
      <c r="B880" t="str">
        <f>"13125925169"</f>
        <v>13125925169</v>
      </c>
      <c r="C880" t="s">
        <v>0</v>
      </c>
      <c r="D880" t="s">
        <v>0</v>
      </c>
      <c r="E880" t="s">
        <v>0</v>
      </c>
      <c r="F880" t="str">
        <f>"2018-12-27 17:43:39"</f>
        <v>2018-12-27 17:43:39</v>
      </c>
    </row>
    <row r="881" spans="1:6" x14ac:dyDescent="0.3">
      <c r="A881" t="s">
        <v>0</v>
      </c>
      <c r="B881" t="str">
        <f>"15676241340"</f>
        <v>15676241340</v>
      </c>
      <c r="C881" t="s">
        <v>0</v>
      </c>
      <c r="D881" t="s">
        <v>0</v>
      </c>
      <c r="E881" t="s">
        <v>0</v>
      </c>
      <c r="F881" t="str">
        <f>"2018-12-27 17:43:09"</f>
        <v>2018-12-27 17:43:09</v>
      </c>
    </row>
    <row r="882" spans="1:6" x14ac:dyDescent="0.3">
      <c r="A882" t="s">
        <v>0</v>
      </c>
      <c r="B882" t="str">
        <f>"15643678636"</f>
        <v>15643678636</v>
      </c>
      <c r="C882" t="s">
        <v>0</v>
      </c>
      <c r="D882" t="s">
        <v>0</v>
      </c>
      <c r="E882" t="s">
        <v>0</v>
      </c>
      <c r="F882" t="str">
        <f>"2018-12-27 17:43:00"</f>
        <v>2018-12-27 17:43:00</v>
      </c>
    </row>
    <row r="883" spans="1:6" x14ac:dyDescent="0.3">
      <c r="A883" t="s">
        <v>0</v>
      </c>
      <c r="B883" t="str">
        <f>"15034440732"</f>
        <v>15034440732</v>
      </c>
      <c r="C883" t="s">
        <v>0</v>
      </c>
      <c r="D883" t="s">
        <v>0</v>
      </c>
      <c r="E883" t="s">
        <v>0</v>
      </c>
      <c r="F883" t="str">
        <f>"2018-12-27 17:42:40"</f>
        <v>2018-12-27 17:42:40</v>
      </c>
    </row>
    <row r="884" spans="1:6" x14ac:dyDescent="0.3">
      <c r="A884" t="s">
        <v>0</v>
      </c>
      <c r="B884" t="str">
        <f>"13284087866"</f>
        <v>13284087866</v>
      </c>
      <c r="C884" t="s">
        <v>0</v>
      </c>
      <c r="D884" t="s">
        <v>0</v>
      </c>
      <c r="E884" t="s">
        <v>0</v>
      </c>
      <c r="F884" t="str">
        <f>"2018-12-27 17:42:35"</f>
        <v>2018-12-27 17:42:35</v>
      </c>
    </row>
    <row r="885" spans="1:6" x14ac:dyDescent="0.3">
      <c r="A885" t="s">
        <v>0</v>
      </c>
      <c r="B885" t="str">
        <f>"15363684002"</f>
        <v>15363684002</v>
      </c>
      <c r="C885" t="s">
        <v>0</v>
      </c>
      <c r="D885" t="s">
        <v>0</v>
      </c>
      <c r="E885" t="s">
        <v>0</v>
      </c>
      <c r="F885" t="str">
        <f>"2018-12-27 17:42:21"</f>
        <v>2018-12-27 17:42:21</v>
      </c>
    </row>
    <row r="886" spans="1:6" x14ac:dyDescent="0.3">
      <c r="A886" t="s">
        <v>0</v>
      </c>
      <c r="B886" t="str">
        <f>"18643668150"</f>
        <v>18643668150</v>
      </c>
      <c r="C886" t="s">
        <v>0</v>
      </c>
      <c r="D886" t="s">
        <v>0</v>
      </c>
      <c r="E886" t="s">
        <v>0</v>
      </c>
      <c r="F886" t="str">
        <f>"2018-12-27 17:41:55"</f>
        <v>2018-12-27 17:41:55</v>
      </c>
    </row>
    <row r="887" spans="1:6" x14ac:dyDescent="0.3">
      <c r="A887" t="s">
        <v>0</v>
      </c>
      <c r="B887" t="str">
        <f>"13284977966"</f>
        <v>13284977966</v>
      </c>
      <c r="C887" t="s">
        <v>0</v>
      </c>
      <c r="D887" t="s">
        <v>0</v>
      </c>
      <c r="E887" t="s">
        <v>0</v>
      </c>
      <c r="F887" t="str">
        <f>"2018-12-27 17:41:50"</f>
        <v>2018-12-27 17:41:50</v>
      </c>
    </row>
    <row r="888" spans="1:6" x14ac:dyDescent="0.3">
      <c r="A888" t="s">
        <v>0</v>
      </c>
      <c r="B888" t="str">
        <f>"15046159126"</f>
        <v>15046159126</v>
      </c>
      <c r="C888" t="s">
        <v>0</v>
      </c>
      <c r="D888" t="s">
        <v>0</v>
      </c>
      <c r="E888" t="s">
        <v>0</v>
      </c>
      <c r="F888" t="str">
        <f>"2018-12-27 17:41:46"</f>
        <v>2018-12-27 17:41:46</v>
      </c>
    </row>
    <row r="889" spans="1:6" x14ac:dyDescent="0.3">
      <c r="A889" t="s">
        <v>0</v>
      </c>
      <c r="B889" t="str">
        <f>"18447284247"</f>
        <v>18447284247</v>
      </c>
      <c r="C889" t="s">
        <v>0</v>
      </c>
      <c r="D889" t="s">
        <v>0</v>
      </c>
      <c r="E889" t="s">
        <v>0</v>
      </c>
      <c r="F889" t="str">
        <f>"2018-12-27 17:41:12"</f>
        <v>2018-12-27 17:41:12</v>
      </c>
    </row>
    <row r="890" spans="1:6" x14ac:dyDescent="0.3">
      <c r="A890" t="s">
        <v>0</v>
      </c>
      <c r="B890" t="str">
        <f>"13209986285"</f>
        <v>13209986285</v>
      </c>
      <c r="C890" t="s">
        <v>0</v>
      </c>
      <c r="D890" t="s">
        <v>0</v>
      </c>
      <c r="E890" t="s">
        <v>0</v>
      </c>
      <c r="F890" t="str">
        <f>"2018-12-27 17:41:09"</f>
        <v>2018-12-27 17:41:09</v>
      </c>
    </row>
    <row r="891" spans="1:6" x14ac:dyDescent="0.3">
      <c r="A891" t="s">
        <v>0</v>
      </c>
      <c r="B891" t="str">
        <f>"18242169351"</f>
        <v>18242169351</v>
      </c>
      <c r="C891" t="s">
        <v>0</v>
      </c>
      <c r="D891" t="s">
        <v>0</v>
      </c>
      <c r="E891" t="s">
        <v>0</v>
      </c>
      <c r="F891" t="str">
        <f>"2018-12-27 17:41:07"</f>
        <v>2018-12-27 17:41:07</v>
      </c>
    </row>
    <row r="892" spans="1:6" x14ac:dyDescent="0.3">
      <c r="A892" t="s">
        <v>0</v>
      </c>
      <c r="B892" t="str">
        <f>"13836849338"</f>
        <v>13836849338</v>
      </c>
      <c r="C892" t="s">
        <v>0</v>
      </c>
      <c r="D892" t="s">
        <v>0</v>
      </c>
      <c r="E892" t="s">
        <v>0</v>
      </c>
      <c r="F892" t="str">
        <f>"2018-12-27 17:41:05"</f>
        <v>2018-12-27 17:41:05</v>
      </c>
    </row>
    <row r="893" spans="1:6" x14ac:dyDescent="0.3">
      <c r="A893" t="s">
        <v>0</v>
      </c>
      <c r="B893" t="str">
        <f>"18979797738"</f>
        <v>18979797738</v>
      </c>
      <c r="C893" t="s">
        <v>0</v>
      </c>
      <c r="D893" t="s">
        <v>0</v>
      </c>
      <c r="E893" t="s">
        <v>0</v>
      </c>
      <c r="F893" t="str">
        <f>"2018-12-27 17:40:48"</f>
        <v>2018-12-27 17:40:48</v>
      </c>
    </row>
    <row r="894" spans="1:6" x14ac:dyDescent="0.3">
      <c r="A894" t="s">
        <v>0</v>
      </c>
      <c r="B894" t="str">
        <f>"18743617199"</f>
        <v>18743617199</v>
      </c>
      <c r="C894" t="s">
        <v>0</v>
      </c>
      <c r="D894" t="s">
        <v>0</v>
      </c>
      <c r="E894" t="s">
        <v>0</v>
      </c>
      <c r="F894" t="str">
        <f>"2018-12-27 17:40:41"</f>
        <v>2018-12-27 17:40:41</v>
      </c>
    </row>
    <row r="895" spans="1:6" x14ac:dyDescent="0.3">
      <c r="A895" t="s">
        <v>0</v>
      </c>
      <c r="B895" t="str">
        <f>"15542105227"</f>
        <v>15542105227</v>
      </c>
      <c r="C895" t="s">
        <v>0</v>
      </c>
      <c r="D895" t="s">
        <v>0</v>
      </c>
      <c r="E895" t="s">
        <v>0</v>
      </c>
      <c r="F895" t="str">
        <f>"2018-12-27 17:40:29"</f>
        <v>2018-12-27 17:40:29</v>
      </c>
    </row>
    <row r="896" spans="1:6" x14ac:dyDescent="0.3">
      <c r="A896" t="s">
        <v>0</v>
      </c>
      <c r="B896" t="str">
        <f>"17827714917"</f>
        <v>17827714917</v>
      </c>
      <c r="C896" t="s">
        <v>0</v>
      </c>
      <c r="D896" t="s">
        <v>0</v>
      </c>
      <c r="E896" t="s">
        <v>0</v>
      </c>
      <c r="F896" t="str">
        <f>"2018-12-27 17:40:11"</f>
        <v>2018-12-27 17:40:11</v>
      </c>
    </row>
    <row r="897" spans="1:6" x14ac:dyDescent="0.3">
      <c r="A897" t="s">
        <v>0</v>
      </c>
      <c r="B897" t="str">
        <f>"18245757631"</f>
        <v>18245757631</v>
      </c>
      <c r="C897" t="s">
        <v>0</v>
      </c>
      <c r="D897" t="s">
        <v>0</v>
      </c>
      <c r="E897" t="s">
        <v>0</v>
      </c>
      <c r="F897" t="str">
        <f>"2018-12-27 17:40:04"</f>
        <v>2018-12-27 17:40:04</v>
      </c>
    </row>
    <row r="898" spans="1:6" x14ac:dyDescent="0.3">
      <c r="A898" t="s">
        <v>0</v>
      </c>
      <c r="B898" t="str">
        <f>"18447280018"</f>
        <v>18447280018</v>
      </c>
      <c r="C898" t="s">
        <v>0</v>
      </c>
      <c r="D898" t="s">
        <v>0</v>
      </c>
      <c r="E898" t="s">
        <v>0</v>
      </c>
      <c r="F898" t="str">
        <f>"2018-12-27 17:40:01"</f>
        <v>2018-12-27 17:40:01</v>
      </c>
    </row>
    <row r="899" spans="1:6" x14ac:dyDescent="0.3">
      <c r="A899" t="s">
        <v>0</v>
      </c>
      <c r="B899" t="str">
        <f>"13029706882"</f>
        <v>13029706882</v>
      </c>
      <c r="C899" t="s">
        <v>0</v>
      </c>
      <c r="D899" t="s">
        <v>0</v>
      </c>
      <c r="E899" t="s">
        <v>0</v>
      </c>
      <c r="F899" t="str">
        <f>"2018-12-27 17:39:29"</f>
        <v>2018-12-27 17:39:29</v>
      </c>
    </row>
    <row r="900" spans="1:6" x14ac:dyDescent="0.3">
      <c r="A900" t="s">
        <v>0</v>
      </c>
      <c r="B900" t="str">
        <f>"17555173653"</f>
        <v>17555173653</v>
      </c>
      <c r="C900" t="s">
        <v>0</v>
      </c>
      <c r="D900" t="s">
        <v>0</v>
      </c>
      <c r="E900" t="s">
        <v>0</v>
      </c>
      <c r="F900" t="str">
        <f>"2018-12-27 17:36:37"</f>
        <v>2018-12-27 17:36:37</v>
      </c>
    </row>
    <row r="901" spans="1:6" x14ac:dyDescent="0.3">
      <c r="A901" t="s">
        <v>0</v>
      </c>
      <c r="B901" t="str">
        <f>"18765197021"</f>
        <v>18765197021</v>
      </c>
      <c r="C901" t="s">
        <v>0</v>
      </c>
      <c r="D901" t="s">
        <v>0</v>
      </c>
      <c r="E901" t="s">
        <v>0</v>
      </c>
      <c r="F901" t="str">
        <f>"2018-12-27 17:35:33"</f>
        <v>2018-12-27 17:35:33</v>
      </c>
    </row>
    <row r="902" spans="1:6" x14ac:dyDescent="0.3">
      <c r="A902" t="s">
        <v>0</v>
      </c>
      <c r="B902" t="str">
        <f>"15164559820"</f>
        <v>15164559820</v>
      </c>
      <c r="C902" t="s">
        <v>0</v>
      </c>
      <c r="D902" t="s">
        <v>0</v>
      </c>
      <c r="E902" t="s">
        <v>0</v>
      </c>
      <c r="F902" t="str">
        <f>"2018-12-27 17:35:02"</f>
        <v>2018-12-27 17:35:02</v>
      </c>
    </row>
    <row r="903" spans="1:6" x14ac:dyDescent="0.3">
      <c r="A903" t="s">
        <v>0</v>
      </c>
      <c r="B903" t="str">
        <f>"18536051579"</f>
        <v>18536051579</v>
      </c>
      <c r="C903" t="s">
        <v>0</v>
      </c>
      <c r="D903" t="s">
        <v>0</v>
      </c>
      <c r="E903" t="s">
        <v>0</v>
      </c>
      <c r="F903" t="str">
        <f>"2018-12-27 17:34:06"</f>
        <v>2018-12-27 17:34:06</v>
      </c>
    </row>
    <row r="904" spans="1:6" x14ac:dyDescent="0.3">
      <c r="A904" t="s">
        <v>0</v>
      </c>
      <c r="B904" t="str">
        <f>"15164559821"</f>
        <v>15164559821</v>
      </c>
      <c r="C904" t="s">
        <v>0</v>
      </c>
      <c r="D904" t="s">
        <v>0</v>
      </c>
      <c r="E904" t="s">
        <v>0</v>
      </c>
      <c r="F904" t="str">
        <f>"2018-12-27 17:32:43"</f>
        <v>2018-12-27 17:32:43</v>
      </c>
    </row>
    <row r="905" spans="1:6" x14ac:dyDescent="0.3">
      <c r="A905" t="s">
        <v>0</v>
      </c>
      <c r="B905" t="str">
        <f>"15264837297"</f>
        <v>15264837297</v>
      </c>
      <c r="C905" t="s">
        <v>0</v>
      </c>
      <c r="D905" t="s">
        <v>0</v>
      </c>
      <c r="E905" t="s">
        <v>0</v>
      </c>
      <c r="F905" t="str">
        <f>"2018-12-27 17:31:25"</f>
        <v>2018-12-27 17:31:25</v>
      </c>
    </row>
    <row r="906" spans="1:6" x14ac:dyDescent="0.3">
      <c r="A906" t="s">
        <v>0</v>
      </c>
      <c r="B906" t="str">
        <f>"18249679983"</f>
        <v>18249679983</v>
      </c>
      <c r="C906" t="s">
        <v>0</v>
      </c>
      <c r="D906" t="s">
        <v>0</v>
      </c>
      <c r="E906" t="s">
        <v>0</v>
      </c>
      <c r="F906" t="str">
        <f>"2018-12-27 17:31:11"</f>
        <v>2018-12-27 17:31:11</v>
      </c>
    </row>
    <row r="907" spans="1:6" x14ac:dyDescent="0.3">
      <c r="A907" t="s">
        <v>0</v>
      </c>
      <c r="B907" t="str">
        <f>"17743341600"</f>
        <v>17743341600</v>
      </c>
      <c r="C907" t="s">
        <v>0</v>
      </c>
      <c r="D907" t="s">
        <v>0</v>
      </c>
      <c r="E907" t="s">
        <v>0</v>
      </c>
      <c r="F907" t="str">
        <f>"2018-12-27 17:31:09"</f>
        <v>2018-12-27 17:31:09</v>
      </c>
    </row>
    <row r="908" spans="1:6" x14ac:dyDescent="0.3">
      <c r="A908" t="s">
        <v>0</v>
      </c>
      <c r="B908" t="str">
        <f>"13082448342"</f>
        <v>13082448342</v>
      </c>
      <c r="C908" t="s">
        <v>0</v>
      </c>
      <c r="D908" t="s">
        <v>0</v>
      </c>
      <c r="E908" t="s">
        <v>0</v>
      </c>
      <c r="F908" t="str">
        <f>"2018-12-27 17:30:40"</f>
        <v>2018-12-27 17:30:40</v>
      </c>
    </row>
    <row r="909" spans="1:6" x14ac:dyDescent="0.3">
      <c r="A909" t="s">
        <v>0</v>
      </c>
      <c r="B909" t="str">
        <f>"18331760673"</f>
        <v>18331760673</v>
      </c>
      <c r="C909" t="s">
        <v>0</v>
      </c>
      <c r="D909" t="s">
        <v>0</v>
      </c>
      <c r="E909" t="s">
        <v>0</v>
      </c>
      <c r="F909" t="str">
        <f>"2018-12-27 17:29:43"</f>
        <v>2018-12-27 17:29:43</v>
      </c>
    </row>
    <row r="910" spans="1:6" x14ac:dyDescent="0.3">
      <c r="A910" t="s">
        <v>0</v>
      </c>
      <c r="B910" t="str">
        <f>"15711065689"</f>
        <v>15711065689</v>
      </c>
      <c r="C910" t="s">
        <v>0</v>
      </c>
      <c r="D910" t="s">
        <v>0</v>
      </c>
      <c r="E910" t="s">
        <v>0</v>
      </c>
      <c r="F910" t="str">
        <f>"2018-12-27 17:29:29"</f>
        <v>2018-12-27 17:29:29</v>
      </c>
    </row>
    <row r="911" spans="1:6" x14ac:dyDescent="0.3">
      <c r="A911" t="s">
        <v>0</v>
      </c>
      <c r="B911" t="str">
        <f>"15765885435"</f>
        <v>15765885435</v>
      </c>
      <c r="C911" t="s">
        <v>0</v>
      </c>
      <c r="D911" t="s">
        <v>0</v>
      </c>
      <c r="E911" t="s">
        <v>0</v>
      </c>
      <c r="F911" t="str">
        <f>"2018-12-27 17:28:50"</f>
        <v>2018-12-27 17:28:50</v>
      </c>
    </row>
    <row r="912" spans="1:6" x14ac:dyDescent="0.3">
      <c r="A912" t="s">
        <v>0</v>
      </c>
      <c r="B912" t="str">
        <f>"13282430648"</f>
        <v>13282430648</v>
      </c>
      <c r="C912" t="s">
        <v>0</v>
      </c>
      <c r="D912" t="s">
        <v>0</v>
      </c>
      <c r="E912" t="s">
        <v>0</v>
      </c>
      <c r="F912" t="str">
        <f>"2018-12-27 17:28:31"</f>
        <v>2018-12-27 17:28:31</v>
      </c>
    </row>
    <row r="913" spans="1:6" x14ac:dyDescent="0.3">
      <c r="A913" t="s">
        <v>0</v>
      </c>
      <c r="B913" t="str">
        <f>"13280113090"</f>
        <v>13280113090</v>
      </c>
      <c r="C913" t="s">
        <v>0</v>
      </c>
      <c r="D913" t="s">
        <v>0</v>
      </c>
      <c r="E913" t="s">
        <v>0</v>
      </c>
      <c r="F913" t="str">
        <f>"2018-12-27 17:28:26"</f>
        <v>2018-12-27 17:28:26</v>
      </c>
    </row>
    <row r="914" spans="1:6" x14ac:dyDescent="0.3">
      <c r="A914" t="s">
        <v>0</v>
      </c>
      <c r="B914" t="str">
        <f>"17640158670"</f>
        <v>17640158670</v>
      </c>
      <c r="C914" t="s">
        <v>0</v>
      </c>
      <c r="D914" t="s">
        <v>0</v>
      </c>
      <c r="E914" t="s">
        <v>0</v>
      </c>
      <c r="F914" t="str">
        <f>"2018-12-27 17:28:24"</f>
        <v>2018-12-27 17:28:24</v>
      </c>
    </row>
    <row r="915" spans="1:6" x14ac:dyDescent="0.3">
      <c r="A915" t="s">
        <v>0</v>
      </c>
      <c r="B915" t="str">
        <f>"13943605810"</f>
        <v>13943605810</v>
      </c>
      <c r="C915" t="s">
        <v>0</v>
      </c>
      <c r="D915" t="s">
        <v>0</v>
      </c>
      <c r="E915" t="s">
        <v>0</v>
      </c>
      <c r="F915" t="str">
        <f>"2018-12-27 17:28:04"</f>
        <v>2018-12-27 17:28:04</v>
      </c>
    </row>
    <row r="916" spans="1:6" x14ac:dyDescent="0.3">
      <c r="A916" t="s">
        <v>0</v>
      </c>
      <c r="B916" t="str">
        <f>"13058894763"</f>
        <v>13058894763</v>
      </c>
      <c r="C916" t="s">
        <v>0</v>
      </c>
      <c r="D916" t="s">
        <v>0</v>
      </c>
      <c r="E916" t="s">
        <v>0</v>
      </c>
      <c r="F916" t="str">
        <f>"2018-12-27 17:27:15"</f>
        <v>2018-12-27 17:27:15</v>
      </c>
    </row>
    <row r="917" spans="1:6" x14ac:dyDescent="0.3">
      <c r="A917" t="s">
        <v>0</v>
      </c>
      <c r="B917" t="str">
        <f>"18232137488"</f>
        <v>18232137488</v>
      </c>
      <c r="C917" t="s">
        <v>0</v>
      </c>
      <c r="D917" t="s">
        <v>0</v>
      </c>
      <c r="E917" t="s">
        <v>0</v>
      </c>
      <c r="F917" t="str">
        <f>"2018-12-27 17:26:57"</f>
        <v>2018-12-27 17:26:57</v>
      </c>
    </row>
    <row r="918" spans="1:6" x14ac:dyDescent="0.3">
      <c r="A918" t="s">
        <v>0</v>
      </c>
      <c r="B918" t="str">
        <f>"13014834815"</f>
        <v>13014834815</v>
      </c>
      <c r="C918" t="s">
        <v>0</v>
      </c>
      <c r="D918" t="s">
        <v>0</v>
      </c>
      <c r="E918" t="s">
        <v>0</v>
      </c>
      <c r="F918" t="str">
        <f>"2018-12-27 17:26:55"</f>
        <v>2018-12-27 17:26:55</v>
      </c>
    </row>
    <row r="919" spans="1:6" x14ac:dyDescent="0.3">
      <c r="A919" t="s">
        <v>0</v>
      </c>
      <c r="B919" t="str">
        <f>"13417641316"</f>
        <v>13417641316</v>
      </c>
      <c r="C919" t="s">
        <v>0</v>
      </c>
      <c r="D919" t="s">
        <v>0</v>
      </c>
      <c r="E919" t="s">
        <v>0</v>
      </c>
      <c r="F919" t="str">
        <f>"2018-12-27 17:26:55"</f>
        <v>2018-12-27 17:26:55</v>
      </c>
    </row>
    <row r="920" spans="1:6" x14ac:dyDescent="0.3">
      <c r="A920" t="s">
        <v>0</v>
      </c>
      <c r="B920" t="str">
        <f>"13175499805"</f>
        <v>13175499805</v>
      </c>
      <c r="C920" t="s">
        <v>0</v>
      </c>
      <c r="D920" t="s">
        <v>0</v>
      </c>
      <c r="E920" t="s">
        <v>0</v>
      </c>
      <c r="F920" t="str">
        <f>"2018-12-27 17:26:50"</f>
        <v>2018-12-27 17:26:50</v>
      </c>
    </row>
    <row r="921" spans="1:6" x14ac:dyDescent="0.3">
      <c r="A921" t="s">
        <v>0</v>
      </c>
      <c r="B921" t="str">
        <f>"18800088098"</f>
        <v>18800088098</v>
      </c>
      <c r="C921" t="s">
        <v>0</v>
      </c>
      <c r="D921" t="s">
        <v>0</v>
      </c>
      <c r="E921" t="s">
        <v>0</v>
      </c>
      <c r="F921" t="str">
        <f>"2018-12-27 17:26:49"</f>
        <v>2018-12-27 17:26:49</v>
      </c>
    </row>
    <row r="922" spans="1:6" x14ac:dyDescent="0.3">
      <c r="A922" t="s">
        <v>0</v>
      </c>
      <c r="B922" t="str">
        <f>"18343652830"</f>
        <v>18343652830</v>
      </c>
      <c r="C922" t="s">
        <v>0</v>
      </c>
      <c r="D922" t="s">
        <v>0</v>
      </c>
      <c r="E922" t="s">
        <v>0</v>
      </c>
      <c r="F922" t="str">
        <f>"2018-12-27 17:26:33"</f>
        <v>2018-12-27 17:26:33</v>
      </c>
    </row>
    <row r="923" spans="1:6" x14ac:dyDescent="0.3">
      <c r="A923" t="s">
        <v>0</v>
      </c>
      <c r="B923" t="str">
        <f>"18898675942"</f>
        <v>18898675942</v>
      </c>
      <c r="C923" t="s">
        <v>0</v>
      </c>
      <c r="D923" t="s">
        <v>0</v>
      </c>
      <c r="E923" t="s">
        <v>0</v>
      </c>
      <c r="F923" t="str">
        <f>"2018-12-27 17:26:06"</f>
        <v>2018-12-27 17:26:06</v>
      </c>
    </row>
    <row r="924" spans="1:6" x14ac:dyDescent="0.3">
      <c r="A924" t="s">
        <v>0</v>
      </c>
      <c r="B924" t="str">
        <f>"13943605610"</f>
        <v>13943605610</v>
      </c>
      <c r="C924" t="s">
        <v>0</v>
      </c>
      <c r="D924" t="s">
        <v>0</v>
      </c>
      <c r="E924" t="s">
        <v>0</v>
      </c>
      <c r="F924" t="str">
        <f>"2018-12-27 17:25:51"</f>
        <v>2018-12-27 17:25:51</v>
      </c>
    </row>
    <row r="925" spans="1:6" x14ac:dyDescent="0.3">
      <c r="A925" t="s">
        <v>0</v>
      </c>
      <c r="B925" t="str">
        <f>"15578198304"</f>
        <v>15578198304</v>
      </c>
      <c r="C925" t="s">
        <v>0</v>
      </c>
      <c r="D925" t="s">
        <v>0</v>
      </c>
      <c r="E925" t="s">
        <v>0</v>
      </c>
      <c r="F925" t="str">
        <f>"2018-12-27 17:25:21"</f>
        <v>2018-12-27 17:25:21</v>
      </c>
    </row>
    <row r="926" spans="1:6" x14ac:dyDescent="0.3">
      <c r="A926" t="s">
        <v>0</v>
      </c>
      <c r="B926" t="str">
        <f>"13421100859"</f>
        <v>13421100859</v>
      </c>
      <c r="C926" t="s">
        <v>0</v>
      </c>
      <c r="D926" t="s">
        <v>0</v>
      </c>
      <c r="E926" t="s">
        <v>0</v>
      </c>
      <c r="F926" t="str">
        <f>"2018-12-27 17:25:14"</f>
        <v>2018-12-27 17:25:14</v>
      </c>
    </row>
    <row r="927" spans="1:6" x14ac:dyDescent="0.3">
      <c r="A927" t="s">
        <v>0</v>
      </c>
      <c r="B927" t="str">
        <f>"18718286945"</f>
        <v>18718286945</v>
      </c>
      <c r="C927" t="s">
        <v>0</v>
      </c>
      <c r="D927" t="s">
        <v>0</v>
      </c>
      <c r="E927" t="s">
        <v>0</v>
      </c>
      <c r="F927" t="str">
        <f>"2018-12-27 17:25:13"</f>
        <v>2018-12-27 17:25:13</v>
      </c>
    </row>
    <row r="928" spans="1:6" x14ac:dyDescent="0.3">
      <c r="A928" t="s">
        <v>0</v>
      </c>
      <c r="B928" t="str">
        <f>"18343652831"</f>
        <v>18343652831</v>
      </c>
      <c r="C928" t="s">
        <v>0</v>
      </c>
      <c r="D928" t="s">
        <v>0</v>
      </c>
      <c r="E928" t="s">
        <v>0</v>
      </c>
      <c r="F928" t="str">
        <f>"2018-12-27 17:24:14"</f>
        <v>2018-12-27 17:24:14</v>
      </c>
    </row>
    <row r="929" spans="1:6" x14ac:dyDescent="0.3">
      <c r="A929" t="s">
        <v>0</v>
      </c>
      <c r="B929" t="str">
        <f>"15543991233"</f>
        <v>15543991233</v>
      </c>
      <c r="C929" t="s">
        <v>0</v>
      </c>
      <c r="D929" t="s">
        <v>0</v>
      </c>
      <c r="E929" t="s">
        <v>0</v>
      </c>
      <c r="F929" t="str">
        <f>"2018-12-27 17:22:51"</f>
        <v>2018-12-27 17:22:51</v>
      </c>
    </row>
    <row r="930" spans="1:6" x14ac:dyDescent="0.3">
      <c r="A930" t="s">
        <v>0</v>
      </c>
      <c r="B930" t="str">
        <f>"15507027141"</f>
        <v>15507027141</v>
      </c>
      <c r="C930" t="s">
        <v>0</v>
      </c>
      <c r="D930" t="s">
        <v>0</v>
      </c>
      <c r="E930" t="s">
        <v>0</v>
      </c>
      <c r="F930" t="str">
        <f>"2018-12-27 17:22:16"</f>
        <v>2018-12-27 17:22:16</v>
      </c>
    </row>
    <row r="931" spans="1:6" x14ac:dyDescent="0.3">
      <c r="A931" t="s">
        <v>0</v>
      </c>
      <c r="B931" t="str">
        <f>"13093860498"</f>
        <v>13093860498</v>
      </c>
      <c r="C931" t="s">
        <v>0</v>
      </c>
      <c r="D931" t="s">
        <v>0</v>
      </c>
      <c r="E931" t="s">
        <v>0</v>
      </c>
      <c r="F931" t="str">
        <f>"2018-12-27 17:21:47"</f>
        <v>2018-12-27 17:21:47</v>
      </c>
    </row>
    <row r="932" spans="1:6" x14ac:dyDescent="0.3">
      <c r="A932" t="s">
        <v>0</v>
      </c>
      <c r="B932" t="str">
        <f>"18925953659"</f>
        <v>18925953659</v>
      </c>
      <c r="C932" t="s">
        <v>0</v>
      </c>
      <c r="D932" t="s">
        <v>0</v>
      </c>
      <c r="E932" t="s">
        <v>0</v>
      </c>
      <c r="F932" t="str">
        <f>"2018-12-27 17:14:43"</f>
        <v>2018-12-27 17:14:43</v>
      </c>
    </row>
    <row r="933" spans="1:6" x14ac:dyDescent="0.3">
      <c r="A933" t="s">
        <v>0</v>
      </c>
      <c r="B933" t="str">
        <f>"18235349302"</f>
        <v>18235349302</v>
      </c>
      <c r="C933" t="s">
        <v>0</v>
      </c>
      <c r="D933" t="s">
        <v>0</v>
      </c>
      <c r="E933" t="s">
        <v>0</v>
      </c>
      <c r="F933" t="str">
        <f>"2018-12-27 17:07:04"</f>
        <v>2018-12-27 17:07:04</v>
      </c>
    </row>
    <row r="934" spans="1:6" x14ac:dyDescent="0.3">
      <c r="A934" t="s">
        <v>0</v>
      </c>
      <c r="B934" t="str">
        <f>"13456426637"</f>
        <v>13456426637</v>
      </c>
      <c r="C934" t="s">
        <v>0</v>
      </c>
      <c r="D934" t="s">
        <v>0</v>
      </c>
      <c r="E934" t="s">
        <v>0</v>
      </c>
      <c r="F934" t="str">
        <f>"2018-12-27 17:06:08"</f>
        <v>2018-12-27 17:06:08</v>
      </c>
    </row>
    <row r="935" spans="1:6" x14ac:dyDescent="0.3">
      <c r="A935" t="s">
        <v>0</v>
      </c>
      <c r="B935" t="str">
        <f>"13272726793"</f>
        <v>13272726793</v>
      </c>
      <c r="C935" t="s">
        <v>0</v>
      </c>
      <c r="D935" t="s">
        <v>0</v>
      </c>
      <c r="E935" t="s">
        <v>0</v>
      </c>
      <c r="F935" t="str">
        <f>"2018-12-27 17:03:17"</f>
        <v>2018-12-27 17:03:17</v>
      </c>
    </row>
    <row r="936" spans="1:6" x14ac:dyDescent="0.3">
      <c r="A936" t="s">
        <v>0</v>
      </c>
      <c r="B936" t="str">
        <f>"13996798149"</f>
        <v>13996798149</v>
      </c>
      <c r="C936" t="s">
        <v>0</v>
      </c>
      <c r="D936" t="s">
        <v>0</v>
      </c>
      <c r="E936" t="s">
        <v>0</v>
      </c>
      <c r="F936" t="str">
        <f>"2018-12-27 17:01:42"</f>
        <v>2018-12-27 17:01:42</v>
      </c>
    </row>
    <row r="937" spans="1:6" x14ac:dyDescent="0.3">
      <c r="A937" t="s">
        <v>0</v>
      </c>
      <c r="B937" t="str">
        <f>"15923721672"</f>
        <v>15923721672</v>
      </c>
      <c r="C937" t="s">
        <v>0</v>
      </c>
      <c r="D937" t="s">
        <v>0</v>
      </c>
      <c r="E937" t="s">
        <v>0</v>
      </c>
      <c r="F937" t="str">
        <f>"2018-12-27 16:58:45"</f>
        <v>2018-12-27 16:58:45</v>
      </c>
    </row>
    <row r="938" spans="1:6" x14ac:dyDescent="0.3">
      <c r="A938" t="s">
        <v>0</v>
      </c>
      <c r="B938" t="str">
        <f>"18036850986"</f>
        <v>18036850986</v>
      </c>
      <c r="C938" t="s">
        <v>0</v>
      </c>
      <c r="D938" t="s">
        <v>0</v>
      </c>
      <c r="E938" t="s">
        <v>0</v>
      </c>
      <c r="F938" t="str">
        <f>"2018-12-27 16:57:21"</f>
        <v>2018-12-27 16:57:21</v>
      </c>
    </row>
    <row r="939" spans="1:6" x14ac:dyDescent="0.3">
      <c r="A939" t="s">
        <v>0</v>
      </c>
      <c r="B939" t="str">
        <f>"18342803330"</f>
        <v>18342803330</v>
      </c>
      <c r="C939" t="s">
        <v>0</v>
      </c>
      <c r="D939" t="s">
        <v>0</v>
      </c>
      <c r="E939" t="s">
        <v>0</v>
      </c>
      <c r="F939" t="str">
        <f>"2018-12-27 16:56:49"</f>
        <v>2018-12-27 16:56:49</v>
      </c>
    </row>
    <row r="940" spans="1:6" x14ac:dyDescent="0.3">
      <c r="A940" t="s">
        <v>0</v>
      </c>
      <c r="B940" t="str">
        <f>"13252715990"</f>
        <v>13252715990</v>
      </c>
      <c r="C940" t="s">
        <v>0</v>
      </c>
      <c r="D940" t="s">
        <v>0</v>
      </c>
      <c r="E940" t="s">
        <v>0</v>
      </c>
      <c r="F940" t="str">
        <f>"2018-12-27 16:25:47"</f>
        <v>2018-12-27 16:25:47</v>
      </c>
    </row>
    <row r="941" spans="1:6" x14ac:dyDescent="0.3">
      <c r="A941" t="s">
        <v>0</v>
      </c>
      <c r="B941" t="str">
        <f>"18655433111"</f>
        <v>18655433111</v>
      </c>
      <c r="C941" t="s">
        <v>0</v>
      </c>
      <c r="D941" t="s">
        <v>0</v>
      </c>
      <c r="E941" t="s">
        <v>0</v>
      </c>
      <c r="F941" t="str">
        <f>"2018-12-27 16:23:29"</f>
        <v>2018-12-27 16:23:29</v>
      </c>
    </row>
    <row r="942" spans="1:6" x14ac:dyDescent="0.3">
      <c r="A942" t="s">
        <v>0</v>
      </c>
      <c r="B942" t="str">
        <f>"15755453778"</f>
        <v>15755453778</v>
      </c>
      <c r="C942" t="s">
        <v>0</v>
      </c>
      <c r="D942" t="s">
        <v>0</v>
      </c>
      <c r="E942" t="s">
        <v>0</v>
      </c>
      <c r="F942" t="str">
        <f>"2018-12-27 16:10:08"</f>
        <v>2018-12-27 16:10:08</v>
      </c>
    </row>
    <row r="943" spans="1:6" x14ac:dyDescent="0.3">
      <c r="A943" t="s">
        <v>0</v>
      </c>
      <c r="B943" t="str">
        <f>"15315028363"</f>
        <v>15315028363</v>
      </c>
      <c r="C943" t="s">
        <v>0</v>
      </c>
      <c r="D943" t="s">
        <v>0</v>
      </c>
      <c r="E943" t="s">
        <v>0</v>
      </c>
      <c r="F943" t="str">
        <f>"2018-12-27 15:11:21"</f>
        <v>2018-12-27 15:11:21</v>
      </c>
    </row>
    <row r="944" spans="1:6" x14ac:dyDescent="0.3">
      <c r="A944" t="s">
        <v>1469</v>
      </c>
      <c r="B944" t="str">
        <f>"17808788489"</f>
        <v>17808788489</v>
      </c>
      <c r="C944" t="str">
        <f>"530326199512270376"</f>
        <v>530326199512270376</v>
      </c>
      <c r="D944" t="s">
        <v>0</v>
      </c>
      <c r="E944" t="s">
        <v>0</v>
      </c>
      <c r="F944" t="str">
        <f>"2018-12-27 14:45:50"</f>
        <v>2018-12-27 14:45:50</v>
      </c>
    </row>
    <row r="945" spans="1:6" x14ac:dyDescent="0.3">
      <c r="A945" t="s">
        <v>1470</v>
      </c>
      <c r="B945" t="str">
        <f>"18576049185"</f>
        <v>18576049185</v>
      </c>
      <c r="C945" t="str">
        <f>"450422199311054239"</f>
        <v>450422199311054239</v>
      </c>
      <c r="D945" t="s">
        <v>1471</v>
      </c>
      <c r="E945" t="s">
        <v>1471</v>
      </c>
      <c r="F945" t="str">
        <f>"2018-12-26 03:38:17"</f>
        <v>2018-12-26 03:38:17</v>
      </c>
    </row>
    <row r="946" spans="1:6" x14ac:dyDescent="0.3">
      <c r="A946" t="s">
        <v>1472</v>
      </c>
      <c r="B946" t="str">
        <f>"18707624501"</f>
        <v>18707624501</v>
      </c>
      <c r="C946" t="str">
        <f>"441624198910254118"</f>
        <v>441624198910254118</v>
      </c>
      <c r="D946" t="s">
        <v>1473</v>
      </c>
      <c r="E946" t="s">
        <v>1474</v>
      </c>
      <c r="F946" t="str">
        <f>"2018-12-25 18:55:48"</f>
        <v>2018-12-25 18:55:48</v>
      </c>
    </row>
    <row r="947" spans="1:6" x14ac:dyDescent="0.3">
      <c r="A947" t="s">
        <v>1475</v>
      </c>
      <c r="B947" t="str">
        <f>"13958967171"</f>
        <v>13958967171</v>
      </c>
      <c r="C947" t="str">
        <f>"33032719940212879X"</f>
        <v>33032719940212879X</v>
      </c>
      <c r="D947" t="s">
        <v>1476</v>
      </c>
      <c r="E947" t="s">
        <v>1477</v>
      </c>
      <c r="F947" t="str">
        <f>"2018-12-25 18:40:06"</f>
        <v>2018-12-25 18:40:06</v>
      </c>
    </row>
    <row r="948" spans="1:6" x14ac:dyDescent="0.3">
      <c r="A948" t="s">
        <v>1478</v>
      </c>
      <c r="B948" t="str">
        <f>"18269932497"</f>
        <v>18269932497</v>
      </c>
      <c r="C948" t="str">
        <f>"341226200008153520"</f>
        <v>341226200008153520</v>
      </c>
      <c r="D948" t="s">
        <v>1479</v>
      </c>
      <c r="E948" t="s">
        <v>1480</v>
      </c>
      <c r="F948" t="str">
        <f>"2018-12-25 10:49:19"</f>
        <v>2018-12-25 10:49:19</v>
      </c>
    </row>
    <row r="949" spans="1:6" x14ac:dyDescent="0.3">
      <c r="A949" t="s">
        <v>1481</v>
      </c>
      <c r="B949" t="str">
        <f>"13113021211"</f>
        <v>13113021211</v>
      </c>
      <c r="C949" t="str">
        <f>"430426200010276337"</f>
        <v>430426200010276337</v>
      </c>
      <c r="D949" t="s">
        <v>1482</v>
      </c>
      <c r="E949" t="s">
        <v>1483</v>
      </c>
      <c r="F949" t="str">
        <f>"2018-12-24 19:00:42"</f>
        <v>2018-12-24 19:00:42</v>
      </c>
    </row>
    <row r="950" spans="1:6" x14ac:dyDescent="0.3">
      <c r="A950" t="s">
        <v>1484</v>
      </c>
      <c r="B950" t="str">
        <f>"18907308868"</f>
        <v>18907308868</v>
      </c>
      <c r="C950" t="str">
        <f>"430623197612050914"</f>
        <v>430623197612050914</v>
      </c>
      <c r="D950" t="s">
        <v>1485</v>
      </c>
      <c r="E950" t="s">
        <v>1486</v>
      </c>
      <c r="F950" t="str">
        <f>"2018-12-24 11:11:19"</f>
        <v>2018-12-24 11:11:19</v>
      </c>
    </row>
    <row r="951" spans="1:6" x14ac:dyDescent="0.3">
      <c r="A951" t="s">
        <v>1487</v>
      </c>
      <c r="B951" t="str">
        <f>"15258231078"</f>
        <v>15258231078</v>
      </c>
      <c r="C951" t="str">
        <f>"51370119880505801X"</f>
        <v>51370119880505801X</v>
      </c>
      <c r="D951" t="s">
        <v>1488</v>
      </c>
      <c r="E951" t="s">
        <v>1489</v>
      </c>
      <c r="F951" t="str">
        <f>"2018-12-23 20:33:28"</f>
        <v>2018-12-23 20:33:28</v>
      </c>
    </row>
    <row r="952" spans="1:6" x14ac:dyDescent="0.3">
      <c r="A952" t="s">
        <v>1490</v>
      </c>
      <c r="B952" t="str">
        <f>"13733677003"</f>
        <v>13733677003</v>
      </c>
      <c r="C952" t="str">
        <f>"411081198012082894"</f>
        <v>411081198012082894</v>
      </c>
      <c r="D952" t="s">
        <v>0</v>
      </c>
      <c r="E952" t="s">
        <v>0</v>
      </c>
      <c r="F952" t="str">
        <f>"2018-12-23 04:32:14"</f>
        <v>2018-12-23 04:32:14</v>
      </c>
    </row>
    <row r="953" spans="1:6" x14ac:dyDescent="0.3">
      <c r="A953" t="s">
        <v>1491</v>
      </c>
      <c r="B953" t="str">
        <f>"18285043282"</f>
        <v>18285043282</v>
      </c>
      <c r="C953" t="str">
        <f>"520102199208164022"</f>
        <v>520102199208164022</v>
      </c>
      <c r="D953" t="s">
        <v>0</v>
      </c>
      <c r="E953" t="s">
        <v>0</v>
      </c>
      <c r="F953" t="str">
        <f>"2018-12-23 01:39:21"</f>
        <v>2018-12-23 01:39:21</v>
      </c>
    </row>
    <row r="954" spans="1:6" x14ac:dyDescent="0.3">
      <c r="A954" t="s">
        <v>1492</v>
      </c>
      <c r="B954" t="str">
        <f>"13697104566"</f>
        <v>13697104566</v>
      </c>
      <c r="C954" t="str">
        <f>"420621199105034279"</f>
        <v>420621199105034279</v>
      </c>
      <c r="D954" t="s">
        <v>1493</v>
      </c>
      <c r="E954" t="s">
        <v>1494</v>
      </c>
      <c r="F954" t="str">
        <f>"2018-12-23 00:59:03"</f>
        <v>2018-12-23 00:59:03</v>
      </c>
    </row>
    <row r="955" spans="1:6" x14ac:dyDescent="0.3">
      <c r="A955" t="s">
        <v>1495</v>
      </c>
      <c r="B955" t="str">
        <f>"17606841158"</f>
        <v>17606841158</v>
      </c>
      <c r="C955" t="str">
        <f>"422827198205311815"</f>
        <v>422827198205311815</v>
      </c>
      <c r="D955" t="s">
        <v>1496</v>
      </c>
      <c r="E955" t="s">
        <v>1497</v>
      </c>
      <c r="F955" t="str">
        <f>"2018-12-22 17:36:47"</f>
        <v>2018-12-22 17:36:47</v>
      </c>
    </row>
    <row r="956" spans="1:6" x14ac:dyDescent="0.3">
      <c r="A956" t="s">
        <v>1498</v>
      </c>
      <c r="B956" t="str">
        <f>"17693383226"</f>
        <v>17693383226</v>
      </c>
      <c r="C956" t="str">
        <f>"622701200001200572"</f>
        <v>622701200001200572</v>
      </c>
      <c r="D956" t="s">
        <v>1499</v>
      </c>
      <c r="E956" t="s">
        <v>1500</v>
      </c>
      <c r="F956" t="str">
        <f>"2018-12-22 17:33:01"</f>
        <v>2018-12-22 17:33:01</v>
      </c>
    </row>
    <row r="957" spans="1:6" x14ac:dyDescent="0.3">
      <c r="A957" t="s">
        <v>1501</v>
      </c>
      <c r="B957" t="str">
        <f>"18827538889"</f>
        <v>18827538889</v>
      </c>
      <c r="C957" t="str">
        <f>"420323198610250839"</f>
        <v>420323198610250839</v>
      </c>
      <c r="D957" t="s">
        <v>0</v>
      </c>
      <c r="E957" t="s">
        <v>0</v>
      </c>
      <c r="F957" t="str">
        <f>"2018-12-22 16:08:52"</f>
        <v>2018-12-22 16:08:52</v>
      </c>
    </row>
    <row r="958" spans="1:6" x14ac:dyDescent="0.3">
      <c r="A958" t="s">
        <v>1502</v>
      </c>
      <c r="B958" t="str">
        <f>"18670273723"</f>
        <v>18670273723</v>
      </c>
      <c r="C958" t="str">
        <f>"431022198703047477"</f>
        <v>431022198703047477</v>
      </c>
      <c r="D958" t="s">
        <v>1503</v>
      </c>
      <c r="E958" t="s">
        <v>1504</v>
      </c>
      <c r="F958" t="str">
        <f>"2018-12-22 14:17:48"</f>
        <v>2018-12-22 14:17:48</v>
      </c>
    </row>
    <row r="959" spans="1:6" x14ac:dyDescent="0.3">
      <c r="A959" t="s">
        <v>1505</v>
      </c>
      <c r="B959" t="str">
        <f>"15241271003"</f>
        <v>15241271003</v>
      </c>
      <c r="C959" t="str">
        <f>"21038119860623411X"</f>
        <v>21038119860623411X</v>
      </c>
      <c r="D959" t="s">
        <v>1506</v>
      </c>
      <c r="E959" t="s">
        <v>1507</v>
      </c>
      <c r="F959" t="str">
        <f>"2018-12-22 12:44:00"</f>
        <v>2018-12-22 12:44:00</v>
      </c>
    </row>
    <row r="960" spans="1:6" x14ac:dyDescent="0.3">
      <c r="A960" t="s">
        <v>1508</v>
      </c>
      <c r="B960" t="str">
        <f>"18113103650"</f>
        <v>18113103650</v>
      </c>
      <c r="C960" t="str">
        <f>"510902199308044679"</f>
        <v>510902199308044679</v>
      </c>
      <c r="D960" t="s">
        <v>0</v>
      </c>
      <c r="E960" t="s">
        <v>0</v>
      </c>
      <c r="F960" t="str">
        <f>"2018-12-21 19:37:07"</f>
        <v>2018-12-21 19:37:07</v>
      </c>
    </row>
    <row r="961" spans="1:6" x14ac:dyDescent="0.3">
      <c r="A961" t="s">
        <v>1509</v>
      </c>
      <c r="B961" t="str">
        <f>"13392817674"</f>
        <v>13392817674</v>
      </c>
      <c r="C961" t="str">
        <f>"450521199311014412"</f>
        <v>450521199311014412</v>
      </c>
      <c r="D961" t="s">
        <v>1510</v>
      </c>
      <c r="E961" t="s">
        <v>1511</v>
      </c>
      <c r="F961" t="str">
        <f>"2018-12-21 19:01:27"</f>
        <v>2018-12-21 19:01:27</v>
      </c>
    </row>
    <row r="962" spans="1:6" x14ac:dyDescent="0.3">
      <c r="A962" t="s">
        <v>1512</v>
      </c>
      <c r="B962" t="str">
        <f>"18223199773"</f>
        <v>18223199773</v>
      </c>
      <c r="C962" t="str">
        <f>"230321199102113818"</f>
        <v>230321199102113818</v>
      </c>
      <c r="D962" t="s">
        <v>1513</v>
      </c>
      <c r="E962" t="s">
        <v>1514</v>
      </c>
      <c r="F962" t="str">
        <f>"2018-12-21 18:02:52"</f>
        <v>2018-12-21 18:02:52</v>
      </c>
    </row>
    <row r="963" spans="1:6" x14ac:dyDescent="0.3">
      <c r="A963" t="s">
        <v>1515</v>
      </c>
      <c r="B963" t="str">
        <f>"13516015494"</f>
        <v>13516015494</v>
      </c>
      <c r="C963" t="str">
        <f>"210782199005052831"</f>
        <v>210782199005052831</v>
      </c>
      <c r="D963" t="s">
        <v>1516</v>
      </c>
      <c r="E963" t="s">
        <v>1517</v>
      </c>
      <c r="F963" t="str">
        <f>"2018-12-20 13:08:28"</f>
        <v>2018-12-20 13:08:28</v>
      </c>
    </row>
    <row r="964" spans="1:6" x14ac:dyDescent="0.3">
      <c r="A964" t="s">
        <v>0</v>
      </c>
      <c r="B964" t="str">
        <f>"14776526005"</f>
        <v>14776526005</v>
      </c>
      <c r="C964" t="s">
        <v>0</v>
      </c>
      <c r="D964" t="s">
        <v>0</v>
      </c>
      <c r="E964" t="s">
        <v>0</v>
      </c>
      <c r="F964" t="str">
        <f>"2018-12-20 10:45:03"</f>
        <v>2018-12-20 10:45:03</v>
      </c>
    </row>
    <row r="965" spans="1:6" x14ac:dyDescent="0.3">
      <c r="A965" t="s">
        <v>1518</v>
      </c>
      <c r="B965" t="str">
        <f>"18678033178"</f>
        <v>18678033178</v>
      </c>
      <c r="C965" t="str">
        <f>"370785198710135711"</f>
        <v>370785198710135711</v>
      </c>
      <c r="D965" t="s">
        <v>1519</v>
      </c>
      <c r="E965" t="s">
        <v>1520</v>
      </c>
      <c r="F965" t="str">
        <f>"2018-12-20 09:40:24"</f>
        <v>2018-12-20 09:40:24</v>
      </c>
    </row>
    <row r="966" spans="1:6" x14ac:dyDescent="0.3">
      <c r="A966" t="s">
        <v>1521</v>
      </c>
      <c r="B966" t="str">
        <f>"15104537573"</f>
        <v>15104537573</v>
      </c>
      <c r="C966" t="str">
        <f>"230125198901125030"</f>
        <v>230125198901125030</v>
      </c>
      <c r="D966" t="s">
        <v>1522</v>
      </c>
      <c r="E966" t="s">
        <v>1523</v>
      </c>
      <c r="F966" t="str">
        <f>"2018-12-19 22:04:20"</f>
        <v>2018-12-19 22:04:20</v>
      </c>
    </row>
    <row r="967" spans="1:6" x14ac:dyDescent="0.3">
      <c r="A967" t="s">
        <v>1524</v>
      </c>
      <c r="B967" t="str">
        <f>"15092963680"</f>
        <v>15092963680</v>
      </c>
      <c r="C967" t="str">
        <f>"371325199608231210"</f>
        <v>371325199608231210</v>
      </c>
      <c r="D967" t="s">
        <v>1525</v>
      </c>
      <c r="E967" t="s">
        <v>1526</v>
      </c>
      <c r="F967" t="str">
        <f>"2018-12-19 15:01:32"</f>
        <v>2018-12-19 15:01:32</v>
      </c>
    </row>
    <row r="968" spans="1:6" x14ac:dyDescent="0.3">
      <c r="A968" t="s">
        <v>1527</v>
      </c>
      <c r="B968" t="str">
        <f>"13048276787"</f>
        <v>13048276787</v>
      </c>
      <c r="C968" t="str">
        <f>"431124199912168139"</f>
        <v>431124199912168139</v>
      </c>
      <c r="D968" t="s">
        <v>1528</v>
      </c>
      <c r="E968" t="s">
        <v>1529</v>
      </c>
      <c r="F968" t="str">
        <f>"2018-12-19 14:39:25"</f>
        <v>2018-12-19 14:39:25</v>
      </c>
    </row>
    <row r="969" spans="1:6" x14ac:dyDescent="0.3">
      <c r="A969" t="s">
        <v>1530</v>
      </c>
      <c r="B969" t="str">
        <f>"15689897575"</f>
        <v>15689897575</v>
      </c>
      <c r="C969" t="str">
        <f>"370785199505126511"</f>
        <v>370785199505126511</v>
      </c>
      <c r="D969" t="s">
        <v>1531</v>
      </c>
      <c r="E969" t="s">
        <v>1532</v>
      </c>
      <c r="F969" t="str">
        <f>"2018-12-19 11:01:54"</f>
        <v>2018-12-19 11:01:54</v>
      </c>
    </row>
    <row r="970" spans="1:6" x14ac:dyDescent="0.3">
      <c r="A970" t="s">
        <v>1533</v>
      </c>
      <c r="B970" t="str">
        <f>"18524505366"</f>
        <v>18524505366</v>
      </c>
      <c r="C970" t="str">
        <f>"210781199512050033"</f>
        <v>210781199512050033</v>
      </c>
      <c r="D970" t="s">
        <v>1534</v>
      </c>
      <c r="E970" t="s">
        <v>1535</v>
      </c>
      <c r="F970" t="str">
        <f>"2018-12-18 18:31:12"</f>
        <v>2018-12-18 18:31:12</v>
      </c>
    </row>
    <row r="971" spans="1:6" x14ac:dyDescent="0.3">
      <c r="A971" t="s">
        <v>1536</v>
      </c>
      <c r="B971" t="str">
        <f>"18218995507"</f>
        <v>18218995507</v>
      </c>
      <c r="C971" t="str">
        <f>"44132319940120371X"</f>
        <v>44132319940120371X</v>
      </c>
      <c r="D971" t="s">
        <v>1537</v>
      </c>
      <c r="E971" t="s">
        <v>1538</v>
      </c>
      <c r="F971" t="str">
        <f>"2018-12-18 16:35:16"</f>
        <v>2018-12-18 16:35:16</v>
      </c>
    </row>
    <row r="972" spans="1:6" x14ac:dyDescent="0.3">
      <c r="A972" t="s">
        <v>1539</v>
      </c>
      <c r="B972" t="str">
        <f>"18231888041"</f>
        <v>18231888041</v>
      </c>
      <c r="C972" t="str">
        <f>"131182199504080616"</f>
        <v>131182199504080616</v>
      </c>
      <c r="D972" t="s">
        <v>1540</v>
      </c>
      <c r="E972" t="s">
        <v>1541</v>
      </c>
      <c r="F972" t="str">
        <f>"2018-12-18 12:29:09"</f>
        <v>2018-12-18 12:29:09</v>
      </c>
    </row>
    <row r="973" spans="1:6" x14ac:dyDescent="0.3">
      <c r="A973" t="s">
        <v>1542</v>
      </c>
      <c r="B973" t="str">
        <f>"13225006611"</f>
        <v>13225006611</v>
      </c>
      <c r="C973" t="str">
        <f>"350502199511211020"</f>
        <v>350502199511211020</v>
      </c>
      <c r="D973" t="s">
        <v>1543</v>
      </c>
      <c r="E973" t="s">
        <v>1544</v>
      </c>
      <c r="F973" t="str">
        <f>"2018-12-18 10:55:33"</f>
        <v>2018-12-18 10:55:33</v>
      </c>
    </row>
    <row r="974" spans="1:6" x14ac:dyDescent="0.3">
      <c r="A974" t="s">
        <v>1545</v>
      </c>
      <c r="B974" t="str">
        <f>"13691325709"</f>
        <v>13691325709</v>
      </c>
      <c r="C974" t="str">
        <f>"110105199006185434"</f>
        <v>110105199006185434</v>
      </c>
      <c r="D974" t="s">
        <v>0</v>
      </c>
      <c r="E974" t="s">
        <v>0</v>
      </c>
      <c r="F974" t="str">
        <f>"2018-12-18 09:39:42"</f>
        <v>2018-12-18 09:39:42</v>
      </c>
    </row>
    <row r="975" spans="1:6" x14ac:dyDescent="0.3">
      <c r="A975" t="s">
        <v>1546</v>
      </c>
      <c r="B975" t="str">
        <f>"17691214554"</f>
        <v>17691214554</v>
      </c>
      <c r="C975" t="str">
        <f>"62270119911003263X"</f>
        <v>62270119911003263X</v>
      </c>
      <c r="D975" t="s">
        <v>1547</v>
      </c>
      <c r="E975" t="s">
        <v>1548</v>
      </c>
      <c r="F975" t="str">
        <f>"2018-12-17 22:12:07"</f>
        <v>2018-12-17 22:12:07</v>
      </c>
    </row>
    <row r="976" spans="1:6" x14ac:dyDescent="0.3">
      <c r="A976" t="s">
        <v>1549</v>
      </c>
      <c r="B976" t="str">
        <f>"15174783850"</f>
        <v>15174783850</v>
      </c>
      <c r="C976" t="str">
        <f>"152221197210015446"</f>
        <v>152221197210015446</v>
      </c>
      <c r="D976" t="s">
        <v>0</v>
      </c>
      <c r="E976" t="s">
        <v>0</v>
      </c>
      <c r="F976" t="str">
        <f>"2018-12-17 19:50:20"</f>
        <v>2018-12-17 19:50:20</v>
      </c>
    </row>
    <row r="977" spans="1:6" x14ac:dyDescent="0.3">
      <c r="A977" t="s">
        <v>1550</v>
      </c>
      <c r="B977" t="str">
        <f>"17872103040"</f>
        <v>17872103040</v>
      </c>
      <c r="C977" t="str">
        <f>"430422199805250092"</f>
        <v>430422199805250092</v>
      </c>
      <c r="D977" t="s">
        <v>1551</v>
      </c>
      <c r="E977" t="s">
        <v>1552</v>
      </c>
      <c r="F977" t="str">
        <f>"2018-12-17 17:32:02"</f>
        <v>2018-12-17 17:32:02</v>
      </c>
    </row>
    <row r="978" spans="1:6" x14ac:dyDescent="0.3">
      <c r="A978" t="s">
        <v>1553</v>
      </c>
      <c r="B978" t="str">
        <f>"15086843933"</f>
        <v>15086843933</v>
      </c>
      <c r="C978" t="str">
        <f>"500222198806163719"</f>
        <v>500222198806163719</v>
      </c>
      <c r="D978" t="s">
        <v>0</v>
      </c>
      <c r="E978" t="s">
        <v>0</v>
      </c>
      <c r="F978" t="str">
        <f>"2018-12-17 15:01:09"</f>
        <v>2018-12-17 15:01:09</v>
      </c>
    </row>
    <row r="979" spans="1:6" x14ac:dyDescent="0.3">
      <c r="A979" t="s">
        <v>1554</v>
      </c>
      <c r="B979" t="str">
        <f>"18972724865"</f>
        <v>18972724865</v>
      </c>
      <c r="C979" t="str">
        <f>"421127198210260419"</f>
        <v>421127198210260419</v>
      </c>
      <c r="D979" t="s">
        <v>1555</v>
      </c>
      <c r="E979" t="s">
        <v>1556</v>
      </c>
      <c r="F979" t="str">
        <f>"2018-12-17 11:25:52"</f>
        <v>2018-12-17 11:25:52</v>
      </c>
    </row>
    <row r="980" spans="1:6" x14ac:dyDescent="0.3">
      <c r="A980" t="s">
        <v>1557</v>
      </c>
      <c r="B980" t="str">
        <f>"18604301239"</f>
        <v>18604301239</v>
      </c>
      <c r="C980" t="str">
        <f>"220103198705310642"</f>
        <v>220103198705310642</v>
      </c>
      <c r="D980" t="s">
        <v>1558</v>
      </c>
      <c r="E980" t="s">
        <v>1559</v>
      </c>
      <c r="F980" t="str">
        <f>"2018-12-16 21:28:47"</f>
        <v>2018-12-16 21:28:47</v>
      </c>
    </row>
    <row r="981" spans="1:6" x14ac:dyDescent="0.3">
      <c r="A981" t="s">
        <v>1560</v>
      </c>
      <c r="B981" t="str">
        <f>"13355403738"</f>
        <v>13355403738</v>
      </c>
      <c r="C981" t="str">
        <f>"370828198406143619"</f>
        <v>370828198406143619</v>
      </c>
      <c r="D981" t="s">
        <v>1561</v>
      </c>
      <c r="E981" t="s">
        <v>1562</v>
      </c>
      <c r="F981" t="str">
        <f>"2018-12-16 13:40:13"</f>
        <v>2018-12-16 13:40:13</v>
      </c>
    </row>
    <row r="982" spans="1:6" x14ac:dyDescent="0.3">
      <c r="A982" t="s">
        <v>1563</v>
      </c>
      <c r="B982" t="str">
        <f>"15546948273"</f>
        <v>15546948273</v>
      </c>
      <c r="C982" t="str">
        <f>"445281199509024096"</f>
        <v>445281199509024096</v>
      </c>
      <c r="D982" t="s">
        <v>0</v>
      </c>
      <c r="E982" t="s">
        <v>0</v>
      </c>
      <c r="F982" t="str">
        <f>"2018-12-16 13:08:06"</f>
        <v>2018-12-16 13:08:06</v>
      </c>
    </row>
    <row r="983" spans="1:6" x14ac:dyDescent="0.3">
      <c r="A983" t="s">
        <v>0</v>
      </c>
      <c r="B983" t="str">
        <f>"17640491853"</f>
        <v>17640491853</v>
      </c>
      <c r="C983" t="s">
        <v>0</v>
      </c>
      <c r="D983" t="s">
        <v>0</v>
      </c>
      <c r="E983" t="s">
        <v>0</v>
      </c>
      <c r="F983" t="str">
        <f>"2018-12-16 12:01:09"</f>
        <v>2018-12-16 12:01:09</v>
      </c>
    </row>
    <row r="984" spans="1:6" x14ac:dyDescent="0.3">
      <c r="A984" t="s">
        <v>1564</v>
      </c>
      <c r="B984" t="str">
        <f>"13889135444"</f>
        <v>13889135444</v>
      </c>
      <c r="C984" t="str">
        <f>"210181198503053710"</f>
        <v>210181198503053710</v>
      </c>
      <c r="D984" t="s">
        <v>1565</v>
      </c>
      <c r="E984" t="s">
        <v>1566</v>
      </c>
      <c r="F984" t="str">
        <f>"2018-12-16 11:23:05"</f>
        <v>2018-12-16 11:23:05</v>
      </c>
    </row>
    <row r="985" spans="1:6" x14ac:dyDescent="0.3">
      <c r="A985" t="s">
        <v>1567</v>
      </c>
      <c r="B985" t="str">
        <f>"17800301123"</f>
        <v>17800301123</v>
      </c>
      <c r="C985" t="str">
        <f>"13042719970221652X"</f>
        <v>13042719970221652X</v>
      </c>
      <c r="D985" t="s">
        <v>1568</v>
      </c>
      <c r="E985" t="s">
        <v>1569</v>
      </c>
      <c r="F985" t="str">
        <f>"2018-12-16 10:22:11"</f>
        <v>2018-12-16 10:22:11</v>
      </c>
    </row>
    <row r="986" spans="1:6" x14ac:dyDescent="0.3">
      <c r="A986" t="s">
        <v>1570</v>
      </c>
      <c r="B986" t="str">
        <f>"15757399707"</f>
        <v>15757399707</v>
      </c>
      <c r="C986" t="str">
        <f>"330411196903092618"</f>
        <v>330411196903092618</v>
      </c>
      <c r="D986" t="s">
        <v>0</v>
      </c>
      <c r="E986" t="s">
        <v>0</v>
      </c>
      <c r="F986" t="str">
        <f>"2018-12-15 17:57:24"</f>
        <v>2018-12-15 17:57:24</v>
      </c>
    </row>
    <row r="987" spans="1:6" x14ac:dyDescent="0.3">
      <c r="A987" t="s">
        <v>1571</v>
      </c>
      <c r="B987" t="str">
        <f>"13932127140"</f>
        <v>13932127140</v>
      </c>
      <c r="C987" t="str">
        <f>"130126198511240941"</f>
        <v>130126198511240941</v>
      </c>
      <c r="D987" t="s">
        <v>1572</v>
      </c>
      <c r="E987" t="s">
        <v>1573</v>
      </c>
      <c r="F987" t="str">
        <f>"2018-12-15 17:40:19"</f>
        <v>2018-12-15 17:40:19</v>
      </c>
    </row>
    <row r="988" spans="1:6" x14ac:dyDescent="0.3">
      <c r="A988" t="s">
        <v>1574</v>
      </c>
      <c r="B988" t="str">
        <f>"18783073997"</f>
        <v>18783073997</v>
      </c>
      <c r="C988" t="str">
        <f>"51050319940920113X"</f>
        <v>51050319940920113X</v>
      </c>
      <c r="D988" t="s">
        <v>1575</v>
      </c>
      <c r="E988" t="s">
        <v>1576</v>
      </c>
      <c r="F988" t="str">
        <f>"2018-12-15 16:55:40"</f>
        <v>2018-12-15 16:55:40</v>
      </c>
    </row>
    <row r="989" spans="1:6" x14ac:dyDescent="0.3">
      <c r="A989" t="s">
        <v>1577</v>
      </c>
      <c r="B989" t="str">
        <f>"13426931551"</f>
        <v>13426931551</v>
      </c>
      <c r="C989" t="str">
        <f>"511221198011080043"</f>
        <v>511221198011080043</v>
      </c>
      <c r="D989" t="s">
        <v>1578</v>
      </c>
      <c r="E989" t="s">
        <v>1579</v>
      </c>
      <c r="F989" t="str">
        <f>"2018-12-15 16:54:49"</f>
        <v>2018-12-15 16:54:49</v>
      </c>
    </row>
    <row r="990" spans="1:6" x14ac:dyDescent="0.3">
      <c r="A990" t="s">
        <v>1580</v>
      </c>
      <c r="B990" t="str">
        <f>"13938374677"</f>
        <v>13938374677</v>
      </c>
      <c r="C990" t="str">
        <f>"411524199607085116"</f>
        <v>411524199607085116</v>
      </c>
      <c r="D990" t="s">
        <v>1581</v>
      </c>
      <c r="E990" t="s">
        <v>1582</v>
      </c>
      <c r="F990" t="str">
        <f>"2018-12-15 16:53:49"</f>
        <v>2018-12-15 16:53:49</v>
      </c>
    </row>
    <row r="991" spans="1:6" x14ac:dyDescent="0.3">
      <c r="A991" t="s">
        <v>1583</v>
      </c>
      <c r="B991" t="str">
        <f>"13920100313"</f>
        <v>13920100313</v>
      </c>
      <c r="C991" t="str">
        <f>"120223198603212512"</f>
        <v>120223198603212512</v>
      </c>
      <c r="D991" t="s">
        <v>0</v>
      </c>
      <c r="E991" t="s">
        <v>0</v>
      </c>
      <c r="F991" t="str">
        <f>"2018-12-15 16:49:10"</f>
        <v>2018-12-15 16:49:10</v>
      </c>
    </row>
    <row r="992" spans="1:6" x14ac:dyDescent="0.3">
      <c r="A992" t="s">
        <v>0</v>
      </c>
      <c r="B992" t="str">
        <f>"18252096872"</f>
        <v>18252096872</v>
      </c>
      <c r="C992" t="s">
        <v>0</v>
      </c>
      <c r="D992" t="s">
        <v>0</v>
      </c>
      <c r="E992" t="s">
        <v>0</v>
      </c>
      <c r="F992" t="str">
        <f>"2018-12-14 19:09:59"</f>
        <v>2018-12-14 19:09:59</v>
      </c>
    </row>
    <row r="993" spans="1:6" x14ac:dyDescent="0.3">
      <c r="A993" t="s">
        <v>0</v>
      </c>
      <c r="B993" t="str">
        <f>"18820568843"</f>
        <v>18820568843</v>
      </c>
      <c r="C993" t="s">
        <v>0</v>
      </c>
      <c r="D993" t="s">
        <v>0</v>
      </c>
      <c r="E993" t="s">
        <v>0</v>
      </c>
      <c r="F993" t="str">
        <f>"2018-12-14 17:42:52"</f>
        <v>2018-12-14 17:42:52</v>
      </c>
    </row>
    <row r="994" spans="1:6" x14ac:dyDescent="0.3">
      <c r="A994" t="s">
        <v>1512</v>
      </c>
      <c r="B994" t="str">
        <f>"15971464058"</f>
        <v>15971464058</v>
      </c>
      <c r="C994" t="str">
        <f>"420107197402173757"</f>
        <v>420107197402173757</v>
      </c>
      <c r="D994" t="s">
        <v>0</v>
      </c>
      <c r="E994" t="s">
        <v>0</v>
      </c>
      <c r="F994" t="str">
        <f>"2018-12-14 14:20:30"</f>
        <v>2018-12-14 14:20:30</v>
      </c>
    </row>
    <row r="995" spans="1:6" x14ac:dyDescent="0.3">
      <c r="A995" t="s">
        <v>1584</v>
      </c>
      <c r="B995" t="str">
        <f>"15892114189"</f>
        <v>15892114189</v>
      </c>
      <c r="C995" t="str">
        <f>"352227199007061820"</f>
        <v>352227199007061820</v>
      </c>
      <c r="D995" t="s">
        <v>1585</v>
      </c>
      <c r="E995" t="s">
        <v>1585</v>
      </c>
      <c r="F995" t="str">
        <f>"2018-12-14 09:54:42"</f>
        <v>2018-12-14 09:54:42</v>
      </c>
    </row>
    <row r="996" spans="1:6" x14ac:dyDescent="0.3">
      <c r="A996" t="s">
        <v>1586</v>
      </c>
      <c r="B996" t="str">
        <f>"15729625126"</f>
        <v>15729625126</v>
      </c>
      <c r="C996" t="str">
        <f>"51390219970909387X"</f>
        <v>51390219970909387X</v>
      </c>
      <c r="D996" t="s">
        <v>1587</v>
      </c>
      <c r="E996" t="s">
        <v>1588</v>
      </c>
      <c r="F996" t="str">
        <f>"2018-12-13 16:35:56"</f>
        <v>2018-12-13 16:35:56</v>
      </c>
    </row>
    <row r="997" spans="1:6" x14ac:dyDescent="0.3">
      <c r="A997" t="s">
        <v>1589</v>
      </c>
      <c r="B997" t="str">
        <f>"13929894161"</f>
        <v>13929894161</v>
      </c>
      <c r="C997" t="str">
        <f>"441283198903236083"</f>
        <v>441283198903236083</v>
      </c>
      <c r="D997" t="s">
        <v>1590</v>
      </c>
      <c r="E997" t="s">
        <v>1591</v>
      </c>
      <c r="F997" t="str">
        <f>"2018-12-13 16:21:35"</f>
        <v>2018-12-13 16:21:35</v>
      </c>
    </row>
    <row r="998" spans="1:6" x14ac:dyDescent="0.3">
      <c r="A998" t="s">
        <v>1592</v>
      </c>
      <c r="B998" t="str">
        <f>"18892661552"</f>
        <v>18892661552</v>
      </c>
      <c r="C998" t="str">
        <f>"511521198610174179"</f>
        <v>511521198610174179</v>
      </c>
      <c r="D998" t="s">
        <v>1593</v>
      </c>
      <c r="E998" t="s">
        <v>1594</v>
      </c>
      <c r="F998" t="str">
        <f>"2018-12-13 16:08:34"</f>
        <v>2018-12-13 16:08:34</v>
      </c>
    </row>
    <row r="999" spans="1:6" x14ac:dyDescent="0.3">
      <c r="A999" t="s">
        <v>1595</v>
      </c>
      <c r="B999" t="str">
        <f>"15318184659"</f>
        <v>15318184659</v>
      </c>
      <c r="C999" t="str">
        <f>"370832199603250914"</f>
        <v>370832199603250914</v>
      </c>
      <c r="D999" t="s">
        <v>1596</v>
      </c>
      <c r="E999" t="s">
        <v>1597</v>
      </c>
      <c r="F999" t="str">
        <f>"2018-12-13 15:19:17"</f>
        <v>2018-12-13 15:19:17</v>
      </c>
    </row>
    <row r="1000" spans="1:6" x14ac:dyDescent="0.3">
      <c r="A1000" t="s">
        <v>1598</v>
      </c>
      <c r="B1000" t="str">
        <f>"13823819576"</f>
        <v>13823819576</v>
      </c>
      <c r="C1000" t="str">
        <f>"441421199407245315"</f>
        <v>441421199407245315</v>
      </c>
      <c r="D1000" t="s">
        <v>1599</v>
      </c>
      <c r="E1000" t="s">
        <v>1600</v>
      </c>
      <c r="F1000" t="str">
        <f>"2018-12-13 15:07:43"</f>
        <v>2018-12-13 15:07:43</v>
      </c>
    </row>
    <row r="1001" spans="1:6" x14ac:dyDescent="0.3">
      <c r="A1001" t="s">
        <v>1601</v>
      </c>
      <c r="B1001" t="str">
        <f>"13730795221"</f>
        <v>13730795221</v>
      </c>
      <c r="C1001" t="str">
        <f>"513001197909230010"</f>
        <v>513001197909230010</v>
      </c>
      <c r="D1001" t="s">
        <v>1602</v>
      </c>
      <c r="E1001" t="s">
        <v>1603</v>
      </c>
      <c r="F1001" t="str">
        <f>"2018-12-13 14:38:25"</f>
        <v>2018-12-13 14:38:25</v>
      </c>
    </row>
    <row r="1002" spans="1:6" x14ac:dyDescent="0.3">
      <c r="A1002" t="s">
        <v>1604</v>
      </c>
      <c r="B1002" t="str">
        <f>"18752830809"</f>
        <v>18752830809</v>
      </c>
      <c r="C1002" t="str">
        <f>"320924198903223434"</f>
        <v>320924198903223434</v>
      </c>
      <c r="D1002" t="s">
        <v>1605</v>
      </c>
      <c r="E1002" t="s">
        <v>1606</v>
      </c>
      <c r="F1002" t="str">
        <f>"2018-12-13 13:20:08"</f>
        <v>2018-12-13 13:20:08</v>
      </c>
    </row>
    <row r="1003" spans="1:6" x14ac:dyDescent="0.3">
      <c r="A1003" t="s">
        <v>1607</v>
      </c>
      <c r="B1003" t="str">
        <f>"18701793736"</f>
        <v>18701793736</v>
      </c>
      <c r="C1003" t="str">
        <f>"34162119960526395X"</f>
        <v>34162119960526395X</v>
      </c>
      <c r="D1003" t="s">
        <v>1608</v>
      </c>
      <c r="E1003" t="s">
        <v>1609</v>
      </c>
      <c r="F1003" t="str">
        <f>"2018-12-13 10:50:34"</f>
        <v>2018-12-13 10:50:34</v>
      </c>
    </row>
    <row r="1004" spans="1:6" x14ac:dyDescent="0.3">
      <c r="A1004" t="s">
        <v>1610</v>
      </c>
      <c r="B1004" t="str">
        <f>"18609103382"</f>
        <v>18609103382</v>
      </c>
      <c r="C1004" t="str">
        <f>"610402198903035592"</f>
        <v>610402198903035592</v>
      </c>
      <c r="D1004" t="s">
        <v>1611</v>
      </c>
      <c r="E1004" t="s">
        <v>1612</v>
      </c>
      <c r="F1004" t="str">
        <f>"2018-12-13 10:41:09"</f>
        <v>2018-12-13 10:41:09</v>
      </c>
    </row>
    <row r="1005" spans="1:6" x14ac:dyDescent="0.3">
      <c r="A1005" t="s">
        <v>1613</v>
      </c>
      <c r="B1005" t="str">
        <f>"15223540494"</f>
        <v>15223540494</v>
      </c>
      <c r="C1005" t="str">
        <f>"500234199704255233"</f>
        <v>500234199704255233</v>
      </c>
      <c r="D1005" t="s">
        <v>1614</v>
      </c>
      <c r="E1005" t="s">
        <v>1615</v>
      </c>
      <c r="F1005" t="str">
        <f>"2018-12-13 06:44:41"</f>
        <v>2018-12-13 06:44:41</v>
      </c>
    </row>
    <row r="1006" spans="1:6" x14ac:dyDescent="0.3">
      <c r="A1006" t="s">
        <v>1616</v>
      </c>
      <c r="B1006" t="str">
        <f>"18325642796"</f>
        <v>18325642796</v>
      </c>
      <c r="C1006" t="str">
        <f>"340828199910053718"</f>
        <v>340828199910053718</v>
      </c>
      <c r="D1006" t="s">
        <v>1617</v>
      </c>
      <c r="E1006" t="s">
        <v>1618</v>
      </c>
      <c r="F1006" t="str">
        <f>"2018-12-12 23:06:49"</f>
        <v>2018-12-12 23:06:49</v>
      </c>
    </row>
    <row r="1007" spans="1:6" x14ac:dyDescent="0.3">
      <c r="A1007" t="s">
        <v>1619</v>
      </c>
      <c r="B1007" t="str">
        <f>"18601237784"</f>
        <v>18601237784</v>
      </c>
      <c r="C1007" t="str">
        <f>"140428198912205638"</f>
        <v>140428198912205638</v>
      </c>
      <c r="D1007" t="s">
        <v>1620</v>
      </c>
      <c r="E1007" t="s">
        <v>1621</v>
      </c>
      <c r="F1007" t="str">
        <f>"2018-12-12 19:31:49"</f>
        <v>2018-12-12 19:31:49</v>
      </c>
    </row>
    <row r="1008" spans="1:6" x14ac:dyDescent="0.3">
      <c r="A1008" t="s">
        <v>1622</v>
      </c>
      <c r="B1008" t="str">
        <f>"15188787278"</f>
        <v>15188787278</v>
      </c>
      <c r="C1008" t="str">
        <f>"130622199603191610"</f>
        <v>130622199603191610</v>
      </c>
      <c r="D1008" t="s">
        <v>1623</v>
      </c>
      <c r="E1008" t="s">
        <v>1624</v>
      </c>
      <c r="F1008" t="str">
        <f>"2018-12-12 18:40:11"</f>
        <v>2018-12-12 18:40:11</v>
      </c>
    </row>
    <row r="1009" spans="1:6" x14ac:dyDescent="0.3">
      <c r="A1009" t="s">
        <v>1625</v>
      </c>
      <c r="B1009" t="str">
        <f>"15238276072"</f>
        <v>15238276072</v>
      </c>
      <c r="C1009" t="str">
        <f>"410482198606287739"</f>
        <v>410482198606287739</v>
      </c>
      <c r="D1009" t="s">
        <v>1626</v>
      </c>
      <c r="E1009" t="s">
        <v>1627</v>
      </c>
      <c r="F1009" t="str">
        <f>"2018-12-12 16:45:31"</f>
        <v>2018-12-12 16:45:31</v>
      </c>
    </row>
    <row r="1010" spans="1:6" x14ac:dyDescent="0.3">
      <c r="A1010" t="s">
        <v>1628</v>
      </c>
      <c r="B1010" t="str">
        <f>"18435902400"</f>
        <v>18435902400</v>
      </c>
      <c r="C1010" t="str">
        <f>"142727197201091539"</f>
        <v>142727197201091539</v>
      </c>
      <c r="D1010" t="s">
        <v>1629</v>
      </c>
      <c r="E1010" t="s">
        <v>1630</v>
      </c>
      <c r="F1010" t="str">
        <f>"2018-12-12 15:12:07"</f>
        <v>2018-12-12 15:12:07</v>
      </c>
    </row>
    <row r="1011" spans="1:6" x14ac:dyDescent="0.3">
      <c r="A1011" t="s">
        <v>1631</v>
      </c>
      <c r="B1011" t="str">
        <f>"18529528845"</f>
        <v>18529528845</v>
      </c>
      <c r="C1011" t="str">
        <f>"360602199701022519"</f>
        <v>360602199701022519</v>
      </c>
      <c r="D1011" t="s">
        <v>1632</v>
      </c>
      <c r="E1011" t="s">
        <v>1633</v>
      </c>
      <c r="F1011" t="str">
        <f>"2018-12-12 14:46:40"</f>
        <v>2018-12-12 14:46:40</v>
      </c>
    </row>
    <row r="1012" spans="1:6" x14ac:dyDescent="0.3">
      <c r="A1012" t="s">
        <v>1634</v>
      </c>
      <c r="B1012" t="str">
        <f>"18368024022"</f>
        <v>18368024022</v>
      </c>
      <c r="C1012" t="str">
        <f>"330122198211231316"</f>
        <v>330122198211231316</v>
      </c>
      <c r="D1012" t="s">
        <v>1635</v>
      </c>
      <c r="E1012" t="s">
        <v>1636</v>
      </c>
      <c r="F1012" t="str">
        <f>"2018-12-12 12:20:06"</f>
        <v>2018-12-12 12:20:06</v>
      </c>
    </row>
    <row r="1013" spans="1:6" x14ac:dyDescent="0.3">
      <c r="A1013" t="s">
        <v>1637</v>
      </c>
      <c r="B1013" t="str">
        <f>"18953116498"</f>
        <v>18953116498</v>
      </c>
      <c r="C1013" t="str">
        <f>"372526197501250330"</f>
        <v>372526197501250330</v>
      </c>
      <c r="D1013" t="s">
        <v>1638</v>
      </c>
      <c r="E1013" t="s">
        <v>1639</v>
      </c>
      <c r="F1013" t="str">
        <f>"2018-12-12 12:05:21"</f>
        <v>2018-12-12 12:05:21</v>
      </c>
    </row>
    <row r="1014" spans="1:6" x14ac:dyDescent="0.3">
      <c r="A1014" t="s">
        <v>1640</v>
      </c>
      <c r="B1014" t="str">
        <f>"15002726813"</f>
        <v>15002726813</v>
      </c>
      <c r="C1014" t="str">
        <f>"350583197911165413"</f>
        <v>350583197911165413</v>
      </c>
      <c r="D1014" t="s">
        <v>0</v>
      </c>
      <c r="E1014" t="s">
        <v>0</v>
      </c>
      <c r="F1014" t="str">
        <f>"2018-12-12 10:47:07"</f>
        <v>2018-12-12 10:47:07</v>
      </c>
    </row>
    <row r="1015" spans="1:6" x14ac:dyDescent="0.3">
      <c r="A1015" t="s">
        <v>1641</v>
      </c>
      <c r="B1015" t="str">
        <f>"13985672485"</f>
        <v>13985672485</v>
      </c>
      <c r="C1015" t="str">
        <f>"510523197710014591"</f>
        <v>510523197710014591</v>
      </c>
      <c r="D1015" t="s">
        <v>1642</v>
      </c>
      <c r="E1015" t="s">
        <v>1643</v>
      </c>
      <c r="F1015" t="str">
        <f>"2018-12-12 10:32:25"</f>
        <v>2018-12-12 10:32:25</v>
      </c>
    </row>
    <row r="1016" spans="1:6" x14ac:dyDescent="0.3">
      <c r="A1016" t="s">
        <v>1644</v>
      </c>
      <c r="B1016" t="str">
        <f>"13457454047"</f>
        <v>13457454047</v>
      </c>
      <c r="C1016" t="str">
        <f>"450481199710070818"</f>
        <v>450481199710070818</v>
      </c>
      <c r="D1016" t="s">
        <v>1645</v>
      </c>
      <c r="E1016" t="s">
        <v>1646</v>
      </c>
      <c r="F1016" t="str">
        <f>"2018-12-11 22:43:18"</f>
        <v>2018-12-11 22:43:18</v>
      </c>
    </row>
    <row r="1017" spans="1:6" x14ac:dyDescent="0.3">
      <c r="A1017" t="s">
        <v>0</v>
      </c>
      <c r="B1017" t="str">
        <f>"17876452260"</f>
        <v>17876452260</v>
      </c>
      <c r="C1017" t="s">
        <v>0</v>
      </c>
      <c r="D1017" t="s">
        <v>0</v>
      </c>
      <c r="E1017" t="s">
        <v>0</v>
      </c>
      <c r="F1017" t="str">
        <f>"2018-12-11 20:28:11"</f>
        <v>2018-12-11 20:28:11</v>
      </c>
    </row>
    <row r="1018" spans="1:6" x14ac:dyDescent="0.3">
      <c r="A1018" t="s">
        <v>1647</v>
      </c>
      <c r="B1018" t="str">
        <f>"13978462740"</f>
        <v>13978462740</v>
      </c>
      <c r="C1018" t="str">
        <f>"452427198909291318"</f>
        <v>452427198909291318</v>
      </c>
      <c r="D1018" t="s">
        <v>1648</v>
      </c>
      <c r="E1018" t="s">
        <v>1649</v>
      </c>
      <c r="F1018" t="str">
        <f>"2018-12-11 17:05:10"</f>
        <v>2018-12-11 17:05:10</v>
      </c>
    </row>
    <row r="1019" spans="1:6" x14ac:dyDescent="0.3">
      <c r="A1019" t="s">
        <v>1650</v>
      </c>
      <c r="B1019" t="str">
        <f>"13485395149"</f>
        <v>13485395149</v>
      </c>
      <c r="C1019" t="str">
        <f>"142225199204104517"</f>
        <v>142225199204104517</v>
      </c>
      <c r="D1019" t="s">
        <v>1651</v>
      </c>
      <c r="E1019" t="s">
        <v>1652</v>
      </c>
      <c r="F1019" t="str">
        <f>"2018-12-11 13:38:12"</f>
        <v>2018-12-11 13:38:12</v>
      </c>
    </row>
    <row r="1020" spans="1:6" x14ac:dyDescent="0.3">
      <c r="A1020" t="s">
        <v>1653</v>
      </c>
      <c r="B1020" t="str">
        <f>"13305249486"</f>
        <v>13305249486</v>
      </c>
      <c r="C1020" t="str">
        <f>"320881197906265418"</f>
        <v>320881197906265418</v>
      </c>
      <c r="D1020" t="s">
        <v>1654</v>
      </c>
      <c r="E1020" t="s">
        <v>1655</v>
      </c>
      <c r="F1020" t="str">
        <f>"2018-12-11 11:22:30"</f>
        <v>2018-12-11 11:22:30</v>
      </c>
    </row>
    <row r="1021" spans="1:6" x14ac:dyDescent="0.3">
      <c r="A1021" t="s">
        <v>1656</v>
      </c>
      <c r="B1021" t="str">
        <f>"18376911299"</f>
        <v>18376911299</v>
      </c>
      <c r="C1021" t="str">
        <f>"45212619900510151X"</f>
        <v>45212619900510151X</v>
      </c>
      <c r="D1021" t="s">
        <v>1657</v>
      </c>
      <c r="E1021" t="s">
        <v>1657</v>
      </c>
      <c r="F1021" t="str">
        <f>"2018-12-11 11:01:09"</f>
        <v>2018-12-11 11:01:09</v>
      </c>
    </row>
    <row r="1022" spans="1:6" x14ac:dyDescent="0.3">
      <c r="A1022" t="s">
        <v>1658</v>
      </c>
      <c r="B1022" t="str">
        <f>"18203090204"</f>
        <v>18203090204</v>
      </c>
      <c r="C1022" t="str">
        <f>"510231198112080036"</f>
        <v>510231198112080036</v>
      </c>
      <c r="D1022" t="s">
        <v>1659</v>
      </c>
      <c r="E1022" t="s">
        <v>1660</v>
      </c>
      <c r="F1022" t="str">
        <f>"2018-12-11 06:33:53"</f>
        <v>2018-12-11 06:33:53</v>
      </c>
    </row>
    <row r="1023" spans="1:6" x14ac:dyDescent="0.3">
      <c r="A1023" t="s">
        <v>1661</v>
      </c>
      <c r="B1023" t="str">
        <f>"13605635419"</f>
        <v>13605635419</v>
      </c>
      <c r="C1023" t="str">
        <f>"341021198005061695"</f>
        <v>341021198005061695</v>
      </c>
      <c r="D1023" t="s">
        <v>1662</v>
      </c>
      <c r="E1023" t="s">
        <v>1663</v>
      </c>
      <c r="F1023" t="str">
        <f>"2018-12-10 21:08:06"</f>
        <v>2018-12-10 21:08:06</v>
      </c>
    </row>
    <row r="1024" spans="1:6" x14ac:dyDescent="0.3">
      <c r="A1024" t="s">
        <v>0</v>
      </c>
      <c r="B1024" t="str">
        <f>"18732424476"</f>
        <v>18732424476</v>
      </c>
      <c r="C1024" t="s">
        <v>0</v>
      </c>
      <c r="D1024" t="s">
        <v>0</v>
      </c>
      <c r="E1024" t="s">
        <v>0</v>
      </c>
      <c r="F1024" t="str">
        <f>"2018-12-10 13:49:07"</f>
        <v>2018-12-10 13:49:07</v>
      </c>
    </row>
    <row r="1025" spans="1:6" x14ac:dyDescent="0.3">
      <c r="A1025" t="s">
        <v>193</v>
      </c>
      <c r="B1025" t="str">
        <f>"13251364443"</f>
        <v>13251364443</v>
      </c>
      <c r="C1025" t="str">
        <f>"512201197711081312"</f>
        <v>512201197711081312</v>
      </c>
      <c r="D1025" t="s">
        <v>1664</v>
      </c>
      <c r="E1025" t="s">
        <v>1665</v>
      </c>
      <c r="F1025" t="str">
        <f>"2018-12-10 12:06:48"</f>
        <v>2018-12-10 12:06:48</v>
      </c>
    </row>
    <row r="1026" spans="1:6" x14ac:dyDescent="0.3">
      <c r="A1026" t="s">
        <v>1666</v>
      </c>
      <c r="B1026" t="str">
        <f>"13956508164"</f>
        <v>13956508164</v>
      </c>
      <c r="C1026" t="str">
        <f>"340821197907220614"</f>
        <v>340821197907220614</v>
      </c>
      <c r="D1026" t="s">
        <v>1667</v>
      </c>
      <c r="E1026" t="s">
        <v>1668</v>
      </c>
      <c r="F1026" t="str">
        <f>"2018-12-10 11:28:27"</f>
        <v>2018-12-10 11:28:27</v>
      </c>
    </row>
    <row r="1027" spans="1:6" x14ac:dyDescent="0.3">
      <c r="A1027" t="s">
        <v>1669</v>
      </c>
      <c r="B1027" t="str">
        <f>"15117135843"</f>
        <v>15117135843</v>
      </c>
      <c r="C1027" t="str">
        <f>"622827198505053122"</f>
        <v>622827198505053122</v>
      </c>
      <c r="D1027" t="s">
        <v>1670</v>
      </c>
      <c r="E1027" t="s">
        <v>1671</v>
      </c>
      <c r="F1027" t="str">
        <f>"2018-12-10 09:59:48"</f>
        <v>2018-12-10 09:59:48</v>
      </c>
    </row>
    <row r="1028" spans="1:6" x14ac:dyDescent="0.3">
      <c r="A1028" t="s">
        <v>1672</v>
      </c>
      <c r="B1028" t="str">
        <f>"15817444153"</f>
        <v>15817444153</v>
      </c>
      <c r="C1028" t="str">
        <f>"441522199201153011"</f>
        <v>441522199201153011</v>
      </c>
      <c r="D1028" t="s">
        <v>1673</v>
      </c>
      <c r="E1028" t="s">
        <v>1674</v>
      </c>
      <c r="F1028" t="str">
        <f>"2018-12-10 08:40:51"</f>
        <v>2018-12-10 08:40:51</v>
      </c>
    </row>
    <row r="1029" spans="1:6" x14ac:dyDescent="0.3">
      <c r="A1029" t="s">
        <v>1675</v>
      </c>
      <c r="B1029" t="str">
        <f>"15814967637"</f>
        <v>15814967637</v>
      </c>
      <c r="C1029" t="str">
        <f>"445102198909291913"</f>
        <v>445102198909291913</v>
      </c>
      <c r="D1029" t="s">
        <v>1676</v>
      </c>
      <c r="E1029" t="s">
        <v>1677</v>
      </c>
      <c r="F1029" t="str">
        <f>"2018-12-09 17:45:36"</f>
        <v>2018-12-09 17:45:36</v>
      </c>
    </row>
    <row r="1030" spans="1:6" x14ac:dyDescent="0.3">
      <c r="A1030" t="s">
        <v>1678</v>
      </c>
      <c r="B1030" t="str">
        <f>"15015279299"</f>
        <v>15015279299</v>
      </c>
      <c r="C1030" t="str">
        <f>"430725199404052525"</f>
        <v>430725199404052525</v>
      </c>
      <c r="D1030" t="s">
        <v>0</v>
      </c>
      <c r="E1030" t="s">
        <v>0</v>
      </c>
      <c r="F1030" t="str">
        <f>"2018-12-09 17:36:13"</f>
        <v>2018-12-09 17:36:13</v>
      </c>
    </row>
    <row r="1031" spans="1:6" x14ac:dyDescent="0.3">
      <c r="A1031" t="s">
        <v>1679</v>
      </c>
      <c r="B1031" t="str">
        <f>"15586355611"</f>
        <v>15586355611</v>
      </c>
      <c r="C1031" t="str">
        <f>"420528199604264713"</f>
        <v>420528199604264713</v>
      </c>
      <c r="D1031" t="s">
        <v>1680</v>
      </c>
      <c r="E1031" t="s">
        <v>1681</v>
      </c>
      <c r="F1031" t="str">
        <f>"2018-12-09 17:15:35"</f>
        <v>2018-12-09 17:15:35</v>
      </c>
    </row>
    <row r="1032" spans="1:6" x14ac:dyDescent="0.3">
      <c r="A1032" t="s">
        <v>1682</v>
      </c>
      <c r="B1032" t="str">
        <f>"13986276768"</f>
        <v>13986276768</v>
      </c>
      <c r="C1032" t="str">
        <f>"420103198307110829"</f>
        <v>420103198307110829</v>
      </c>
      <c r="D1032" t="s">
        <v>1683</v>
      </c>
      <c r="E1032" t="s">
        <v>1684</v>
      </c>
      <c r="F1032" t="str">
        <f>"2018-12-09 16:19:20"</f>
        <v>2018-12-09 16:19:20</v>
      </c>
    </row>
    <row r="1033" spans="1:6" x14ac:dyDescent="0.3">
      <c r="A1033" t="s">
        <v>1685</v>
      </c>
      <c r="B1033" t="str">
        <f>"13266191561"</f>
        <v>13266191561</v>
      </c>
      <c r="C1033" t="str">
        <f>"43112119870926843X"</f>
        <v>43112119870926843X</v>
      </c>
      <c r="D1033" t="s">
        <v>0</v>
      </c>
      <c r="E1033" t="s">
        <v>0</v>
      </c>
      <c r="F1033" t="str">
        <f>"2018-12-09 15:35:57"</f>
        <v>2018-12-09 15:35:57</v>
      </c>
    </row>
    <row r="1034" spans="1:6" x14ac:dyDescent="0.3">
      <c r="A1034" t="s">
        <v>1686</v>
      </c>
      <c r="B1034" t="str">
        <f>"17677107721"</f>
        <v>17677107721</v>
      </c>
      <c r="C1034" t="str">
        <f>"452124199509112412"</f>
        <v>452124199509112412</v>
      </c>
      <c r="D1034" t="s">
        <v>0</v>
      </c>
      <c r="E1034" t="s">
        <v>0</v>
      </c>
      <c r="F1034" t="str">
        <f>"2018-12-09 15:32:29"</f>
        <v>2018-12-09 15:32:29</v>
      </c>
    </row>
    <row r="1035" spans="1:6" x14ac:dyDescent="0.3">
      <c r="A1035" t="s">
        <v>1687</v>
      </c>
      <c r="B1035" t="str">
        <f>"18946118765"</f>
        <v>18946118765</v>
      </c>
      <c r="C1035" t="str">
        <f>"230106198407121414"</f>
        <v>230106198407121414</v>
      </c>
      <c r="D1035" t="s">
        <v>1688</v>
      </c>
      <c r="E1035" t="s">
        <v>1689</v>
      </c>
      <c r="F1035" t="str">
        <f>"2018-12-09 14:16:43"</f>
        <v>2018-12-09 14:16:43</v>
      </c>
    </row>
    <row r="1036" spans="1:6" x14ac:dyDescent="0.3">
      <c r="A1036" t="s">
        <v>1690</v>
      </c>
      <c r="B1036" t="str">
        <f>"13888214504"</f>
        <v>13888214504</v>
      </c>
      <c r="C1036" t="str">
        <f>"530111198901237190"</f>
        <v>530111198901237190</v>
      </c>
      <c r="D1036" t="s">
        <v>1691</v>
      </c>
      <c r="E1036" t="s">
        <v>1692</v>
      </c>
      <c r="F1036" t="str">
        <f>"2018-12-09 14:10:53"</f>
        <v>2018-12-09 14:10:53</v>
      </c>
    </row>
    <row r="1037" spans="1:6" x14ac:dyDescent="0.3">
      <c r="A1037" t="s">
        <v>1693</v>
      </c>
      <c r="B1037" t="str">
        <f>"13945922654"</f>
        <v>13945922654</v>
      </c>
      <c r="C1037" t="str">
        <f>"230622198306194953"</f>
        <v>230622198306194953</v>
      </c>
      <c r="D1037" t="s">
        <v>1694</v>
      </c>
      <c r="E1037" t="s">
        <v>1695</v>
      </c>
      <c r="F1037" t="str">
        <f>"2018-12-09 13:54:56"</f>
        <v>2018-12-09 13:54:56</v>
      </c>
    </row>
    <row r="1038" spans="1:6" x14ac:dyDescent="0.3">
      <c r="A1038" t="s">
        <v>1696</v>
      </c>
      <c r="B1038" t="str">
        <f>"18180886888"</f>
        <v>18180886888</v>
      </c>
      <c r="C1038" t="str">
        <f>"510824197904077139"</f>
        <v>510824197904077139</v>
      </c>
      <c r="D1038" t="s">
        <v>1697</v>
      </c>
      <c r="E1038" t="s">
        <v>1698</v>
      </c>
      <c r="F1038" t="str">
        <f>"2018-12-09 13:53:39"</f>
        <v>2018-12-09 13:53:39</v>
      </c>
    </row>
    <row r="1039" spans="1:6" x14ac:dyDescent="0.3">
      <c r="A1039" t="s">
        <v>1699</v>
      </c>
      <c r="B1039" t="str">
        <f>"13322142222"</f>
        <v>13322142222</v>
      </c>
      <c r="C1039" t="str">
        <f>"210504197703141314"</f>
        <v>210504197703141314</v>
      </c>
      <c r="D1039" t="s">
        <v>1700</v>
      </c>
      <c r="E1039" t="s">
        <v>1701</v>
      </c>
      <c r="F1039" t="str">
        <f>"2018-12-08 23:24:18"</f>
        <v>2018-12-08 23:24:18</v>
      </c>
    </row>
    <row r="1040" spans="1:6" x14ac:dyDescent="0.3">
      <c r="A1040" t="s">
        <v>0</v>
      </c>
      <c r="B1040" t="str">
        <f>"17193148624"</f>
        <v>17193148624</v>
      </c>
      <c r="C1040" t="s">
        <v>0</v>
      </c>
      <c r="D1040" t="s">
        <v>0</v>
      </c>
      <c r="E1040" t="s">
        <v>0</v>
      </c>
      <c r="F1040" t="str">
        <f>"2018-12-08 22:54:57"</f>
        <v>2018-12-08 22:54:57</v>
      </c>
    </row>
    <row r="1041" spans="1:6" x14ac:dyDescent="0.3">
      <c r="A1041" t="s">
        <v>1702</v>
      </c>
      <c r="B1041" t="str">
        <f>"15124591057"</f>
        <v>15124591057</v>
      </c>
      <c r="C1041" t="str">
        <f>"232330198709034415"</f>
        <v>232330198709034415</v>
      </c>
      <c r="D1041" t="s">
        <v>0</v>
      </c>
      <c r="E1041" t="s">
        <v>0</v>
      </c>
      <c r="F1041" t="str">
        <f>"2018-12-08 21:39:11"</f>
        <v>2018-12-08 21:39:11</v>
      </c>
    </row>
    <row r="1042" spans="1:6" x14ac:dyDescent="0.3">
      <c r="A1042" t="s">
        <v>1703</v>
      </c>
      <c r="B1042" t="str">
        <f>"15856663001"</f>
        <v>15856663001</v>
      </c>
      <c r="C1042" t="str">
        <f>"341124198510163013"</f>
        <v>341124198510163013</v>
      </c>
      <c r="D1042" t="s">
        <v>0</v>
      </c>
      <c r="E1042" t="s">
        <v>0</v>
      </c>
      <c r="F1042" t="str">
        <f>"2018-12-08 20:04:00"</f>
        <v>2018-12-08 20:04:00</v>
      </c>
    </row>
    <row r="1043" spans="1:6" x14ac:dyDescent="0.3">
      <c r="A1043" t="s">
        <v>1704</v>
      </c>
      <c r="B1043" t="str">
        <f>"13871298274"</f>
        <v>13871298274</v>
      </c>
      <c r="C1043" t="str">
        <f>"420106199308133612"</f>
        <v>420106199308133612</v>
      </c>
      <c r="D1043" t="s">
        <v>1705</v>
      </c>
      <c r="E1043" t="s">
        <v>1706</v>
      </c>
      <c r="F1043" t="str">
        <f>"2018-12-08 17:30:50"</f>
        <v>2018-12-08 17:30:50</v>
      </c>
    </row>
    <row r="1044" spans="1:6" x14ac:dyDescent="0.3">
      <c r="A1044" t="s">
        <v>1707</v>
      </c>
      <c r="B1044" t="str">
        <f>"18286521196"</f>
        <v>18286521196</v>
      </c>
      <c r="C1044" t="str">
        <f>"522633199404105015"</f>
        <v>522633199404105015</v>
      </c>
      <c r="D1044" t="s">
        <v>1708</v>
      </c>
      <c r="E1044" t="s">
        <v>1709</v>
      </c>
      <c r="F1044" t="str">
        <f>"2018-12-08 15:38:30"</f>
        <v>2018-12-08 15:38:30</v>
      </c>
    </row>
    <row r="1045" spans="1:6" x14ac:dyDescent="0.3">
      <c r="A1045" t="s">
        <v>1710</v>
      </c>
      <c r="B1045" t="str">
        <f>"15628286781"</f>
        <v>15628286781</v>
      </c>
      <c r="C1045" t="str">
        <f>"65012119901031242X"</f>
        <v>65012119901031242X</v>
      </c>
      <c r="D1045" t="s">
        <v>0</v>
      </c>
      <c r="E1045" t="s">
        <v>0</v>
      </c>
      <c r="F1045" t="str">
        <f>"2018-12-08 15:07:31"</f>
        <v>2018-12-08 15:07:31</v>
      </c>
    </row>
    <row r="1046" spans="1:6" x14ac:dyDescent="0.3">
      <c r="A1046" t="s">
        <v>1711</v>
      </c>
      <c r="B1046" t="str">
        <f>"13987736505"</f>
        <v>13987736505</v>
      </c>
      <c r="C1046" t="str">
        <f>"530422199009080321"</f>
        <v>530422199009080321</v>
      </c>
      <c r="D1046" t="s">
        <v>1712</v>
      </c>
      <c r="E1046" t="s">
        <v>1713</v>
      </c>
      <c r="F1046" t="str">
        <f>"2018-12-08 14:46:21"</f>
        <v>2018-12-08 14:46:21</v>
      </c>
    </row>
    <row r="1047" spans="1:6" x14ac:dyDescent="0.3">
      <c r="A1047" t="s">
        <v>1714</v>
      </c>
      <c r="B1047" t="str">
        <f>"18772676686"</f>
        <v>18772676686</v>
      </c>
      <c r="C1047" t="str">
        <f>"421002198610061416"</f>
        <v>421002198610061416</v>
      </c>
      <c r="D1047" t="s">
        <v>1715</v>
      </c>
      <c r="E1047" t="s">
        <v>1716</v>
      </c>
      <c r="F1047" t="str">
        <f>"2018-12-08 14:40:30"</f>
        <v>2018-12-08 14:40:30</v>
      </c>
    </row>
    <row r="1048" spans="1:6" x14ac:dyDescent="0.3">
      <c r="A1048" t="s">
        <v>1717</v>
      </c>
      <c r="B1048" t="str">
        <f>"18672428538"</f>
        <v>18672428538</v>
      </c>
      <c r="C1048" t="str">
        <f>"421003198111080539"</f>
        <v>421003198111080539</v>
      </c>
      <c r="D1048" t="s">
        <v>0</v>
      </c>
      <c r="E1048" t="s">
        <v>0</v>
      </c>
      <c r="F1048" t="str">
        <f>"2018-12-08 12:29:47"</f>
        <v>2018-12-08 12:29:47</v>
      </c>
    </row>
    <row r="1049" spans="1:6" x14ac:dyDescent="0.3">
      <c r="A1049" t="s">
        <v>1718</v>
      </c>
      <c r="B1049" t="str">
        <f>"18754099357"</f>
        <v>18754099357</v>
      </c>
      <c r="C1049" t="str">
        <f>"372923197808120058"</f>
        <v>372923197808120058</v>
      </c>
      <c r="D1049" t="s">
        <v>1719</v>
      </c>
      <c r="E1049" t="s">
        <v>1720</v>
      </c>
      <c r="F1049" t="str">
        <f>"2018-12-08 12:25:36"</f>
        <v>2018-12-08 12:25:36</v>
      </c>
    </row>
    <row r="1050" spans="1:6" x14ac:dyDescent="0.3">
      <c r="A1050" t="s">
        <v>1721</v>
      </c>
      <c r="B1050" t="str">
        <f>"18234309457"</f>
        <v>18234309457</v>
      </c>
      <c r="C1050" t="str">
        <f>"140322199611266614"</f>
        <v>140322199611266614</v>
      </c>
      <c r="D1050" t="s">
        <v>1722</v>
      </c>
      <c r="E1050" t="s">
        <v>1723</v>
      </c>
      <c r="F1050" t="str">
        <f>"2018-12-07 23:57:51"</f>
        <v>2018-12-07 23:57:51</v>
      </c>
    </row>
    <row r="1051" spans="1:6" x14ac:dyDescent="0.3">
      <c r="A1051" t="s">
        <v>1724</v>
      </c>
      <c r="B1051" t="str">
        <f>"15976084630"</f>
        <v>15976084630</v>
      </c>
      <c r="C1051" t="str">
        <f>"360728198804282529"</f>
        <v>360728198804282529</v>
      </c>
      <c r="D1051" t="s">
        <v>1725</v>
      </c>
      <c r="E1051" t="s">
        <v>1726</v>
      </c>
      <c r="F1051" t="str">
        <f>"2018-12-07 20:56:32"</f>
        <v>2018-12-07 20:56:32</v>
      </c>
    </row>
    <row r="1052" spans="1:6" x14ac:dyDescent="0.3">
      <c r="A1052" t="s">
        <v>1727</v>
      </c>
      <c r="B1052" t="str">
        <f>"18204615371"</f>
        <v>18204615371</v>
      </c>
      <c r="C1052" t="str">
        <f>"232303199212055814"</f>
        <v>232303199212055814</v>
      </c>
      <c r="D1052" t="s">
        <v>1728</v>
      </c>
      <c r="E1052" t="s">
        <v>1729</v>
      </c>
      <c r="F1052" t="str">
        <f>"2018-12-07 14:31:43"</f>
        <v>2018-12-07 14:31:43</v>
      </c>
    </row>
    <row r="1053" spans="1:6" x14ac:dyDescent="0.3">
      <c r="A1053" t="s">
        <v>1730</v>
      </c>
      <c r="B1053" t="str">
        <f>"15019555455"</f>
        <v>15019555455</v>
      </c>
      <c r="C1053" t="str">
        <f>"440306198209293514"</f>
        <v>440306198209293514</v>
      </c>
      <c r="D1053" t="s">
        <v>0</v>
      </c>
      <c r="E1053" t="s">
        <v>0</v>
      </c>
      <c r="F1053" t="str">
        <f>"2018-12-07 13:35:16"</f>
        <v>2018-12-07 13:35:16</v>
      </c>
    </row>
    <row r="1054" spans="1:6" x14ac:dyDescent="0.3">
      <c r="A1054" t="s">
        <v>1731</v>
      </c>
      <c r="B1054" t="str">
        <f>"13081200101"</f>
        <v>13081200101</v>
      </c>
      <c r="C1054" t="str">
        <f>"211402198910051415"</f>
        <v>211402198910051415</v>
      </c>
      <c r="D1054" t="s">
        <v>1732</v>
      </c>
      <c r="E1054" t="s">
        <v>1733</v>
      </c>
      <c r="F1054" t="str">
        <f>"2018-12-07 13:24:43"</f>
        <v>2018-12-07 13:24:43</v>
      </c>
    </row>
    <row r="1055" spans="1:6" x14ac:dyDescent="0.3">
      <c r="A1055" t="s">
        <v>1734</v>
      </c>
      <c r="B1055" t="str">
        <f>"15863950509"</f>
        <v>15863950509</v>
      </c>
      <c r="C1055" t="str">
        <f>"372801197811184817"</f>
        <v>372801197811184817</v>
      </c>
      <c r="D1055" t="s">
        <v>1735</v>
      </c>
      <c r="E1055" t="s">
        <v>1736</v>
      </c>
      <c r="F1055" t="str">
        <f>"2018-12-07 11:26:09"</f>
        <v>2018-12-07 11:26:09</v>
      </c>
    </row>
    <row r="1056" spans="1:6" x14ac:dyDescent="0.3">
      <c r="A1056" t="s">
        <v>1737</v>
      </c>
      <c r="B1056" t="str">
        <f>"15153345490"</f>
        <v>15153345490</v>
      </c>
      <c r="C1056" t="str">
        <f>"37030219891010292X"</f>
        <v>37030219891010292X</v>
      </c>
      <c r="D1056" t="s">
        <v>0</v>
      </c>
      <c r="E1056" t="s">
        <v>0</v>
      </c>
      <c r="F1056" t="str">
        <f>"2018-12-07 09:32:29"</f>
        <v>2018-12-07 09:32:29</v>
      </c>
    </row>
    <row r="1057" spans="1:6" x14ac:dyDescent="0.3">
      <c r="A1057" t="s">
        <v>0</v>
      </c>
      <c r="B1057" t="str">
        <f>"17193148642"</f>
        <v>17193148642</v>
      </c>
      <c r="C1057" t="s">
        <v>0</v>
      </c>
      <c r="D1057" t="s">
        <v>0</v>
      </c>
      <c r="E1057" t="s">
        <v>0</v>
      </c>
      <c r="F1057" t="str">
        <f>"2018-12-07 08:48:53"</f>
        <v>2018-12-07 08:48:53</v>
      </c>
    </row>
    <row r="1058" spans="1:6" x14ac:dyDescent="0.3">
      <c r="A1058" t="s">
        <v>1738</v>
      </c>
      <c r="B1058" t="str">
        <f>"13859866104"</f>
        <v>13859866104</v>
      </c>
      <c r="C1058" t="str">
        <f>"350423198308133516"</f>
        <v>350423198308133516</v>
      </c>
      <c r="D1058" t="s">
        <v>1739</v>
      </c>
      <c r="E1058" t="s">
        <v>1740</v>
      </c>
      <c r="F1058" t="str">
        <f>"2018-12-06 20:34:07"</f>
        <v>2018-12-06 20:34:07</v>
      </c>
    </row>
    <row r="1059" spans="1:6" x14ac:dyDescent="0.3">
      <c r="A1059" t="s">
        <v>1741</v>
      </c>
      <c r="B1059" t="str">
        <f>"13682636767"</f>
        <v>13682636767</v>
      </c>
      <c r="C1059" t="str">
        <f>"532625199409280359"</f>
        <v>532625199409280359</v>
      </c>
      <c r="D1059" t="s">
        <v>1742</v>
      </c>
      <c r="E1059" t="s">
        <v>1743</v>
      </c>
      <c r="F1059" t="str">
        <f>"2018-12-06 16:13:12"</f>
        <v>2018-12-06 16:13:12</v>
      </c>
    </row>
    <row r="1060" spans="1:6" x14ac:dyDescent="0.3">
      <c r="A1060" t="s">
        <v>0</v>
      </c>
      <c r="B1060" t="str">
        <f>"13546363640"</f>
        <v>13546363640</v>
      </c>
      <c r="C1060" t="s">
        <v>0</v>
      </c>
      <c r="D1060" t="s">
        <v>0</v>
      </c>
      <c r="E1060" t="s">
        <v>0</v>
      </c>
      <c r="F1060" t="str">
        <f>"2018-12-06 15:59:57"</f>
        <v>2018-12-06 15:59:57</v>
      </c>
    </row>
    <row r="1061" spans="1:6" x14ac:dyDescent="0.3">
      <c r="A1061" t="s">
        <v>1744</v>
      </c>
      <c r="B1061" t="str">
        <f>"17714910398"</f>
        <v>17714910398</v>
      </c>
      <c r="C1061" t="str">
        <f>"321322199812291036"</f>
        <v>321322199812291036</v>
      </c>
      <c r="D1061" t="s">
        <v>1745</v>
      </c>
      <c r="E1061" t="s">
        <v>1746</v>
      </c>
      <c r="F1061" t="str">
        <f>"2018-12-06 15:17:07"</f>
        <v>2018-12-06 15:17:07</v>
      </c>
    </row>
    <row r="1062" spans="1:6" x14ac:dyDescent="0.3">
      <c r="A1062" t="s">
        <v>1747</v>
      </c>
      <c r="B1062" t="str">
        <f>"18073510211"</f>
        <v>18073510211</v>
      </c>
      <c r="C1062" t="str">
        <f>"431023199509036556"</f>
        <v>431023199509036556</v>
      </c>
      <c r="D1062" t="s">
        <v>1748</v>
      </c>
      <c r="E1062" t="s">
        <v>1749</v>
      </c>
      <c r="F1062" t="str">
        <f>"2018-12-06 15:16:21"</f>
        <v>2018-12-06 15:16:21</v>
      </c>
    </row>
    <row r="1063" spans="1:6" x14ac:dyDescent="0.3">
      <c r="A1063" t="s">
        <v>1750</v>
      </c>
      <c r="B1063" t="str">
        <f>"15270601780"</f>
        <v>15270601780</v>
      </c>
      <c r="C1063" t="str">
        <f>"360702199609100065"</f>
        <v>360702199609100065</v>
      </c>
      <c r="D1063" t="s">
        <v>1751</v>
      </c>
      <c r="E1063" t="s">
        <v>1752</v>
      </c>
      <c r="F1063" t="str">
        <f>"2018-12-06 15:03:31"</f>
        <v>2018-12-06 15:03:31</v>
      </c>
    </row>
    <row r="1064" spans="1:6" x14ac:dyDescent="0.3">
      <c r="A1064" t="s">
        <v>1753</v>
      </c>
      <c r="B1064" t="str">
        <f>"13355541771"</f>
        <v>13355541771</v>
      </c>
      <c r="C1064" t="str">
        <f>"340421198907300094"</f>
        <v>340421198907300094</v>
      </c>
      <c r="D1064" t="s">
        <v>1754</v>
      </c>
      <c r="E1064" t="s">
        <v>1755</v>
      </c>
      <c r="F1064" t="str">
        <f>"2018-12-06 13:47:58"</f>
        <v>2018-12-06 13:47:58</v>
      </c>
    </row>
    <row r="1065" spans="1:6" x14ac:dyDescent="0.3">
      <c r="A1065" t="s">
        <v>1756</v>
      </c>
      <c r="B1065" t="str">
        <f>"15271452260"</f>
        <v>15271452260</v>
      </c>
      <c r="C1065" t="str">
        <f>"420583198510010050"</f>
        <v>420583198510010050</v>
      </c>
      <c r="D1065" t="s">
        <v>1757</v>
      </c>
      <c r="E1065" t="s">
        <v>1758</v>
      </c>
      <c r="F1065" t="str">
        <f>"2018-12-06 13:15:22"</f>
        <v>2018-12-06 13:15:22</v>
      </c>
    </row>
    <row r="1066" spans="1:6" x14ac:dyDescent="0.3">
      <c r="A1066" t="s">
        <v>0</v>
      </c>
      <c r="B1066" t="str">
        <f>"15858588204"</f>
        <v>15858588204</v>
      </c>
      <c r="C1066" t="s">
        <v>0</v>
      </c>
      <c r="D1066" t="s">
        <v>0</v>
      </c>
      <c r="E1066" t="s">
        <v>0</v>
      </c>
      <c r="F1066" t="str">
        <f>"2018-12-06 12:09:43"</f>
        <v>2018-12-06 12:09:43</v>
      </c>
    </row>
    <row r="1067" spans="1:6" x14ac:dyDescent="0.3">
      <c r="A1067" t="s">
        <v>0</v>
      </c>
      <c r="B1067" t="str">
        <f>"13515663548"</f>
        <v>13515663548</v>
      </c>
      <c r="C1067" t="s">
        <v>0</v>
      </c>
      <c r="D1067" t="s">
        <v>0</v>
      </c>
      <c r="E1067" t="s">
        <v>0</v>
      </c>
      <c r="F1067" t="str">
        <f>"2018-12-06 12:06:20"</f>
        <v>2018-12-06 12:06:20</v>
      </c>
    </row>
    <row r="1068" spans="1:6" x14ac:dyDescent="0.3">
      <c r="A1068" t="s">
        <v>1759</v>
      </c>
      <c r="B1068" t="str">
        <f>"18855487121"</f>
        <v>18855487121</v>
      </c>
      <c r="C1068" t="str">
        <f>"341226199502194752"</f>
        <v>341226199502194752</v>
      </c>
      <c r="D1068" t="s">
        <v>1760</v>
      </c>
      <c r="E1068" t="s">
        <v>1761</v>
      </c>
      <c r="F1068" t="str">
        <f>"2018-12-06 11:56:47"</f>
        <v>2018-12-06 11:56:47</v>
      </c>
    </row>
    <row r="1069" spans="1:6" x14ac:dyDescent="0.3">
      <c r="A1069" t="s">
        <v>0</v>
      </c>
      <c r="B1069" t="str">
        <f>"17193148641"</f>
        <v>17193148641</v>
      </c>
      <c r="C1069" t="s">
        <v>0</v>
      </c>
      <c r="D1069" t="s">
        <v>0</v>
      </c>
      <c r="E1069" t="s">
        <v>0</v>
      </c>
      <c r="F1069" t="str">
        <f>"2018-12-06 10:06:20"</f>
        <v>2018-12-06 10:06:20</v>
      </c>
    </row>
    <row r="1070" spans="1:6" x14ac:dyDescent="0.3">
      <c r="A1070" t="s">
        <v>0</v>
      </c>
      <c r="B1070" t="str">
        <f>"17193148041"</f>
        <v>17193148041</v>
      </c>
      <c r="C1070" t="s">
        <v>0</v>
      </c>
      <c r="D1070" t="s">
        <v>0</v>
      </c>
      <c r="E1070" t="s">
        <v>0</v>
      </c>
      <c r="F1070" t="str">
        <f>"2018-12-05 23:13:09"</f>
        <v>2018-12-05 23:13:09</v>
      </c>
    </row>
    <row r="1071" spans="1:6" x14ac:dyDescent="0.3">
      <c r="A1071" t="s">
        <v>1762</v>
      </c>
      <c r="B1071" t="str">
        <f>"13340846311"</f>
        <v>13340846311</v>
      </c>
      <c r="C1071" t="str">
        <f>"511023198505064811"</f>
        <v>511023198505064811</v>
      </c>
      <c r="D1071" t="s">
        <v>1763</v>
      </c>
      <c r="E1071" t="s">
        <v>1764</v>
      </c>
      <c r="F1071" t="str">
        <f>"2018-12-05 20:46:08"</f>
        <v>2018-12-05 20:46:08</v>
      </c>
    </row>
    <row r="1072" spans="1:6" x14ac:dyDescent="0.3">
      <c r="A1072" t="s">
        <v>0</v>
      </c>
      <c r="B1072" t="str">
        <f>"13979707461"</f>
        <v>13979707461</v>
      </c>
      <c r="C1072" t="s">
        <v>0</v>
      </c>
      <c r="D1072" t="s">
        <v>0</v>
      </c>
      <c r="E1072" t="s">
        <v>0</v>
      </c>
      <c r="F1072" t="str">
        <f>"2018-12-05 17:23:18"</f>
        <v>2018-12-05 17:23:18</v>
      </c>
    </row>
    <row r="1073" spans="1:6" x14ac:dyDescent="0.3">
      <c r="A1073" t="s">
        <v>1765</v>
      </c>
      <c r="B1073" t="str">
        <f>"13006160393"</f>
        <v>13006160393</v>
      </c>
      <c r="C1073" t="str">
        <f>"420104197504253329"</f>
        <v>420104197504253329</v>
      </c>
      <c r="D1073" t="s">
        <v>1766</v>
      </c>
      <c r="E1073" t="s">
        <v>1767</v>
      </c>
      <c r="F1073" t="str">
        <f>"2018-12-05 17:03:43"</f>
        <v>2018-12-05 17:03:43</v>
      </c>
    </row>
    <row r="1074" spans="1:6" x14ac:dyDescent="0.3">
      <c r="A1074" t="s">
        <v>1768</v>
      </c>
      <c r="B1074" t="str">
        <f>"18965136287"</f>
        <v>18965136287</v>
      </c>
      <c r="C1074" t="str">
        <f>"350825198311155411"</f>
        <v>350825198311155411</v>
      </c>
      <c r="D1074" t="s">
        <v>1769</v>
      </c>
      <c r="E1074" t="s">
        <v>1770</v>
      </c>
      <c r="F1074" t="str">
        <f>"2018-12-05 16:37:57"</f>
        <v>2018-12-05 16:37:57</v>
      </c>
    </row>
    <row r="1075" spans="1:6" x14ac:dyDescent="0.3">
      <c r="A1075" t="s">
        <v>1771</v>
      </c>
      <c r="B1075" t="str">
        <f>"18254641177"</f>
        <v>18254641177</v>
      </c>
      <c r="C1075" t="str">
        <f>"370502197009015221"</f>
        <v>370502197009015221</v>
      </c>
      <c r="D1075" t="s">
        <v>1772</v>
      </c>
      <c r="E1075" t="s">
        <v>1773</v>
      </c>
      <c r="F1075" t="str">
        <f>"2018-12-05 16:26:42"</f>
        <v>2018-12-05 16:26:42</v>
      </c>
    </row>
    <row r="1076" spans="1:6" x14ac:dyDescent="0.3">
      <c r="A1076" t="s">
        <v>1774</v>
      </c>
      <c r="B1076" t="str">
        <f>"18669850900"</f>
        <v>18669850900</v>
      </c>
      <c r="C1076" t="str">
        <f>"370827199002102595"</f>
        <v>370827199002102595</v>
      </c>
      <c r="D1076" t="s">
        <v>1775</v>
      </c>
      <c r="E1076" t="s">
        <v>1776</v>
      </c>
      <c r="F1076" t="str">
        <f>"2018-12-05 16:09:16"</f>
        <v>2018-12-05 16:09:16</v>
      </c>
    </row>
    <row r="1077" spans="1:6" x14ac:dyDescent="0.3">
      <c r="A1077" t="s">
        <v>1777</v>
      </c>
      <c r="B1077" t="str">
        <f>"18073725008"</f>
        <v>18073725008</v>
      </c>
      <c r="C1077" t="str">
        <f>"430981199104061413"</f>
        <v>430981199104061413</v>
      </c>
      <c r="D1077" t="s">
        <v>1778</v>
      </c>
      <c r="E1077" t="s">
        <v>1779</v>
      </c>
      <c r="F1077" t="str">
        <f>"2018-12-05 16:00:27"</f>
        <v>2018-12-05 16:00:27</v>
      </c>
    </row>
    <row r="1078" spans="1:6" x14ac:dyDescent="0.3">
      <c r="A1078" t="s">
        <v>1780</v>
      </c>
      <c r="B1078" t="str">
        <f>"13043841303"</f>
        <v>13043841303</v>
      </c>
      <c r="C1078" t="str">
        <f>"21128219831018301X"</f>
        <v>21128219831018301X</v>
      </c>
      <c r="D1078" t="s">
        <v>1781</v>
      </c>
      <c r="E1078" t="s">
        <v>1782</v>
      </c>
      <c r="F1078" t="str">
        <f>"2018-12-05 15:09:31"</f>
        <v>2018-12-05 15:09:31</v>
      </c>
    </row>
    <row r="1079" spans="1:6" x14ac:dyDescent="0.3">
      <c r="A1079" t="s">
        <v>1783</v>
      </c>
      <c r="B1079" t="str">
        <f>"13759553096"</f>
        <v>13759553096</v>
      </c>
      <c r="C1079" t="str">
        <f>"530326198410123418"</f>
        <v>530326198410123418</v>
      </c>
      <c r="D1079" t="s">
        <v>1784</v>
      </c>
      <c r="E1079" t="s">
        <v>1785</v>
      </c>
      <c r="F1079" t="str">
        <f>"2018-12-05 14:11:40"</f>
        <v>2018-12-05 14:11:40</v>
      </c>
    </row>
    <row r="1080" spans="1:6" x14ac:dyDescent="0.3">
      <c r="A1080" t="s">
        <v>1786</v>
      </c>
      <c r="B1080" t="str">
        <f>"18153979680"</f>
        <v>18153979680</v>
      </c>
      <c r="C1080" t="str">
        <f>"622427198905151459"</f>
        <v>622427198905151459</v>
      </c>
      <c r="D1080" t="s">
        <v>1787</v>
      </c>
      <c r="E1080" t="s">
        <v>1788</v>
      </c>
      <c r="F1080" t="str">
        <f>"2018-12-05 14:10:20"</f>
        <v>2018-12-05 14:10:20</v>
      </c>
    </row>
    <row r="1081" spans="1:6" x14ac:dyDescent="0.3">
      <c r="A1081" t="s">
        <v>0</v>
      </c>
      <c r="B1081" t="str">
        <f>"13650408678"</f>
        <v>13650408678</v>
      </c>
      <c r="C1081" t="s">
        <v>0</v>
      </c>
      <c r="D1081" t="s">
        <v>0</v>
      </c>
      <c r="E1081" t="s">
        <v>0</v>
      </c>
      <c r="F1081" t="str">
        <f>"2018-12-05 12:05:58"</f>
        <v>2018-12-05 12:05:58</v>
      </c>
    </row>
    <row r="1082" spans="1:6" x14ac:dyDescent="0.3">
      <c r="A1082" t="s">
        <v>0</v>
      </c>
      <c r="B1082" t="str">
        <f>"18372698872"</f>
        <v>18372698872</v>
      </c>
      <c r="C1082" t="s">
        <v>0</v>
      </c>
      <c r="D1082" t="s">
        <v>0</v>
      </c>
      <c r="E1082" t="s">
        <v>0</v>
      </c>
      <c r="F1082" t="str">
        <f>"2018-12-05 10:58:57"</f>
        <v>2018-12-05 10:58:57</v>
      </c>
    </row>
    <row r="1083" spans="1:6" x14ac:dyDescent="0.3">
      <c r="A1083" t="s">
        <v>1789</v>
      </c>
      <c r="B1083" t="str">
        <f>"18030482706"</f>
        <v>18030482706</v>
      </c>
      <c r="C1083" t="str">
        <f>"522724198703180212"</f>
        <v>522724198703180212</v>
      </c>
      <c r="D1083" t="s">
        <v>1790</v>
      </c>
      <c r="E1083" t="s">
        <v>1791</v>
      </c>
      <c r="F1083" t="str">
        <f>"2018-12-05 10:46:12"</f>
        <v>2018-12-05 10:46:12</v>
      </c>
    </row>
    <row r="1084" spans="1:6" x14ac:dyDescent="0.3">
      <c r="A1084" t="s">
        <v>0</v>
      </c>
      <c r="B1084" t="str">
        <f>"17193148114"</f>
        <v>17193148114</v>
      </c>
      <c r="C1084" t="s">
        <v>0</v>
      </c>
      <c r="D1084" t="s">
        <v>0</v>
      </c>
      <c r="E1084" t="s">
        <v>0</v>
      </c>
      <c r="F1084" t="str">
        <f>"2018-12-05 10:20:49"</f>
        <v>2018-12-05 10:20:49</v>
      </c>
    </row>
    <row r="1085" spans="1:6" x14ac:dyDescent="0.3">
      <c r="A1085" t="s">
        <v>0</v>
      </c>
      <c r="B1085" t="str">
        <f>"17193148042"</f>
        <v>17193148042</v>
      </c>
      <c r="C1085" t="s">
        <v>0</v>
      </c>
      <c r="D1085" t="s">
        <v>0</v>
      </c>
      <c r="E1085" t="s">
        <v>0</v>
      </c>
      <c r="F1085" t="str">
        <f>"2018-12-04 19:32:49"</f>
        <v>2018-12-04 19:32:49</v>
      </c>
    </row>
    <row r="1086" spans="1:6" x14ac:dyDescent="0.3">
      <c r="A1086" t="s">
        <v>1792</v>
      </c>
      <c r="B1086" t="str">
        <f>"18393916418"</f>
        <v>18393916418</v>
      </c>
      <c r="C1086" t="str">
        <f>"620121199112093816"</f>
        <v>620121199112093816</v>
      </c>
      <c r="D1086" t="s">
        <v>1793</v>
      </c>
      <c r="E1086" t="s">
        <v>1794</v>
      </c>
      <c r="F1086" t="str">
        <f>"2018-12-04 13:54:37"</f>
        <v>2018-12-04 13:54:37</v>
      </c>
    </row>
    <row r="1087" spans="1:6" x14ac:dyDescent="0.3">
      <c r="A1087" t="s">
        <v>0</v>
      </c>
      <c r="B1087" t="str">
        <f>"15940396422"</f>
        <v>15940396422</v>
      </c>
      <c r="C1087" t="s">
        <v>0</v>
      </c>
      <c r="D1087" t="s">
        <v>0</v>
      </c>
      <c r="E1087" t="s">
        <v>0</v>
      </c>
      <c r="F1087" t="str">
        <f>"2018-12-04 07:39:22"</f>
        <v>2018-12-04 07:39:22</v>
      </c>
    </row>
    <row r="1088" spans="1:6" x14ac:dyDescent="0.3">
      <c r="A1088" t="s">
        <v>0</v>
      </c>
      <c r="B1088" t="str">
        <f>"18265325251"</f>
        <v>18265325251</v>
      </c>
      <c r="C1088" t="s">
        <v>0</v>
      </c>
      <c r="D1088" t="s">
        <v>0</v>
      </c>
      <c r="E1088" t="s">
        <v>0</v>
      </c>
      <c r="F1088" t="str">
        <f>"2018-12-03 18:43:38"</f>
        <v>2018-12-03 18:43:38</v>
      </c>
    </row>
    <row r="1089" spans="1:6" x14ac:dyDescent="0.3">
      <c r="A1089" t="s">
        <v>1795</v>
      </c>
      <c r="B1089" t="str">
        <f>"18711028027"</f>
        <v>18711028027</v>
      </c>
      <c r="C1089" t="str">
        <f>"430422199601213070"</f>
        <v>430422199601213070</v>
      </c>
      <c r="D1089" t="s">
        <v>1796</v>
      </c>
      <c r="E1089" t="s">
        <v>1797</v>
      </c>
      <c r="F1089" t="str">
        <f>"2018-12-03 18:25:09"</f>
        <v>2018-12-03 18:25:09</v>
      </c>
    </row>
    <row r="1090" spans="1:6" x14ac:dyDescent="0.3">
      <c r="A1090" t="s">
        <v>1798</v>
      </c>
      <c r="B1090" t="str">
        <f>"15558001827"</f>
        <v>15558001827</v>
      </c>
      <c r="C1090" t="str">
        <f>"33012419931215461X"</f>
        <v>33012419931215461X</v>
      </c>
      <c r="D1090" t="s">
        <v>1799</v>
      </c>
      <c r="E1090" t="s">
        <v>1800</v>
      </c>
      <c r="F1090" t="str">
        <f>"2018-12-03 18:12:37"</f>
        <v>2018-12-03 18:12:37</v>
      </c>
    </row>
    <row r="1091" spans="1:6" x14ac:dyDescent="0.3">
      <c r="A1091" t="s">
        <v>0</v>
      </c>
      <c r="B1091" t="str">
        <f>"17193148045"</f>
        <v>17193148045</v>
      </c>
      <c r="C1091" t="s">
        <v>0</v>
      </c>
      <c r="D1091" t="s">
        <v>0</v>
      </c>
      <c r="E1091" t="s">
        <v>0</v>
      </c>
      <c r="F1091" t="str">
        <f>"2018-12-03 15:26:34"</f>
        <v>2018-12-03 15:26:34</v>
      </c>
    </row>
    <row r="1092" spans="1:6" x14ac:dyDescent="0.3">
      <c r="A1092" t="s">
        <v>1801</v>
      </c>
      <c r="B1092" t="str">
        <f>"18320850484"</f>
        <v>18320850484</v>
      </c>
      <c r="C1092" t="str">
        <f>"350821198604030836"</f>
        <v>350821198604030836</v>
      </c>
      <c r="D1092" t="s">
        <v>0</v>
      </c>
      <c r="E1092" t="s">
        <v>0</v>
      </c>
      <c r="F1092" t="str">
        <f>"2018-12-03 14:09:31"</f>
        <v>2018-12-03 14:09:31</v>
      </c>
    </row>
    <row r="1093" spans="1:6" x14ac:dyDescent="0.3">
      <c r="A1093" t="s">
        <v>1802</v>
      </c>
      <c r="B1093" t="str">
        <f>"18883209034"</f>
        <v>18883209034</v>
      </c>
      <c r="C1093" t="str">
        <f>"360782200007052745"</f>
        <v>360782200007052745</v>
      </c>
      <c r="D1093" t="s">
        <v>1803</v>
      </c>
      <c r="E1093" t="s">
        <v>1804</v>
      </c>
      <c r="F1093" t="str">
        <f>"2018-12-03 13:36:20"</f>
        <v>2018-12-03 13:36:20</v>
      </c>
    </row>
    <row r="1094" spans="1:6" x14ac:dyDescent="0.3">
      <c r="A1094" t="s">
        <v>1805</v>
      </c>
      <c r="B1094" t="str">
        <f>"17606789675"</f>
        <v>17606789675</v>
      </c>
      <c r="C1094" t="str">
        <f>"61010419940228441X"</f>
        <v>61010419940228441X</v>
      </c>
      <c r="D1094" t="s">
        <v>1806</v>
      </c>
      <c r="E1094" t="s">
        <v>1807</v>
      </c>
      <c r="F1094" t="str">
        <f>"2018-12-03 12:04:43"</f>
        <v>2018-12-03 12:04:43</v>
      </c>
    </row>
    <row r="1095" spans="1:6" x14ac:dyDescent="0.3">
      <c r="A1095" t="s">
        <v>0</v>
      </c>
      <c r="B1095" t="str">
        <f>"17193148043"</f>
        <v>17193148043</v>
      </c>
      <c r="C1095" t="s">
        <v>0</v>
      </c>
      <c r="D1095" t="s">
        <v>0</v>
      </c>
      <c r="E1095" t="s">
        <v>0</v>
      </c>
      <c r="F1095" t="str">
        <f>"2018-12-03 08:49:20"</f>
        <v>2018-12-03 08:49:20</v>
      </c>
    </row>
    <row r="1096" spans="1:6" x14ac:dyDescent="0.3">
      <c r="A1096" t="s">
        <v>1808</v>
      </c>
      <c r="B1096" t="str">
        <f>"13728950927"</f>
        <v>13728950927</v>
      </c>
      <c r="C1096" t="str">
        <f>"362329198709020834"</f>
        <v>362329198709020834</v>
      </c>
      <c r="D1096" t="s">
        <v>1809</v>
      </c>
      <c r="E1096" t="s">
        <v>1810</v>
      </c>
      <c r="F1096" t="str">
        <f>"2018-12-03 02:02:17"</f>
        <v>2018-12-03 02:02:17</v>
      </c>
    </row>
    <row r="1097" spans="1:6" x14ac:dyDescent="0.3">
      <c r="A1097" t="s">
        <v>1811</v>
      </c>
      <c r="B1097" t="str">
        <f>"13311237334"</f>
        <v>13311237334</v>
      </c>
      <c r="C1097" t="str">
        <f>"410922199512182018"</f>
        <v>410922199512182018</v>
      </c>
      <c r="D1097" t="s">
        <v>1812</v>
      </c>
      <c r="E1097" t="s">
        <v>1813</v>
      </c>
      <c r="F1097" t="str">
        <f>"2018-12-02 19:13:13"</f>
        <v>2018-12-02 19:13:13</v>
      </c>
    </row>
    <row r="1098" spans="1:6" x14ac:dyDescent="0.3">
      <c r="A1098" t="s">
        <v>0</v>
      </c>
      <c r="B1098" t="str">
        <f>"17193148134"</f>
        <v>17193148134</v>
      </c>
      <c r="C1098" t="s">
        <v>0</v>
      </c>
      <c r="D1098" t="s">
        <v>0</v>
      </c>
      <c r="E1098" t="s">
        <v>0</v>
      </c>
      <c r="F1098" t="str">
        <f>"2018-12-02 13:21:45"</f>
        <v>2018-12-02 13:21:45</v>
      </c>
    </row>
    <row r="1099" spans="1:6" x14ac:dyDescent="0.3">
      <c r="A1099" t="s">
        <v>0</v>
      </c>
      <c r="B1099" t="str">
        <f>"18602704550"</f>
        <v>18602704550</v>
      </c>
      <c r="C1099" t="s">
        <v>0</v>
      </c>
      <c r="D1099" t="s">
        <v>0</v>
      </c>
      <c r="E1099" t="s">
        <v>0</v>
      </c>
      <c r="F1099" t="str">
        <f>"2018-12-01 17:57:11"</f>
        <v>2018-12-01 17:57:11</v>
      </c>
    </row>
    <row r="1100" spans="1:6" x14ac:dyDescent="0.3">
      <c r="A1100" t="s">
        <v>1814</v>
      </c>
      <c r="B1100" t="str">
        <f>"15244273831"</f>
        <v>15244273831</v>
      </c>
      <c r="C1100" t="str">
        <f>"37040619930610107X"</f>
        <v>37040619930610107X</v>
      </c>
      <c r="D1100" t="s">
        <v>0</v>
      </c>
      <c r="E1100" t="s">
        <v>0</v>
      </c>
      <c r="F1100" t="str">
        <f>"2018-12-01 17:05:10"</f>
        <v>2018-12-01 17:05:10</v>
      </c>
    </row>
    <row r="1101" spans="1:6" x14ac:dyDescent="0.3">
      <c r="A1101" t="s">
        <v>1815</v>
      </c>
      <c r="B1101" t="str">
        <f>"15545154748"</f>
        <v>15545154748</v>
      </c>
      <c r="C1101" t="str">
        <f>"230722199208240012"</f>
        <v>230722199208240012</v>
      </c>
      <c r="D1101" t="s">
        <v>1816</v>
      </c>
      <c r="E1101" t="s">
        <v>1817</v>
      </c>
      <c r="F1101" t="str">
        <f>"2018-12-01 16:45:09"</f>
        <v>2018-12-01 16:45:09</v>
      </c>
    </row>
    <row r="1102" spans="1:6" x14ac:dyDescent="0.3">
      <c r="A1102" t="s">
        <v>1818</v>
      </c>
      <c r="B1102" t="str">
        <f>"13703189214"</f>
        <v>13703189214</v>
      </c>
      <c r="C1102" t="str">
        <f>"131102198512060838"</f>
        <v>131102198512060838</v>
      </c>
      <c r="D1102" t="s">
        <v>1819</v>
      </c>
      <c r="E1102" t="s">
        <v>1820</v>
      </c>
      <c r="F1102" t="str">
        <f>"2018-12-01 11:04:09"</f>
        <v>2018-12-01 11:04:09</v>
      </c>
    </row>
    <row r="1103" spans="1:6" x14ac:dyDescent="0.3">
      <c r="A1103" t="s">
        <v>1821</v>
      </c>
      <c r="B1103" t="str">
        <f>"17612922469"</f>
        <v>17612922469</v>
      </c>
      <c r="C1103" t="str">
        <f>"610502199312157432"</f>
        <v>610502199312157432</v>
      </c>
      <c r="D1103" t="s">
        <v>1822</v>
      </c>
      <c r="E1103" t="s">
        <v>1823</v>
      </c>
      <c r="F1103" t="str">
        <f>"2018-12-01 01:27:20"</f>
        <v>2018-12-01 01:27:20</v>
      </c>
    </row>
    <row r="1104" spans="1:6" x14ac:dyDescent="0.3">
      <c r="A1104" t="s">
        <v>1824</v>
      </c>
      <c r="B1104" t="str">
        <f>"13507175229"</f>
        <v>13507175229</v>
      </c>
      <c r="C1104" t="str">
        <f>"421083197305022836"</f>
        <v>421083197305022836</v>
      </c>
      <c r="D1104" t="s">
        <v>0</v>
      </c>
      <c r="E1104" t="s">
        <v>0</v>
      </c>
      <c r="F1104" t="str">
        <f>"2018-11-30 18:31:04"</f>
        <v>2018-11-30 18:31:04</v>
      </c>
    </row>
    <row r="1105" spans="1:6" x14ac:dyDescent="0.3">
      <c r="A1105" t="s">
        <v>1825</v>
      </c>
      <c r="B1105" t="str">
        <f>"18086863113"</f>
        <v>18086863113</v>
      </c>
      <c r="C1105" t="str">
        <f>"510304199003111017"</f>
        <v>510304199003111017</v>
      </c>
      <c r="D1105" t="s">
        <v>1826</v>
      </c>
      <c r="E1105" t="s">
        <v>1827</v>
      </c>
      <c r="F1105" t="str">
        <f>"2018-11-30 16:59:08"</f>
        <v>2018-11-30 16:59:08</v>
      </c>
    </row>
    <row r="1106" spans="1:6" x14ac:dyDescent="0.3">
      <c r="A1106" t="s">
        <v>0</v>
      </c>
      <c r="B1106" t="str">
        <f>"13930353002"</f>
        <v>13930353002</v>
      </c>
      <c r="C1106" t="s">
        <v>0</v>
      </c>
      <c r="D1106" t="s">
        <v>0</v>
      </c>
      <c r="E1106" t="s">
        <v>0</v>
      </c>
      <c r="F1106" t="str">
        <f>"2018-11-30 16:38:02"</f>
        <v>2018-11-30 16:38:02</v>
      </c>
    </row>
    <row r="1107" spans="1:6" x14ac:dyDescent="0.3">
      <c r="A1107" t="s">
        <v>0</v>
      </c>
      <c r="B1107" t="str">
        <f>"18819145373"</f>
        <v>18819145373</v>
      </c>
      <c r="C1107" t="s">
        <v>0</v>
      </c>
      <c r="D1107" t="s">
        <v>0</v>
      </c>
      <c r="E1107" t="s">
        <v>0</v>
      </c>
      <c r="F1107" t="str">
        <f>"2018-11-30 15:17:46"</f>
        <v>2018-11-30 15:17:46</v>
      </c>
    </row>
    <row r="1108" spans="1:6" x14ac:dyDescent="0.3">
      <c r="A1108" t="s">
        <v>1828</v>
      </c>
      <c r="B1108" t="str">
        <f>"18081741885"</f>
        <v>18081741885</v>
      </c>
      <c r="C1108" t="str">
        <f>"510726198912136014"</f>
        <v>510726198912136014</v>
      </c>
      <c r="D1108" t="s">
        <v>1829</v>
      </c>
      <c r="E1108" t="s">
        <v>1830</v>
      </c>
      <c r="F1108" t="str">
        <f>"2018-11-30 15:15:03"</f>
        <v>2018-11-30 15:15:03</v>
      </c>
    </row>
    <row r="1109" spans="1:6" x14ac:dyDescent="0.3">
      <c r="A1109" t="s">
        <v>1831</v>
      </c>
      <c r="B1109" t="str">
        <f>"18625596564"</f>
        <v>18625596564</v>
      </c>
      <c r="C1109" t="str">
        <f>"410181199005020133"</f>
        <v>410181199005020133</v>
      </c>
      <c r="D1109" t="s">
        <v>1832</v>
      </c>
      <c r="E1109" t="s">
        <v>1833</v>
      </c>
      <c r="F1109" t="str">
        <f>"2018-11-30 13:44:18"</f>
        <v>2018-11-30 13:44:18</v>
      </c>
    </row>
    <row r="1110" spans="1:6" x14ac:dyDescent="0.3">
      <c r="A1110" t="s">
        <v>1834</v>
      </c>
      <c r="B1110" t="str">
        <f>"18789118658"</f>
        <v>18789118658</v>
      </c>
      <c r="C1110" t="str">
        <f>"460002198006143630"</f>
        <v>460002198006143630</v>
      </c>
      <c r="D1110" t="s">
        <v>1835</v>
      </c>
      <c r="E1110" t="s">
        <v>1836</v>
      </c>
      <c r="F1110" t="str">
        <f>"2018-11-30 11:47:34"</f>
        <v>2018-11-30 11:47:34</v>
      </c>
    </row>
    <row r="1111" spans="1:6" x14ac:dyDescent="0.3">
      <c r="A1111" t="s">
        <v>1837</v>
      </c>
      <c r="B1111" t="str">
        <f>"18032129618"</f>
        <v>18032129618</v>
      </c>
      <c r="C1111" t="str">
        <f>"230321199003082219"</f>
        <v>230321199003082219</v>
      </c>
      <c r="D1111" t="s">
        <v>1838</v>
      </c>
      <c r="E1111" t="s">
        <v>1839</v>
      </c>
      <c r="F1111" t="str">
        <f>"2018-11-30 11:18:14"</f>
        <v>2018-11-30 11:18:14</v>
      </c>
    </row>
    <row r="1112" spans="1:6" x14ac:dyDescent="0.3">
      <c r="A1112" t="s">
        <v>1840</v>
      </c>
      <c r="B1112" t="str">
        <f>"18961906223"</f>
        <v>18961906223</v>
      </c>
      <c r="C1112" t="str">
        <f>"362529199201303046"</f>
        <v>362529199201303046</v>
      </c>
      <c r="D1112" t="s">
        <v>0</v>
      </c>
      <c r="E1112" t="s">
        <v>0</v>
      </c>
      <c r="F1112" t="str">
        <f>"2018-11-30 10:56:34"</f>
        <v>2018-11-30 10:56:34</v>
      </c>
    </row>
    <row r="1113" spans="1:6" x14ac:dyDescent="0.3">
      <c r="A1113" t="s">
        <v>1841</v>
      </c>
      <c r="B1113" t="str">
        <f>"13177266686"</f>
        <v>13177266686</v>
      </c>
      <c r="C1113" t="str">
        <f>"422201198102091331"</f>
        <v>422201198102091331</v>
      </c>
      <c r="D1113" t="s">
        <v>47</v>
      </c>
      <c r="E1113" t="s">
        <v>47</v>
      </c>
      <c r="F1113" t="str">
        <f>"2018-11-30 09:42:18"</f>
        <v>2018-11-30 09:42:18</v>
      </c>
    </row>
    <row r="1114" spans="1:6" x14ac:dyDescent="0.3">
      <c r="A1114" t="s">
        <v>1842</v>
      </c>
      <c r="B1114" t="str">
        <f>"18391681890"</f>
        <v>18391681890</v>
      </c>
      <c r="C1114" t="str">
        <f>"612323199611141310"</f>
        <v>612323199611141310</v>
      </c>
      <c r="D1114" t="s">
        <v>0</v>
      </c>
      <c r="E1114" t="s">
        <v>0</v>
      </c>
      <c r="F1114" t="str">
        <f>"2018-11-30 00:11:39"</f>
        <v>2018-11-30 00:11:39</v>
      </c>
    </row>
    <row r="1115" spans="1:6" x14ac:dyDescent="0.3">
      <c r="A1115" t="s">
        <v>1843</v>
      </c>
      <c r="B1115" t="str">
        <f>"18369313177"</f>
        <v>18369313177</v>
      </c>
      <c r="C1115" t="str">
        <f>"37132319871219693X"</f>
        <v>37132319871219693X</v>
      </c>
      <c r="D1115" t="s">
        <v>1844</v>
      </c>
      <c r="E1115" t="s">
        <v>1845</v>
      </c>
      <c r="F1115" t="str">
        <f>"2018-11-29 21:51:43"</f>
        <v>2018-11-29 21:51:43</v>
      </c>
    </row>
    <row r="1116" spans="1:6" x14ac:dyDescent="0.3">
      <c r="A1116" t="s">
        <v>1846</v>
      </c>
      <c r="B1116" t="str">
        <f>"15209639326"</f>
        <v>15209639326</v>
      </c>
      <c r="C1116" t="str">
        <f>"640302198807131146"</f>
        <v>640302198807131146</v>
      </c>
      <c r="D1116" t="s">
        <v>1847</v>
      </c>
      <c r="E1116" t="s">
        <v>1848</v>
      </c>
      <c r="F1116" t="str">
        <f>"2018-11-29 17:57:10"</f>
        <v>2018-11-29 17:57:10</v>
      </c>
    </row>
    <row r="1117" spans="1:6" x14ac:dyDescent="0.3">
      <c r="A1117" t="s">
        <v>1849</v>
      </c>
      <c r="B1117" t="str">
        <f>"13805489133"</f>
        <v>13805489133</v>
      </c>
      <c r="C1117" t="str">
        <f>"370902196812152118"</f>
        <v>370902196812152118</v>
      </c>
      <c r="D1117" t="s">
        <v>1850</v>
      </c>
      <c r="E1117" t="s">
        <v>1851</v>
      </c>
      <c r="F1117" t="str">
        <f>"2018-11-29 16:56:07"</f>
        <v>2018-11-29 16:56:07</v>
      </c>
    </row>
    <row r="1118" spans="1:6" x14ac:dyDescent="0.3">
      <c r="A1118" t="s">
        <v>1852</v>
      </c>
      <c r="B1118" t="str">
        <f>"15213132010"</f>
        <v>15213132010</v>
      </c>
      <c r="C1118" t="str">
        <f>"500382199407181131"</f>
        <v>500382199407181131</v>
      </c>
      <c r="D1118" t="s">
        <v>1853</v>
      </c>
      <c r="E1118" t="s">
        <v>1854</v>
      </c>
      <c r="F1118" t="str">
        <f>"2018-11-29 16:17:09"</f>
        <v>2018-11-29 16:17:09</v>
      </c>
    </row>
    <row r="1119" spans="1:6" x14ac:dyDescent="0.3">
      <c r="A1119" t="s">
        <v>1855</v>
      </c>
      <c r="B1119" t="str">
        <f>"18077640031"</f>
        <v>18077640031</v>
      </c>
      <c r="C1119" t="str">
        <f>"452627198607130333"</f>
        <v>452627198607130333</v>
      </c>
      <c r="D1119" t="s">
        <v>1856</v>
      </c>
      <c r="E1119" t="s">
        <v>1857</v>
      </c>
      <c r="F1119" t="str">
        <f>"2018-11-29 13:48:15"</f>
        <v>2018-11-29 13:48:15</v>
      </c>
    </row>
    <row r="1120" spans="1:6" x14ac:dyDescent="0.3">
      <c r="A1120" t="s">
        <v>1858</v>
      </c>
      <c r="B1120" t="str">
        <f>"13644637764"</f>
        <v>13644637764</v>
      </c>
      <c r="C1120" t="str">
        <f>"231004198101072210"</f>
        <v>231004198101072210</v>
      </c>
      <c r="D1120" t="s">
        <v>1859</v>
      </c>
      <c r="E1120" t="s">
        <v>1860</v>
      </c>
      <c r="F1120" t="str">
        <f>"2018-11-29 13:44:49"</f>
        <v>2018-11-29 13:44:49</v>
      </c>
    </row>
    <row r="1121" spans="1:6" x14ac:dyDescent="0.3">
      <c r="A1121" t="s">
        <v>1861</v>
      </c>
      <c r="B1121" t="str">
        <f>"18672415488"</f>
        <v>18672415488</v>
      </c>
      <c r="C1121" t="str">
        <f>"420881199001310010"</f>
        <v>420881199001310010</v>
      </c>
      <c r="D1121" t="s">
        <v>1862</v>
      </c>
      <c r="E1121" t="s">
        <v>1863</v>
      </c>
      <c r="F1121" t="str">
        <f>"2018-11-29 13:43:48"</f>
        <v>2018-11-29 13:43:48</v>
      </c>
    </row>
    <row r="1122" spans="1:6" x14ac:dyDescent="0.3">
      <c r="A1122" t="s">
        <v>0</v>
      </c>
      <c r="B1122" t="str">
        <f>"13951302052"</f>
        <v>13951302052</v>
      </c>
      <c r="C1122" t="s">
        <v>0</v>
      </c>
      <c r="D1122" t="s">
        <v>0</v>
      </c>
      <c r="E1122" t="s">
        <v>0</v>
      </c>
      <c r="F1122" t="str">
        <f>"2018-11-29 13:40:09"</f>
        <v>2018-11-29 13:40:09</v>
      </c>
    </row>
    <row r="1123" spans="1:6" x14ac:dyDescent="0.3">
      <c r="A1123" t="s">
        <v>0</v>
      </c>
      <c r="B1123" t="str">
        <f>"13230191796"</f>
        <v>13230191796</v>
      </c>
      <c r="C1123" t="s">
        <v>0</v>
      </c>
      <c r="D1123" t="s">
        <v>0</v>
      </c>
      <c r="E1123" t="s">
        <v>0</v>
      </c>
      <c r="F1123" t="str">
        <f>"2018-11-29 13:32:50"</f>
        <v>2018-11-29 13:32:50</v>
      </c>
    </row>
    <row r="1124" spans="1:6" x14ac:dyDescent="0.3">
      <c r="A1124" t="s">
        <v>1864</v>
      </c>
      <c r="B1124" t="str">
        <f>"15957073402"</f>
        <v>15957073402</v>
      </c>
      <c r="C1124" t="str">
        <f>"33090119700903341X"</f>
        <v>33090119700903341X</v>
      </c>
      <c r="D1124" t="s">
        <v>1865</v>
      </c>
      <c r="E1124" t="s">
        <v>1866</v>
      </c>
      <c r="F1124" t="str">
        <f>"2018-11-29 13:31:08"</f>
        <v>2018-11-29 13:31:08</v>
      </c>
    </row>
    <row r="1125" spans="1:6" x14ac:dyDescent="0.3">
      <c r="A1125" t="s">
        <v>1867</v>
      </c>
      <c r="B1125" t="str">
        <f>"18340239947"</f>
        <v>18340239947</v>
      </c>
      <c r="C1125" t="str">
        <f>"211321199509274733"</f>
        <v>211321199509274733</v>
      </c>
      <c r="D1125" t="s">
        <v>1868</v>
      </c>
      <c r="E1125" t="s">
        <v>1869</v>
      </c>
      <c r="F1125" t="str">
        <f>"2018-11-29 13:29:34"</f>
        <v>2018-11-29 13:29:34</v>
      </c>
    </row>
    <row r="1126" spans="1:6" x14ac:dyDescent="0.3">
      <c r="A1126" t="s">
        <v>1870</v>
      </c>
      <c r="B1126" t="str">
        <f>"18267237151"</f>
        <v>18267237151</v>
      </c>
      <c r="C1126" t="str">
        <f>"330522197111105918"</f>
        <v>330522197111105918</v>
      </c>
      <c r="D1126" t="s">
        <v>0</v>
      </c>
      <c r="E1126" t="s">
        <v>0</v>
      </c>
      <c r="F1126" t="str">
        <f>"2018-11-29 13:22:41"</f>
        <v>2018-11-29 13:22:41</v>
      </c>
    </row>
    <row r="1127" spans="1:6" x14ac:dyDescent="0.3">
      <c r="A1127" t="s">
        <v>0</v>
      </c>
      <c r="B1127" t="str">
        <f>"15960793431"</f>
        <v>15960793431</v>
      </c>
      <c r="C1127" t="s">
        <v>0</v>
      </c>
      <c r="D1127" t="s">
        <v>0</v>
      </c>
      <c r="E1127" t="s">
        <v>0</v>
      </c>
      <c r="F1127" t="str">
        <f>"2018-11-29 13:12:20"</f>
        <v>2018-11-29 13:12:20</v>
      </c>
    </row>
    <row r="1128" spans="1:6" x14ac:dyDescent="0.3">
      <c r="A1128" t="s">
        <v>1871</v>
      </c>
      <c r="B1128" t="str">
        <f>"13505399603"</f>
        <v>13505399603</v>
      </c>
      <c r="C1128" t="str">
        <f>"372822197604120417"</f>
        <v>372822197604120417</v>
      </c>
      <c r="D1128" t="s">
        <v>1872</v>
      </c>
      <c r="E1128" t="s">
        <v>1873</v>
      </c>
      <c r="F1128" t="str">
        <f>"2018-11-29 13:01:42"</f>
        <v>2018-11-29 13:01:42</v>
      </c>
    </row>
    <row r="1129" spans="1:6" x14ac:dyDescent="0.3">
      <c r="A1129" t="s">
        <v>1874</v>
      </c>
      <c r="B1129" t="str">
        <f>"18284567303"</f>
        <v>18284567303</v>
      </c>
      <c r="C1129" t="str">
        <f>"511522198603150036"</f>
        <v>511522198603150036</v>
      </c>
      <c r="D1129" t="s">
        <v>1875</v>
      </c>
      <c r="E1129" t="s">
        <v>1876</v>
      </c>
      <c r="F1129" t="str">
        <f>"2018-11-29 12:59:05"</f>
        <v>2018-11-29 12:59:05</v>
      </c>
    </row>
    <row r="1130" spans="1:6" x14ac:dyDescent="0.3">
      <c r="A1130" t="s">
        <v>1877</v>
      </c>
      <c r="B1130" t="str">
        <f>"15315155930"</f>
        <v>15315155930</v>
      </c>
      <c r="C1130" t="str">
        <f>"370685197303045030"</f>
        <v>370685197303045030</v>
      </c>
      <c r="D1130" t="s">
        <v>1878</v>
      </c>
      <c r="E1130" t="s">
        <v>1879</v>
      </c>
      <c r="F1130" t="str">
        <f>"2018-11-29 12:53:06"</f>
        <v>2018-11-29 12:53:06</v>
      </c>
    </row>
    <row r="1131" spans="1:6" x14ac:dyDescent="0.3">
      <c r="A1131" t="s">
        <v>1880</v>
      </c>
      <c r="B1131" t="str">
        <f>"13188762066"</f>
        <v>13188762066</v>
      </c>
      <c r="C1131" t="str">
        <f>"370685198809261739"</f>
        <v>370685198809261739</v>
      </c>
      <c r="D1131" t="s">
        <v>1881</v>
      </c>
      <c r="E1131" t="s">
        <v>1882</v>
      </c>
      <c r="F1131" t="str">
        <f>"2018-11-29 12:47:51"</f>
        <v>2018-11-29 12:47:51</v>
      </c>
    </row>
    <row r="1132" spans="1:6" x14ac:dyDescent="0.3">
      <c r="A1132" t="s">
        <v>1883</v>
      </c>
      <c r="B1132" t="str">
        <f>"18934809490"</f>
        <v>18934809490</v>
      </c>
      <c r="C1132" t="str">
        <f>"450321198603166025"</f>
        <v>450321198603166025</v>
      </c>
      <c r="D1132" t="s">
        <v>1884</v>
      </c>
      <c r="E1132" t="s">
        <v>1885</v>
      </c>
      <c r="F1132" t="str">
        <f>"2018-11-29 12:46:17"</f>
        <v>2018-11-29 12:46:17</v>
      </c>
    </row>
    <row r="1133" spans="1:6" x14ac:dyDescent="0.3">
      <c r="A1133" t="s">
        <v>0</v>
      </c>
      <c r="B1133" t="str">
        <f>"15877782213"</f>
        <v>15877782213</v>
      </c>
      <c r="C1133" t="s">
        <v>0</v>
      </c>
      <c r="D1133" t="s">
        <v>0</v>
      </c>
      <c r="E1133" t="s">
        <v>0</v>
      </c>
      <c r="F1133" t="str">
        <f>"2018-11-29 12:36:39"</f>
        <v>2018-11-29 12:36:39</v>
      </c>
    </row>
    <row r="1134" spans="1:6" x14ac:dyDescent="0.3">
      <c r="A1134" t="s">
        <v>1886</v>
      </c>
      <c r="B1134" t="str">
        <f>"18797777975"</f>
        <v>18797777975</v>
      </c>
      <c r="C1134" t="str">
        <f>"430703199306236218"</f>
        <v>430703199306236218</v>
      </c>
      <c r="D1134" t="s">
        <v>1887</v>
      </c>
      <c r="E1134" t="s">
        <v>1888</v>
      </c>
      <c r="F1134" t="str">
        <f>"2018-11-29 12:30:49"</f>
        <v>2018-11-29 12:30:49</v>
      </c>
    </row>
    <row r="1135" spans="1:6" x14ac:dyDescent="0.3">
      <c r="A1135" t="s">
        <v>0</v>
      </c>
      <c r="B1135" t="str">
        <f>"15270130894"</f>
        <v>15270130894</v>
      </c>
      <c r="C1135" t="s">
        <v>0</v>
      </c>
      <c r="D1135" t="s">
        <v>0</v>
      </c>
      <c r="E1135" t="s">
        <v>0</v>
      </c>
      <c r="F1135" t="str">
        <f>"2018-11-29 12:28:51"</f>
        <v>2018-11-29 12:28:51</v>
      </c>
    </row>
    <row r="1136" spans="1:6" x14ac:dyDescent="0.3">
      <c r="A1136" t="s">
        <v>1889</v>
      </c>
      <c r="B1136" t="str">
        <f>"15265668887"</f>
        <v>15265668887</v>
      </c>
      <c r="C1136" t="str">
        <f>"370786197907066010"</f>
        <v>370786197907066010</v>
      </c>
      <c r="D1136" t="s">
        <v>0</v>
      </c>
      <c r="E1136" t="s">
        <v>0</v>
      </c>
      <c r="F1136" t="str">
        <f>"2018-11-29 12:21:51"</f>
        <v>2018-11-29 12:21:51</v>
      </c>
    </row>
    <row r="1137" spans="1:6" x14ac:dyDescent="0.3">
      <c r="A1137" t="s">
        <v>0</v>
      </c>
      <c r="B1137" t="str">
        <f>"13758044187"</f>
        <v>13758044187</v>
      </c>
      <c r="C1137" t="s">
        <v>0</v>
      </c>
      <c r="D1137" t="s">
        <v>0</v>
      </c>
      <c r="E1137" t="s">
        <v>0</v>
      </c>
      <c r="F1137" t="str">
        <f>"2018-11-29 12:18:44"</f>
        <v>2018-11-29 12:18:44</v>
      </c>
    </row>
    <row r="1138" spans="1:6" x14ac:dyDescent="0.3">
      <c r="A1138" t="s">
        <v>1890</v>
      </c>
      <c r="B1138" t="str">
        <f>"13201212176"</f>
        <v>13201212176</v>
      </c>
      <c r="C1138" t="str">
        <f>"650105198104022226"</f>
        <v>650105198104022226</v>
      </c>
      <c r="D1138" t="s">
        <v>0</v>
      </c>
      <c r="E1138" t="s">
        <v>0</v>
      </c>
      <c r="F1138" t="str">
        <f>"2018-11-29 12:17:29"</f>
        <v>2018-11-29 12:17:29</v>
      </c>
    </row>
    <row r="1139" spans="1:6" x14ac:dyDescent="0.3">
      <c r="A1139" t="s">
        <v>0</v>
      </c>
      <c r="B1139" t="str">
        <f>"17704438582"</f>
        <v>17704438582</v>
      </c>
      <c r="C1139" t="s">
        <v>0</v>
      </c>
      <c r="D1139" t="s">
        <v>0</v>
      </c>
      <c r="E1139" t="s">
        <v>0</v>
      </c>
      <c r="F1139" t="str">
        <f>"2018-11-29 12:08:57"</f>
        <v>2018-11-29 12:08:57</v>
      </c>
    </row>
    <row r="1140" spans="1:6" x14ac:dyDescent="0.3">
      <c r="A1140" t="s">
        <v>1891</v>
      </c>
      <c r="B1140" t="str">
        <f>"18758239165"</f>
        <v>18758239165</v>
      </c>
      <c r="C1140" t="str">
        <f>"330182198708231318"</f>
        <v>330182198708231318</v>
      </c>
      <c r="D1140" t="s">
        <v>1892</v>
      </c>
      <c r="E1140" t="s">
        <v>1893</v>
      </c>
      <c r="F1140" t="str">
        <f>"2018-11-29 12:07:55"</f>
        <v>2018-11-29 12:07:55</v>
      </c>
    </row>
    <row r="1141" spans="1:6" x14ac:dyDescent="0.3">
      <c r="A1141" t="s">
        <v>0</v>
      </c>
      <c r="B1141" t="str">
        <f>"15980588265"</f>
        <v>15980588265</v>
      </c>
      <c r="C1141" t="s">
        <v>0</v>
      </c>
      <c r="D1141" t="s">
        <v>0</v>
      </c>
      <c r="E1141" t="s">
        <v>0</v>
      </c>
      <c r="F1141" t="str">
        <f>"2018-11-29 12:06:03"</f>
        <v>2018-11-29 12:06:03</v>
      </c>
    </row>
    <row r="1142" spans="1:6" x14ac:dyDescent="0.3">
      <c r="A1142" t="s">
        <v>1894</v>
      </c>
      <c r="B1142" t="str">
        <f>"13401667921"</f>
        <v>13401667921</v>
      </c>
      <c r="C1142" t="str">
        <f>"340122199002052422"</f>
        <v>340122199002052422</v>
      </c>
      <c r="D1142" t="s">
        <v>1895</v>
      </c>
      <c r="E1142" t="s">
        <v>1896</v>
      </c>
      <c r="F1142" t="str">
        <f>"2018-11-29 12:05:15"</f>
        <v>2018-11-29 12:05:15</v>
      </c>
    </row>
    <row r="1143" spans="1:6" x14ac:dyDescent="0.3">
      <c r="A1143" t="s">
        <v>1897</v>
      </c>
      <c r="B1143" t="str">
        <f>"13960328326"</f>
        <v>13960328326</v>
      </c>
      <c r="C1143" t="str">
        <f>"350583199003163753"</f>
        <v>350583199003163753</v>
      </c>
      <c r="D1143" t="s">
        <v>1898</v>
      </c>
      <c r="E1143" t="s">
        <v>1899</v>
      </c>
      <c r="F1143" t="str">
        <f>"2018-11-29 12:04:43"</f>
        <v>2018-11-29 12:04:43</v>
      </c>
    </row>
    <row r="1144" spans="1:6" x14ac:dyDescent="0.3">
      <c r="A1144" t="s">
        <v>1900</v>
      </c>
      <c r="B1144" t="str">
        <f>"15856867125"</f>
        <v>15856867125</v>
      </c>
      <c r="C1144" t="str">
        <f>"341225199501015568"</f>
        <v>341225199501015568</v>
      </c>
      <c r="D1144" t="s">
        <v>0</v>
      </c>
      <c r="E1144" t="s">
        <v>0</v>
      </c>
      <c r="F1144" t="str">
        <f>"2018-11-29 12:02:59"</f>
        <v>2018-11-29 12:02:59</v>
      </c>
    </row>
    <row r="1145" spans="1:6" x14ac:dyDescent="0.3">
      <c r="A1145" t="s">
        <v>0</v>
      </c>
      <c r="B1145" t="str">
        <f>"18358383525"</f>
        <v>18358383525</v>
      </c>
      <c r="C1145" t="s">
        <v>0</v>
      </c>
      <c r="D1145" t="s">
        <v>0</v>
      </c>
      <c r="E1145" t="s">
        <v>0</v>
      </c>
      <c r="F1145" t="str">
        <f>"2018-11-29 12:02:29"</f>
        <v>2018-11-29 12:02:29</v>
      </c>
    </row>
    <row r="1146" spans="1:6" x14ac:dyDescent="0.3">
      <c r="A1146" t="s">
        <v>0</v>
      </c>
      <c r="B1146" t="str">
        <f>"18256703763"</f>
        <v>18256703763</v>
      </c>
      <c r="C1146" t="s">
        <v>0</v>
      </c>
      <c r="D1146" t="s">
        <v>0</v>
      </c>
      <c r="E1146" t="s">
        <v>0</v>
      </c>
      <c r="F1146" t="str">
        <f>"2018-11-29 12:02:27"</f>
        <v>2018-11-29 12:02:27</v>
      </c>
    </row>
    <row r="1147" spans="1:6" x14ac:dyDescent="0.3">
      <c r="A1147" t="s">
        <v>1901</v>
      </c>
      <c r="B1147" t="str">
        <f>"13687870918"</f>
        <v>13687870918</v>
      </c>
      <c r="C1147" t="str">
        <f>"450121198707140013"</f>
        <v>450121198707140013</v>
      </c>
      <c r="D1147" t="s">
        <v>1902</v>
      </c>
      <c r="E1147" t="s">
        <v>1903</v>
      </c>
      <c r="F1147" t="str">
        <f>"2018-11-29 12:01:42"</f>
        <v>2018-11-29 12:01:42</v>
      </c>
    </row>
    <row r="1148" spans="1:6" x14ac:dyDescent="0.3">
      <c r="A1148" t="s">
        <v>1904</v>
      </c>
      <c r="B1148" t="str">
        <f>"13732925737"</f>
        <v>13732925737</v>
      </c>
      <c r="C1148" t="str">
        <f>"411523198910133538"</f>
        <v>411523198910133538</v>
      </c>
      <c r="D1148" t="s">
        <v>1905</v>
      </c>
      <c r="E1148" t="s">
        <v>1906</v>
      </c>
      <c r="F1148" t="str">
        <f>"2018-11-29 12:00:49"</f>
        <v>2018-11-29 12:00:49</v>
      </c>
    </row>
    <row r="1149" spans="1:6" x14ac:dyDescent="0.3">
      <c r="A1149" t="s">
        <v>0</v>
      </c>
      <c r="B1149" t="str">
        <f>"15877781446"</f>
        <v>15877781446</v>
      </c>
      <c r="C1149" t="s">
        <v>0</v>
      </c>
      <c r="D1149" t="s">
        <v>0</v>
      </c>
      <c r="E1149" t="s">
        <v>0</v>
      </c>
      <c r="F1149" t="str">
        <f>"2018-11-29 12:00:43"</f>
        <v>2018-11-29 12:00:43</v>
      </c>
    </row>
    <row r="1150" spans="1:6" x14ac:dyDescent="0.3">
      <c r="A1150" t="s">
        <v>0</v>
      </c>
      <c r="B1150" t="str">
        <f>"18509423197"</f>
        <v>18509423197</v>
      </c>
      <c r="C1150" t="s">
        <v>0</v>
      </c>
      <c r="D1150" t="s">
        <v>0</v>
      </c>
      <c r="E1150" t="s">
        <v>0</v>
      </c>
      <c r="F1150" t="str">
        <f>"2018-11-29 12:00:42"</f>
        <v>2018-11-29 12:00:42</v>
      </c>
    </row>
    <row r="1151" spans="1:6" x14ac:dyDescent="0.3">
      <c r="A1151" t="s">
        <v>0</v>
      </c>
      <c r="B1151" t="str">
        <f>"15609422956"</f>
        <v>15609422956</v>
      </c>
      <c r="C1151" t="s">
        <v>0</v>
      </c>
      <c r="D1151" t="s">
        <v>0</v>
      </c>
      <c r="E1151" t="s">
        <v>0</v>
      </c>
      <c r="F1151" t="str">
        <f>"2018-11-29 11:58:49"</f>
        <v>2018-11-29 11:58:49</v>
      </c>
    </row>
    <row r="1152" spans="1:6" x14ac:dyDescent="0.3">
      <c r="A1152" t="s">
        <v>1907</v>
      </c>
      <c r="B1152" t="str">
        <f>"15217488889"</f>
        <v>15217488889</v>
      </c>
      <c r="C1152" t="str">
        <f>"440823198102041417"</f>
        <v>440823198102041417</v>
      </c>
      <c r="D1152" t="s">
        <v>0</v>
      </c>
      <c r="E1152" t="s">
        <v>0</v>
      </c>
      <c r="F1152" t="str">
        <f>"2018-11-29 11:58:21"</f>
        <v>2018-11-29 11:58:21</v>
      </c>
    </row>
    <row r="1153" spans="1:6" x14ac:dyDescent="0.3">
      <c r="A1153" t="s">
        <v>1908</v>
      </c>
      <c r="B1153" t="str">
        <f>"15949446484"</f>
        <v>15949446484</v>
      </c>
      <c r="C1153" t="str">
        <f>"15232319800226431X"</f>
        <v>15232319800226431X</v>
      </c>
      <c r="D1153" t="s">
        <v>1909</v>
      </c>
      <c r="E1153" t="s">
        <v>1910</v>
      </c>
      <c r="F1153" t="str">
        <f>"2018-11-29 11:58:01"</f>
        <v>2018-11-29 11:58:01</v>
      </c>
    </row>
    <row r="1154" spans="1:6" x14ac:dyDescent="0.3">
      <c r="A1154" t="s">
        <v>1911</v>
      </c>
      <c r="B1154" t="str">
        <f>"18371956262"</f>
        <v>18371956262</v>
      </c>
      <c r="C1154" t="str">
        <f>"420321199301180058"</f>
        <v>420321199301180058</v>
      </c>
      <c r="D1154" t="s">
        <v>1912</v>
      </c>
      <c r="E1154" t="s">
        <v>1913</v>
      </c>
      <c r="F1154" t="str">
        <f>"2018-11-29 11:56:55"</f>
        <v>2018-11-29 11:56:55</v>
      </c>
    </row>
    <row r="1155" spans="1:6" x14ac:dyDescent="0.3">
      <c r="A1155" t="s">
        <v>0</v>
      </c>
      <c r="B1155" t="str">
        <f>"15308594686"</f>
        <v>15308594686</v>
      </c>
      <c r="C1155" t="s">
        <v>0</v>
      </c>
      <c r="D1155" t="s">
        <v>0</v>
      </c>
      <c r="E1155" t="s">
        <v>0</v>
      </c>
      <c r="F1155" t="str">
        <f>"2018-11-29 11:56:47"</f>
        <v>2018-11-29 11:56:47</v>
      </c>
    </row>
    <row r="1156" spans="1:6" x14ac:dyDescent="0.3">
      <c r="A1156" t="s">
        <v>1914</v>
      </c>
      <c r="B1156" t="str">
        <f>"15362759923"</f>
        <v>15362759923</v>
      </c>
      <c r="C1156" t="str">
        <f>"441881198707113422"</f>
        <v>441881198707113422</v>
      </c>
      <c r="D1156" t="s">
        <v>1915</v>
      </c>
      <c r="E1156" t="s">
        <v>1916</v>
      </c>
      <c r="F1156" t="str">
        <f>"2018-11-29 11:56:37"</f>
        <v>2018-11-29 11:56:37</v>
      </c>
    </row>
    <row r="1157" spans="1:6" x14ac:dyDescent="0.3">
      <c r="A1157" t="s">
        <v>0</v>
      </c>
      <c r="B1157" t="str">
        <f>"15277418835"</f>
        <v>15277418835</v>
      </c>
      <c r="C1157" t="s">
        <v>0</v>
      </c>
      <c r="D1157" t="s">
        <v>0</v>
      </c>
      <c r="E1157" t="s">
        <v>0</v>
      </c>
      <c r="F1157" t="str">
        <f>"2018-11-29 11:55:21"</f>
        <v>2018-11-29 11:55:21</v>
      </c>
    </row>
    <row r="1158" spans="1:6" x14ac:dyDescent="0.3">
      <c r="A1158" t="s">
        <v>1917</v>
      </c>
      <c r="B1158" t="str">
        <f>"18643719859"</f>
        <v>18643719859</v>
      </c>
      <c r="C1158" t="str">
        <f>"220421196310070015"</f>
        <v>220421196310070015</v>
      </c>
      <c r="D1158" t="s">
        <v>0</v>
      </c>
      <c r="E1158" t="s">
        <v>0</v>
      </c>
      <c r="F1158" t="str">
        <f>"2018-11-29 11:54:47"</f>
        <v>2018-11-29 11:54:47</v>
      </c>
    </row>
    <row r="1159" spans="1:6" x14ac:dyDescent="0.3">
      <c r="A1159" t="s">
        <v>0</v>
      </c>
      <c r="B1159" t="str">
        <f>"15261186077"</f>
        <v>15261186077</v>
      </c>
      <c r="C1159" t="s">
        <v>0</v>
      </c>
      <c r="D1159" t="s">
        <v>0</v>
      </c>
      <c r="E1159" t="s">
        <v>0</v>
      </c>
      <c r="F1159" t="str">
        <f>"2018-11-29 11:53:23"</f>
        <v>2018-11-29 11:53:23</v>
      </c>
    </row>
    <row r="1160" spans="1:6" x14ac:dyDescent="0.3">
      <c r="A1160" t="s">
        <v>1918</v>
      </c>
      <c r="B1160" t="str">
        <f>"17641543521"</f>
        <v>17641543521</v>
      </c>
      <c r="C1160" t="str">
        <f>"210624199912234218"</f>
        <v>210624199912234218</v>
      </c>
      <c r="D1160" t="s">
        <v>0</v>
      </c>
      <c r="E1160" t="s">
        <v>0</v>
      </c>
      <c r="F1160" t="str">
        <f>"2018-11-29 11:53:04"</f>
        <v>2018-11-29 11:53:04</v>
      </c>
    </row>
    <row r="1161" spans="1:6" x14ac:dyDescent="0.3">
      <c r="A1161" t="s">
        <v>1919</v>
      </c>
      <c r="B1161" t="str">
        <f>"13529668893"</f>
        <v>13529668893</v>
      </c>
      <c r="C1161" t="str">
        <f>"532527199605060019"</f>
        <v>532527199605060019</v>
      </c>
      <c r="D1161" t="s">
        <v>1920</v>
      </c>
      <c r="E1161" t="s">
        <v>1921</v>
      </c>
      <c r="F1161" t="str">
        <f>"2018-11-29 11:51:39"</f>
        <v>2018-11-29 11:51:39</v>
      </c>
    </row>
    <row r="1162" spans="1:6" x14ac:dyDescent="0.3">
      <c r="A1162" t="s">
        <v>1922</v>
      </c>
      <c r="B1162" t="str">
        <f>"13822738705"</f>
        <v>13822738705</v>
      </c>
      <c r="C1162" t="str">
        <f>"130322198411054039"</f>
        <v>130322198411054039</v>
      </c>
      <c r="D1162" t="s">
        <v>1923</v>
      </c>
      <c r="E1162" t="s">
        <v>1924</v>
      </c>
      <c r="F1162" t="str">
        <f>"2018-11-29 11:51:29"</f>
        <v>2018-11-29 11:51:29</v>
      </c>
    </row>
    <row r="1163" spans="1:6" x14ac:dyDescent="0.3">
      <c r="A1163" t="s">
        <v>1925</v>
      </c>
      <c r="B1163" t="str">
        <f>"18797190512"</f>
        <v>18797190512</v>
      </c>
      <c r="C1163" t="str">
        <f>"630102199411241615"</f>
        <v>630102199411241615</v>
      </c>
      <c r="D1163" t="s">
        <v>1926</v>
      </c>
      <c r="E1163" t="s">
        <v>1927</v>
      </c>
      <c r="F1163" t="str">
        <f>"2018-11-29 11:51:03"</f>
        <v>2018-11-29 11:51:03</v>
      </c>
    </row>
    <row r="1164" spans="1:6" x14ac:dyDescent="0.3">
      <c r="A1164" t="s">
        <v>1928</v>
      </c>
      <c r="B1164" t="str">
        <f>"15190128124"</f>
        <v>15190128124</v>
      </c>
      <c r="C1164" t="str">
        <f>"612426198904126413"</f>
        <v>612426198904126413</v>
      </c>
      <c r="D1164" t="s">
        <v>1929</v>
      </c>
      <c r="E1164" t="s">
        <v>1930</v>
      </c>
      <c r="F1164" t="str">
        <f>"2018-11-29 11:50:09"</f>
        <v>2018-11-29 11:50:09</v>
      </c>
    </row>
    <row r="1165" spans="1:6" x14ac:dyDescent="0.3">
      <c r="A1165" t="s">
        <v>0</v>
      </c>
      <c r="B1165" t="str">
        <f>"13605047091"</f>
        <v>13605047091</v>
      </c>
      <c r="C1165" t="s">
        <v>0</v>
      </c>
      <c r="D1165" t="s">
        <v>0</v>
      </c>
      <c r="E1165" t="s">
        <v>0</v>
      </c>
      <c r="F1165" t="str">
        <f>"2018-11-29 11:48:42"</f>
        <v>2018-11-29 11:48:42</v>
      </c>
    </row>
    <row r="1166" spans="1:6" x14ac:dyDescent="0.3">
      <c r="A1166" t="s">
        <v>1931</v>
      </c>
      <c r="B1166" t="str">
        <f>"15397976998"</f>
        <v>15397976998</v>
      </c>
      <c r="C1166" t="str">
        <f>"362132198212280355"</f>
        <v>362132198212280355</v>
      </c>
      <c r="D1166" t="s">
        <v>1932</v>
      </c>
      <c r="E1166" t="s">
        <v>1933</v>
      </c>
      <c r="F1166" t="str">
        <f>"2018-11-29 11:47:08"</f>
        <v>2018-11-29 11:47:08</v>
      </c>
    </row>
    <row r="1167" spans="1:6" x14ac:dyDescent="0.3">
      <c r="A1167" t="s">
        <v>0</v>
      </c>
      <c r="B1167" t="str">
        <f>"13678288935"</f>
        <v>13678288935</v>
      </c>
      <c r="C1167" t="s">
        <v>0</v>
      </c>
      <c r="D1167" t="s">
        <v>0</v>
      </c>
      <c r="E1167" t="s">
        <v>0</v>
      </c>
      <c r="F1167" t="str">
        <f>"2018-11-29 11:46:49"</f>
        <v>2018-11-29 11:46:49</v>
      </c>
    </row>
    <row r="1168" spans="1:6" x14ac:dyDescent="0.3">
      <c r="A1168" t="s">
        <v>1934</v>
      </c>
      <c r="B1168" t="str">
        <f>"15070770649"</f>
        <v>15070770649</v>
      </c>
      <c r="C1168" t="str">
        <f>"360731199909084337"</f>
        <v>360731199909084337</v>
      </c>
      <c r="D1168" t="s">
        <v>0</v>
      </c>
      <c r="E1168" t="s">
        <v>0</v>
      </c>
      <c r="F1168" t="str">
        <f>"2018-11-29 11:46:01"</f>
        <v>2018-11-29 11:46:01</v>
      </c>
    </row>
    <row r="1169" spans="1:6" x14ac:dyDescent="0.3">
      <c r="A1169" t="s">
        <v>0</v>
      </c>
      <c r="B1169" t="str">
        <f>"17137568042"</f>
        <v>17137568042</v>
      </c>
      <c r="C1169" t="s">
        <v>0</v>
      </c>
      <c r="D1169" t="s">
        <v>0</v>
      </c>
      <c r="E1169" t="s">
        <v>0</v>
      </c>
      <c r="F1169" t="str">
        <f>"2018-11-29 11:44:30"</f>
        <v>2018-11-29 11:44:30</v>
      </c>
    </row>
    <row r="1170" spans="1:6" x14ac:dyDescent="0.3">
      <c r="A1170" t="s">
        <v>1935</v>
      </c>
      <c r="B1170" t="str">
        <f>"18978547682"</f>
        <v>18978547682</v>
      </c>
      <c r="C1170" t="str">
        <f>"452502198010200279"</f>
        <v>452502198010200279</v>
      </c>
      <c r="D1170" t="s">
        <v>0</v>
      </c>
      <c r="E1170" t="s">
        <v>0</v>
      </c>
      <c r="F1170" t="str">
        <f>"2018-11-29 11:43:59"</f>
        <v>2018-11-29 11:43:59</v>
      </c>
    </row>
    <row r="1171" spans="1:6" x14ac:dyDescent="0.3">
      <c r="A1171" t="s">
        <v>1936</v>
      </c>
      <c r="B1171" t="str">
        <f>"17636178769"</f>
        <v>17636178769</v>
      </c>
      <c r="C1171" t="str">
        <f>"141125199612070030"</f>
        <v>141125199612070030</v>
      </c>
      <c r="D1171" t="s">
        <v>0</v>
      </c>
      <c r="E1171" t="s">
        <v>0</v>
      </c>
      <c r="F1171" t="str">
        <f>"2018-11-29 11:43:54"</f>
        <v>2018-11-29 11:43:54</v>
      </c>
    </row>
    <row r="1172" spans="1:6" x14ac:dyDescent="0.3">
      <c r="A1172" t="s">
        <v>1937</v>
      </c>
      <c r="B1172" t="str">
        <f>"13703701802"</f>
        <v>13703701802</v>
      </c>
      <c r="C1172" t="str">
        <f>"411402198404163024"</f>
        <v>411402198404163024</v>
      </c>
      <c r="D1172" t="s">
        <v>1938</v>
      </c>
      <c r="E1172" t="s">
        <v>1939</v>
      </c>
      <c r="F1172" t="str">
        <f>"2018-11-29 11:43:47"</f>
        <v>2018-11-29 11:43:47</v>
      </c>
    </row>
    <row r="1173" spans="1:6" x14ac:dyDescent="0.3">
      <c r="A1173" t="s">
        <v>1940</v>
      </c>
      <c r="B1173" t="str">
        <f>"13903092786"</f>
        <v>13903092786</v>
      </c>
      <c r="C1173" t="str">
        <f>"350622198102263512"</f>
        <v>350622198102263512</v>
      </c>
      <c r="D1173" t="s">
        <v>1941</v>
      </c>
      <c r="E1173" t="s">
        <v>1942</v>
      </c>
      <c r="F1173" t="str">
        <f>"2018-11-29 11:43:41"</f>
        <v>2018-11-29 11:43:41</v>
      </c>
    </row>
    <row r="1174" spans="1:6" x14ac:dyDescent="0.3">
      <c r="A1174" t="s">
        <v>1943</v>
      </c>
      <c r="B1174" t="str">
        <f>"13605930350"</f>
        <v>13605930350</v>
      </c>
      <c r="C1174" t="str">
        <f>"350824199709010026"</f>
        <v>350824199709010026</v>
      </c>
      <c r="D1174" t="s">
        <v>1944</v>
      </c>
      <c r="E1174" t="s">
        <v>1945</v>
      </c>
      <c r="F1174" t="str">
        <f>"2018-11-29 11:43:35"</f>
        <v>2018-11-29 11:43:35</v>
      </c>
    </row>
    <row r="1175" spans="1:6" x14ac:dyDescent="0.3">
      <c r="A1175" t="s">
        <v>1946</v>
      </c>
      <c r="B1175" t="str">
        <f>"13739923522"</f>
        <v>13739923522</v>
      </c>
      <c r="C1175" t="str">
        <f>"150222199807253555"</f>
        <v>150222199807253555</v>
      </c>
      <c r="D1175" t="s">
        <v>0</v>
      </c>
      <c r="E1175" t="s">
        <v>0</v>
      </c>
      <c r="F1175" t="str">
        <f>"2018-11-29 11:41:36"</f>
        <v>2018-11-29 11:41:36</v>
      </c>
    </row>
    <row r="1176" spans="1:6" x14ac:dyDescent="0.3">
      <c r="A1176" t="s">
        <v>1947</v>
      </c>
      <c r="B1176" t="str">
        <f>"13394757035"</f>
        <v>13394757035</v>
      </c>
      <c r="C1176" t="str">
        <f>"230606198308112413"</f>
        <v>230606198308112413</v>
      </c>
      <c r="D1176" t="s">
        <v>1948</v>
      </c>
      <c r="E1176" t="s">
        <v>1949</v>
      </c>
      <c r="F1176" t="str">
        <f>"2018-11-29 11:41:35"</f>
        <v>2018-11-29 11:41:35</v>
      </c>
    </row>
    <row r="1177" spans="1:6" x14ac:dyDescent="0.3">
      <c r="A1177" t="s">
        <v>0</v>
      </c>
      <c r="B1177" t="str">
        <f>"18170905010"</f>
        <v>18170905010</v>
      </c>
      <c r="C1177" t="s">
        <v>0</v>
      </c>
      <c r="D1177" t="s">
        <v>0</v>
      </c>
      <c r="E1177" t="s">
        <v>0</v>
      </c>
      <c r="F1177" t="str">
        <f>"2018-11-29 11:38:45"</f>
        <v>2018-11-29 11:38:45</v>
      </c>
    </row>
    <row r="1178" spans="1:6" x14ac:dyDescent="0.3">
      <c r="A1178" t="s">
        <v>0</v>
      </c>
      <c r="B1178" t="str">
        <f>"13106792121"</f>
        <v>13106792121</v>
      </c>
      <c r="C1178" t="s">
        <v>0</v>
      </c>
      <c r="D1178" t="s">
        <v>0</v>
      </c>
      <c r="E1178" t="s">
        <v>0</v>
      </c>
      <c r="F1178" t="str">
        <f>"2018-11-29 11:36:40"</f>
        <v>2018-11-29 11:36:40</v>
      </c>
    </row>
    <row r="1179" spans="1:6" x14ac:dyDescent="0.3">
      <c r="A1179" t="s">
        <v>1950</v>
      </c>
      <c r="B1179" t="str">
        <f>"17828183332"</f>
        <v>17828183332</v>
      </c>
      <c r="C1179" t="str">
        <f>"51082419910929853X"</f>
        <v>51082419910929853X</v>
      </c>
      <c r="D1179" t="s">
        <v>1951</v>
      </c>
      <c r="E1179" t="s">
        <v>1952</v>
      </c>
      <c r="F1179" t="str">
        <f>"2018-11-29 11:35:33"</f>
        <v>2018-11-29 11:35:33</v>
      </c>
    </row>
    <row r="1180" spans="1:6" x14ac:dyDescent="0.3">
      <c r="A1180" t="s">
        <v>0</v>
      </c>
      <c r="B1180" t="str">
        <f>"15262905303"</f>
        <v>15262905303</v>
      </c>
      <c r="C1180" t="s">
        <v>0</v>
      </c>
      <c r="D1180" t="s">
        <v>0</v>
      </c>
      <c r="E1180" t="s">
        <v>0</v>
      </c>
      <c r="F1180" t="str">
        <f>"2018-11-29 11:35:20"</f>
        <v>2018-11-29 11:35:20</v>
      </c>
    </row>
    <row r="1181" spans="1:6" x14ac:dyDescent="0.3">
      <c r="A1181" t="s">
        <v>1953</v>
      </c>
      <c r="B1181" t="str">
        <f>"15364289937"</f>
        <v>15364289937</v>
      </c>
      <c r="C1181" t="str">
        <f>"432827198412100051"</f>
        <v>432827198412100051</v>
      </c>
      <c r="D1181" t="s">
        <v>1954</v>
      </c>
      <c r="E1181" t="s">
        <v>1955</v>
      </c>
      <c r="F1181" t="str">
        <f>"2018-11-29 11:34:53"</f>
        <v>2018-11-29 11:34:53</v>
      </c>
    </row>
    <row r="1182" spans="1:6" x14ac:dyDescent="0.3">
      <c r="A1182" t="s">
        <v>0</v>
      </c>
      <c r="B1182" t="str">
        <f>"18626340515"</f>
        <v>18626340515</v>
      </c>
      <c r="C1182" t="s">
        <v>0</v>
      </c>
      <c r="D1182" t="s">
        <v>0</v>
      </c>
      <c r="E1182" t="s">
        <v>0</v>
      </c>
      <c r="F1182" t="str">
        <f>"2018-11-29 11:34:19"</f>
        <v>2018-11-29 11:34:19</v>
      </c>
    </row>
    <row r="1183" spans="1:6" x14ac:dyDescent="0.3">
      <c r="A1183" t="s">
        <v>1956</v>
      </c>
      <c r="B1183" t="str">
        <f>"18171501107"</f>
        <v>18171501107</v>
      </c>
      <c r="C1183" t="str">
        <f>"411522199507181511"</f>
        <v>411522199507181511</v>
      </c>
      <c r="D1183" t="s">
        <v>1957</v>
      </c>
      <c r="E1183" t="s">
        <v>1958</v>
      </c>
      <c r="F1183" t="str">
        <f>"2018-11-29 11:34:09"</f>
        <v>2018-11-29 11:34:09</v>
      </c>
    </row>
    <row r="1184" spans="1:6" x14ac:dyDescent="0.3">
      <c r="A1184" t="s">
        <v>1959</v>
      </c>
      <c r="B1184" t="str">
        <f>"18102000504"</f>
        <v>18102000504</v>
      </c>
      <c r="C1184" t="str">
        <f>"120225199305041177"</f>
        <v>120225199305041177</v>
      </c>
      <c r="D1184" t="s">
        <v>1960</v>
      </c>
      <c r="E1184" t="s">
        <v>1961</v>
      </c>
      <c r="F1184" t="str">
        <f>"2018-11-29 11:34:04"</f>
        <v>2018-11-29 11:34:04</v>
      </c>
    </row>
    <row r="1185" spans="1:6" x14ac:dyDescent="0.3">
      <c r="A1185" t="s">
        <v>1962</v>
      </c>
      <c r="B1185" t="str">
        <f>"15236087111"</f>
        <v>15236087111</v>
      </c>
      <c r="C1185" t="str">
        <f>"412929197812252919"</f>
        <v>412929197812252919</v>
      </c>
      <c r="D1185" t="s">
        <v>1963</v>
      </c>
      <c r="E1185" t="s">
        <v>1964</v>
      </c>
      <c r="F1185" t="str">
        <f>"2018-11-29 11:32:39"</f>
        <v>2018-11-29 11:32:39</v>
      </c>
    </row>
    <row r="1186" spans="1:6" x14ac:dyDescent="0.3">
      <c r="A1186" t="s">
        <v>1965</v>
      </c>
      <c r="B1186" t="str">
        <f>"15226138999"</f>
        <v>15226138999</v>
      </c>
      <c r="C1186" t="str">
        <f>"410527197909193816"</f>
        <v>410527197909193816</v>
      </c>
      <c r="D1186" t="s">
        <v>1966</v>
      </c>
      <c r="E1186" t="s">
        <v>1967</v>
      </c>
      <c r="F1186" t="str">
        <f>"2018-11-29 11:32:20"</f>
        <v>2018-11-29 11:32:20</v>
      </c>
    </row>
    <row r="1187" spans="1:6" x14ac:dyDescent="0.3">
      <c r="A1187" t="s">
        <v>0</v>
      </c>
      <c r="B1187" t="str">
        <f>"15232370890"</f>
        <v>15232370890</v>
      </c>
      <c r="C1187" t="s">
        <v>0</v>
      </c>
      <c r="D1187" t="s">
        <v>0</v>
      </c>
      <c r="E1187" t="s">
        <v>0</v>
      </c>
      <c r="F1187" t="str">
        <f>"2018-11-29 11:31:17"</f>
        <v>2018-11-29 11:31:17</v>
      </c>
    </row>
    <row r="1188" spans="1:6" x14ac:dyDescent="0.3">
      <c r="A1188" t="s">
        <v>0</v>
      </c>
      <c r="B1188" t="str">
        <f>"18269537306"</f>
        <v>18269537306</v>
      </c>
      <c r="C1188" t="s">
        <v>0</v>
      </c>
      <c r="D1188" t="s">
        <v>0</v>
      </c>
      <c r="E1188" t="s">
        <v>0</v>
      </c>
      <c r="F1188" t="str">
        <f>"2018-11-29 11:29:48"</f>
        <v>2018-11-29 11:29:48</v>
      </c>
    </row>
    <row r="1189" spans="1:6" x14ac:dyDescent="0.3">
      <c r="A1189" t="s">
        <v>1968</v>
      </c>
      <c r="B1189" t="str">
        <f>"15980987713"</f>
        <v>15980987713</v>
      </c>
      <c r="C1189" t="str">
        <f>"350205199408012536"</f>
        <v>350205199408012536</v>
      </c>
      <c r="D1189" t="s">
        <v>1969</v>
      </c>
      <c r="E1189" t="s">
        <v>1970</v>
      </c>
      <c r="F1189" t="str">
        <f>"2018-11-29 11:29:47"</f>
        <v>2018-11-29 11:29:47</v>
      </c>
    </row>
    <row r="1190" spans="1:6" x14ac:dyDescent="0.3">
      <c r="A1190" t="s">
        <v>1971</v>
      </c>
      <c r="B1190" t="str">
        <f>"13085366578"</f>
        <v>13085366578</v>
      </c>
      <c r="C1190" t="str">
        <f>"53342219960326031X"</f>
        <v>53342219960326031X</v>
      </c>
      <c r="D1190" t="s">
        <v>1972</v>
      </c>
      <c r="E1190" t="s">
        <v>1973</v>
      </c>
      <c r="F1190" t="str">
        <f>"2018-11-29 11:29:27"</f>
        <v>2018-11-29 11:29:27</v>
      </c>
    </row>
    <row r="1191" spans="1:6" x14ac:dyDescent="0.3">
      <c r="A1191" t="s">
        <v>0</v>
      </c>
      <c r="B1191" t="str">
        <f>"15173902558"</f>
        <v>15173902558</v>
      </c>
      <c r="C1191" t="s">
        <v>0</v>
      </c>
      <c r="D1191" t="s">
        <v>0</v>
      </c>
      <c r="E1191" t="s">
        <v>0</v>
      </c>
      <c r="F1191" t="str">
        <f>"2018-11-29 11:29:27"</f>
        <v>2018-11-29 11:29:27</v>
      </c>
    </row>
    <row r="1192" spans="1:6" x14ac:dyDescent="0.3">
      <c r="A1192" t="s">
        <v>1974</v>
      </c>
      <c r="B1192" t="str">
        <f>"15033637867"</f>
        <v>15033637867</v>
      </c>
      <c r="C1192" t="str">
        <f>"130730198810080033"</f>
        <v>130730198810080033</v>
      </c>
      <c r="D1192" t="s">
        <v>0</v>
      </c>
      <c r="E1192" t="s">
        <v>0</v>
      </c>
      <c r="F1192" t="str">
        <f>"2018-11-29 11:28:09"</f>
        <v>2018-11-29 11:28:09</v>
      </c>
    </row>
    <row r="1193" spans="1:6" x14ac:dyDescent="0.3">
      <c r="A1193" t="s">
        <v>1975</v>
      </c>
      <c r="B1193" t="str">
        <f>"15991540117"</f>
        <v>15991540117</v>
      </c>
      <c r="C1193" t="str">
        <f>"610623198907161628"</f>
        <v>610623198907161628</v>
      </c>
      <c r="D1193" t="s">
        <v>1976</v>
      </c>
      <c r="E1193" t="s">
        <v>1977</v>
      </c>
      <c r="F1193" t="str">
        <f>"2018-11-29 11:27:47"</f>
        <v>2018-11-29 11:27:47</v>
      </c>
    </row>
    <row r="1194" spans="1:6" x14ac:dyDescent="0.3">
      <c r="A1194" t="s">
        <v>1978</v>
      </c>
      <c r="B1194" t="str">
        <f>"18303018964"</f>
        <v>18303018964</v>
      </c>
      <c r="C1194" t="str">
        <f>"220182199408120420"</f>
        <v>220182199408120420</v>
      </c>
      <c r="D1194" t="s">
        <v>0</v>
      </c>
      <c r="E1194" t="s">
        <v>0</v>
      </c>
      <c r="F1194" t="str">
        <f>"2018-11-29 11:27:43"</f>
        <v>2018-11-29 11:27:43</v>
      </c>
    </row>
    <row r="1195" spans="1:6" x14ac:dyDescent="0.3">
      <c r="A1195" t="s">
        <v>1979</v>
      </c>
      <c r="B1195" t="str">
        <f>"18523086785"</f>
        <v>18523086785</v>
      </c>
      <c r="C1195" t="str">
        <f>"511025199403291199"</f>
        <v>511025199403291199</v>
      </c>
      <c r="D1195" t="s">
        <v>1980</v>
      </c>
      <c r="E1195" t="s">
        <v>1981</v>
      </c>
      <c r="F1195" t="str">
        <f>"2018-11-29 11:27:31"</f>
        <v>2018-11-29 11:27:31</v>
      </c>
    </row>
    <row r="1196" spans="1:6" x14ac:dyDescent="0.3">
      <c r="A1196" t="s">
        <v>1982</v>
      </c>
      <c r="B1196" t="str">
        <f>"18827932520"</f>
        <v>18827932520</v>
      </c>
      <c r="C1196" t="str">
        <f>"362322199303098455"</f>
        <v>362322199303098455</v>
      </c>
      <c r="D1196" t="s">
        <v>1983</v>
      </c>
      <c r="E1196" t="s">
        <v>1984</v>
      </c>
      <c r="F1196" t="str">
        <f>"2018-11-29 11:27:01"</f>
        <v>2018-11-29 11:27:01</v>
      </c>
    </row>
    <row r="1197" spans="1:6" x14ac:dyDescent="0.3">
      <c r="A1197" t="s">
        <v>1985</v>
      </c>
      <c r="B1197" t="str">
        <f>"13255558967"</f>
        <v>13255558967</v>
      </c>
      <c r="C1197" t="str">
        <f>"371311199105012624"</f>
        <v>371311199105012624</v>
      </c>
      <c r="D1197" t="s">
        <v>0</v>
      </c>
      <c r="E1197" t="s">
        <v>0</v>
      </c>
      <c r="F1197" t="str">
        <f>"2018-11-29 11:26:48"</f>
        <v>2018-11-29 11:26:48</v>
      </c>
    </row>
    <row r="1198" spans="1:6" x14ac:dyDescent="0.3">
      <c r="A1198" t="s">
        <v>1986</v>
      </c>
      <c r="B1198" t="str">
        <f>"15931808276"</f>
        <v>15931808276</v>
      </c>
      <c r="C1198" t="str">
        <f>"130634198201153110"</f>
        <v>130634198201153110</v>
      </c>
      <c r="D1198" t="s">
        <v>1987</v>
      </c>
      <c r="E1198" t="s">
        <v>1988</v>
      </c>
      <c r="F1198" t="str">
        <f>"2018-11-29 11:26:28"</f>
        <v>2018-11-29 11:26:28</v>
      </c>
    </row>
    <row r="1199" spans="1:6" x14ac:dyDescent="0.3">
      <c r="A1199" t="s">
        <v>1989</v>
      </c>
      <c r="B1199" t="str">
        <f>"13983167678"</f>
        <v>13983167678</v>
      </c>
      <c r="C1199" t="str">
        <f>"512323198212110017"</f>
        <v>512323198212110017</v>
      </c>
      <c r="D1199" t="s">
        <v>1990</v>
      </c>
      <c r="E1199" t="s">
        <v>1991</v>
      </c>
      <c r="F1199" t="str">
        <f>"2018-11-29 11:26:25"</f>
        <v>2018-11-29 11:26:25</v>
      </c>
    </row>
    <row r="1200" spans="1:6" x14ac:dyDescent="0.3">
      <c r="A1200" t="s">
        <v>0</v>
      </c>
      <c r="B1200" t="str">
        <f>"13397357978"</f>
        <v>13397357978</v>
      </c>
      <c r="C1200" t="s">
        <v>0</v>
      </c>
      <c r="D1200" t="s">
        <v>0</v>
      </c>
      <c r="E1200" t="s">
        <v>0</v>
      </c>
      <c r="F1200" t="str">
        <f>"2018-11-29 11:24:52"</f>
        <v>2018-11-29 11:24:52</v>
      </c>
    </row>
    <row r="1201" spans="1:6" x14ac:dyDescent="0.3">
      <c r="A1201" t="s">
        <v>1992</v>
      </c>
      <c r="B1201" t="str">
        <f>"18778927556"</f>
        <v>18778927556</v>
      </c>
      <c r="C1201" t="str">
        <f>"450203198401190715"</f>
        <v>450203198401190715</v>
      </c>
      <c r="D1201" t="s">
        <v>1993</v>
      </c>
      <c r="E1201" t="s">
        <v>1994</v>
      </c>
      <c r="F1201" t="str">
        <f>"2018-11-29 11:24:24"</f>
        <v>2018-11-29 11:24:24</v>
      </c>
    </row>
    <row r="1202" spans="1:6" x14ac:dyDescent="0.3">
      <c r="A1202" t="s">
        <v>614</v>
      </c>
      <c r="B1202" t="str">
        <f>"15220073051"</f>
        <v>15220073051</v>
      </c>
      <c r="C1202" t="str">
        <f>"612401199401010731"</f>
        <v>612401199401010731</v>
      </c>
      <c r="D1202" t="s">
        <v>1995</v>
      </c>
      <c r="E1202" t="s">
        <v>1996</v>
      </c>
      <c r="F1202" t="str">
        <f>"2018-11-29 11:24:20"</f>
        <v>2018-11-29 11:24:20</v>
      </c>
    </row>
    <row r="1203" spans="1:6" x14ac:dyDescent="0.3">
      <c r="A1203" t="s">
        <v>0</v>
      </c>
      <c r="B1203" t="str">
        <f>"13969493506"</f>
        <v>13969493506</v>
      </c>
      <c r="C1203" t="s">
        <v>0</v>
      </c>
      <c r="D1203" t="s">
        <v>0</v>
      </c>
      <c r="E1203" t="s">
        <v>0</v>
      </c>
      <c r="F1203" t="str">
        <f>"2018-11-29 11:24:01"</f>
        <v>2018-11-29 11:24:01</v>
      </c>
    </row>
    <row r="1204" spans="1:6" x14ac:dyDescent="0.3">
      <c r="A1204" t="s">
        <v>1997</v>
      </c>
      <c r="B1204" t="str">
        <f>"18688695826"</f>
        <v>18688695826</v>
      </c>
      <c r="C1204" t="str">
        <f>"510521199607021431"</f>
        <v>510521199607021431</v>
      </c>
      <c r="D1204" t="s">
        <v>0</v>
      </c>
      <c r="E1204" t="s">
        <v>0</v>
      </c>
      <c r="F1204" t="str">
        <f>"2018-11-29 11:24:00"</f>
        <v>2018-11-29 11:24:00</v>
      </c>
    </row>
    <row r="1205" spans="1:6" x14ac:dyDescent="0.3">
      <c r="A1205" t="s">
        <v>1998</v>
      </c>
      <c r="B1205" t="str">
        <f>"18714462599"</f>
        <v>18714462599</v>
      </c>
      <c r="C1205" t="str">
        <f>"23052319920103043X"</f>
        <v>23052319920103043X</v>
      </c>
      <c r="D1205" t="s">
        <v>1999</v>
      </c>
      <c r="E1205" t="s">
        <v>2000</v>
      </c>
      <c r="F1205" t="str">
        <f>"2018-11-29 11:23:47"</f>
        <v>2018-11-29 11:23:47</v>
      </c>
    </row>
    <row r="1206" spans="1:6" x14ac:dyDescent="0.3">
      <c r="A1206" t="s">
        <v>2001</v>
      </c>
      <c r="B1206" t="str">
        <f>"17721175072"</f>
        <v>17721175072</v>
      </c>
      <c r="C1206" t="str">
        <f>"350781198906105611"</f>
        <v>350781198906105611</v>
      </c>
      <c r="D1206" t="s">
        <v>2002</v>
      </c>
      <c r="E1206" t="s">
        <v>2003</v>
      </c>
      <c r="F1206" t="str">
        <f>"2018-11-29 11:22:52"</f>
        <v>2018-11-29 11:22:52</v>
      </c>
    </row>
    <row r="1207" spans="1:6" x14ac:dyDescent="0.3">
      <c r="A1207" t="s">
        <v>0</v>
      </c>
      <c r="B1207" t="str">
        <f>"13321754762"</f>
        <v>13321754762</v>
      </c>
      <c r="C1207" t="s">
        <v>0</v>
      </c>
      <c r="D1207" t="s">
        <v>0</v>
      </c>
      <c r="E1207" t="s">
        <v>0</v>
      </c>
      <c r="F1207" t="str">
        <f>"2018-11-29 11:22:22"</f>
        <v>2018-11-29 11:22:22</v>
      </c>
    </row>
    <row r="1208" spans="1:6" x14ac:dyDescent="0.3">
      <c r="A1208" t="s">
        <v>2004</v>
      </c>
      <c r="B1208" t="str">
        <f>"15017772024"</f>
        <v>15017772024</v>
      </c>
      <c r="C1208" t="str">
        <f>"440681199602285458"</f>
        <v>440681199602285458</v>
      </c>
      <c r="D1208" t="s">
        <v>2005</v>
      </c>
      <c r="E1208" t="s">
        <v>2006</v>
      </c>
      <c r="F1208" t="str">
        <f>"2018-11-29 11:21:42"</f>
        <v>2018-11-29 11:21:42</v>
      </c>
    </row>
    <row r="1209" spans="1:6" x14ac:dyDescent="0.3">
      <c r="A1209" t="s">
        <v>2007</v>
      </c>
      <c r="B1209" t="str">
        <f>"18642257493"</f>
        <v>18642257493</v>
      </c>
      <c r="C1209" t="str">
        <f>"21031119851202151X"</f>
        <v>21031119851202151X</v>
      </c>
      <c r="D1209" t="s">
        <v>2008</v>
      </c>
      <c r="E1209" t="s">
        <v>2009</v>
      </c>
      <c r="F1209" t="str">
        <f>"2018-11-29 11:21:32"</f>
        <v>2018-11-29 11:21:32</v>
      </c>
    </row>
    <row r="1210" spans="1:6" x14ac:dyDescent="0.3">
      <c r="A1210" t="s">
        <v>2010</v>
      </c>
      <c r="B1210" t="str">
        <f>"18220210268"</f>
        <v>18220210268</v>
      </c>
      <c r="C1210" t="str">
        <f>"142401198112100311"</f>
        <v>142401198112100311</v>
      </c>
      <c r="D1210" t="s">
        <v>2011</v>
      </c>
      <c r="E1210" t="s">
        <v>2012</v>
      </c>
      <c r="F1210" t="str">
        <f>"2018-11-29 11:21:15"</f>
        <v>2018-11-29 11:21:15</v>
      </c>
    </row>
    <row r="1211" spans="1:6" x14ac:dyDescent="0.3">
      <c r="A1211" t="s">
        <v>2013</v>
      </c>
      <c r="B1211" t="str">
        <f>"15191557327"</f>
        <v>15191557327</v>
      </c>
      <c r="C1211" t="str">
        <f>"61242619880911123X"</f>
        <v>61242619880911123X</v>
      </c>
      <c r="D1211" t="s">
        <v>2014</v>
      </c>
      <c r="E1211" t="s">
        <v>2015</v>
      </c>
      <c r="F1211" t="str">
        <f>"2018-11-29 11:21:07"</f>
        <v>2018-11-29 11:21:07</v>
      </c>
    </row>
    <row r="1212" spans="1:6" x14ac:dyDescent="0.3">
      <c r="A1212" t="s">
        <v>2016</v>
      </c>
      <c r="B1212" t="str">
        <f>"13243154567"</f>
        <v>13243154567</v>
      </c>
      <c r="C1212" t="str">
        <f>"410181198412295519"</f>
        <v>410181198412295519</v>
      </c>
      <c r="D1212" t="s">
        <v>2017</v>
      </c>
      <c r="E1212" t="s">
        <v>2018</v>
      </c>
      <c r="F1212" t="str">
        <f>"2018-11-29 11:19:32"</f>
        <v>2018-11-29 11:19:32</v>
      </c>
    </row>
    <row r="1213" spans="1:6" x14ac:dyDescent="0.3">
      <c r="A1213" t="s">
        <v>2019</v>
      </c>
      <c r="B1213" t="str">
        <f>"15257820700"</f>
        <v>15257820700</v>
      </c>
      <c r="C1213" t="str">
        <f>"332526199611207319"</f>
        <v>332526199611207319</v>
      </c>
      <c r="D1213" t="s">
        <v>2020</v>
      </c>
      <c r="E1213" t="s">
        <v>2020</v>
      </c>
      <c r="F1213" t="str">
        <f>"2018-11-29 11:19:00"</f>
        <v>2018-11-29 11:19:00</v>
      </c>
    </row>
    <row r="1214" spans="1:6" x14ac:dyDescent="0.3">
      <c r="A1214" t="s">
        <v>2021</v>
      </c>
      <c r="B1214" t="str">
        <f>"13137412210"</f>
        <v>13137412210</v>
      </c>
      <c r="C1214" t="str">
        <f>"411023198811051513"</f>
        <v>411023198811051513</v>
      </c>
      <c r="D1214" t="s">
        <v>2022</v>
      </c>
      <c r="E1214" t="s">
        <v>2023</v>
      </c>
      <c r="F1214" t="str">
        <f>"2018-11-29 11:18:39"</f>
        <v>2018-11-29 11:18:39</v>
      </c>
    </row>
    <row r="1215" spans="1:6" x14ac:dyDescent="0.3">
      <c r="A1215" t="s">
        <v>2024</v>
      </c>
      <c r="B1215" t="str">
        <f>"13932893500"</f>
        <v>13932893500</v>
      </c>
      <c r="C1215" t="str">
        <f>"131181198308010978"</f>
        <v>131181198308010978</v>
      </c>
      <c r="D1215" t="s">
        <v>2025</v>
      </c>
      <c r="E1215" t="s">
        <v>2026</v>
      </c>
      <c r="F1215" t="str">
        <f>"2018-11-29 11:17:53"</f>
        <v>2018-11-29 11:17:53</v>
      </c>
    </row>
    <row r="1216" spans="1:6" x14ac:dyDescent="0.3">
      <c r="A1216" t="s">
        <v>0</v>
      </c>
      <c r="B1216" t="str">
        <f>"13481811439"</f>
        <v>13481811439</v>
      </c>
      <c r="C1216" t="s">
        <v>0</v>
      </c>
      <c r="D1216" t="s">
        <v>0</v>
      </c>
      <c r="E1216" t="s">
        <v>0</v>
      </c>
      <c r="F1216" t="str">
        <f>"2018-11-29 11:17:34"</f>
        <v>2018-11-29 11:17:34</v>
      </c>
    </row>
    <row r="1217" spans="1:6" x14ac:dyDescent="0.3">
      <c r="A1217" t="s">
        <v>2027</v>
      </c>
      <c r="B1217" t="str">
        <f>"15149397444"</f>
        <v>15149397444</v>
      </c>
      <c r="C1217" t="str">
        <f>"150222198905135320"</f>
        <v>150222198905135320</v>
      </c>
      <c r="D1217" t="s">
        <v>0</v>
      </c>
      <c r="E1217" t="s">
        <v>0</v>
      </c>
      <c r="F1217" t="str">
        <f>"2018-11-29 11:16:12"</f>
        <v>2018-11-29 11:16:12</v>
      </c>
    </row>
    <row r="1218" spans="1:6" x14ac:dyDescent="0.3">
      <c r="A1218" t="s">
        <v>0</v>
      </c>
      <c r="B1218" t="str">
        <f>"15091176606"</f>
        <v>15091176606</v>
      </c>
      <c r="C1218" t="s">
        <v>0</v>
      </c>
      <c r="D1218" t="s">
        <v>0</v>
      </c>
      <c r="E1218" t="s">
        <v>0</v>
      </c>
      <c r="F1218" t="str">
        <f>"2018-11-29 11:14:15"</f>
        <v>2018-11-29 11:14:15</v>
      </c>
    </row>
    <row r="1219" spans="1:6" x14ac:dyDescent="0.3">
      <c r="A1219" t="s">
        <v>0</v>
      </c>
      <c r="B1219" t="str">
        <f>"18005415857"</f>
        <v>18005415857</v>
      </c>
      <c r="C1219" t="s">
        <v>0</v>
      </c>
      <c r="D1219" t="s">
        <v>0</v>
      </c>
      <c r="E1219" t="s">
        <v>0</v>
      </c>
      <c r="F1219" t="str">
        <f>"2018-11-29 11:13:48"</f>
        <v>2018-11-29 11:13:48</v>
      </c>
    </row>
    <row r="1220" spans="1:6" x14ac:dyDescent="0.3">
      <c r="A1220" t="s">
        <v>2028</v>
      </c>
      <c r="B1220" t="str">
        <f>"13540960685"</f>
        <v>13540960685</v>
      </c>
      <c r="C1220" t="str">
        <f>"513821198801208333"</f>
        <v>513821198801208333</v>
      </c>
      <c r="D1220" t="s">
        <v>2029</v>
      </c>
      <c r="E1220" t="s">
        <v>2030</v>
      </c>
      <c r="F1220" t="str">
        <f>"2018-11-29 11:13:46"</f>
        <v>2018-11-29 11:13:46</v>
      </c>
    </row>
    <row r="1221" spans="1:6" x14ac:dyDescent="0.3">
      <c r="A1221" t="s">
        <v>2031</v>
      </c>
      <c r="B1221" t="str">
        <f>"18319533522"</f>
        <v>18319533522</v>
      </c>
      <c r="C1221" t="str">
        <f>"44080219941019002X"</f>
        <v>44080219941019002X</v>
      </c>
      <c r="D1221" t="s">
        <v>0</v>
      </c>
      <c r="E1221" t="s">
        <v>0</v>
      </c>
      <c r="F1221" t="str">
        <f>"2018-11-29 11:13:33"</f>
        <v>2018-11-29 11:13:33</v>
      </c>
    </row>
    <row r="1222" spans="1:6" x14ac:dyDescent="0.3">
      <c r="A1222" t="s">
        <v>2032</v>
      </c>
      <c r="B1222" t="str">
        <f>"17740920189"</f>
        <v>17740920189</v>
      </c>
      <c r="C1222" t="str">
        <f>"511129198601080014"</f>
        <v>511129198601080014</v>
      </c>
      <c r="D1222" t="s">
        <v>2033</v>
      </c>
      <c r="E1222" t="s">
        <v>2034</v>
      </c>
      <c r="F1222" t="str">
        <f>"2018-11-29 11:13:14"</f>
        <v>2018-11-29 11:13:14</v>
      </c>
    </row>
    <row r="1223" spans="1:6" x14ac:dyDescent="0.3">
      <c r="A1223" t="s">
        <v>0</v>
      </c>
      <c r="B1223" t="str">
        <f>"13433249395"</f>
        <v>13433249395</v>
      </c>
      <c r="C1223" t="s">
        <v>0</v>
      </c>
      <c r="D1223" t="s">
        <v>0</v>
      </c>
      <c r="E1223" t="s">
        <v>0</v>
      </c>
      <c r="F1223" t="str">
        <f>"2018-11-29 11:12:30"</f>
        <v>2018-11-29 11:12:30</v>
      </c>
    </row>
    <row r="1224" spans="1:6" x14ac:dyDescent="0.3">
      <c r="A1224" t="s">
        <v>0</v>
      </c>
      <c r="B1224" t="str">
        <f>"15319126632"</f>
        <v>15319126632</v>
      </c>
      <c r="C1224" t="s">
        <v>0</v>
      </c>
      <c r="D1224" t="s">
        <v>0</v>
      </c>
      <c r="E1224" t="s">
        <v>0</v>
      </c>
      <c r="F1224" t="str">
        <f>"2018-11-29 11:12:20"</f>
        <v>2018-11-29 11:12:20</v>
      </c>
    </row>
    <row r="1225" spans="1:6" x14ac:dyDescent="0.3">
      <c r="A1225" t="s">
        <v>2035</v>
      </c>
      <c r="B1225" t="str">
        <f>"13886411699"</f>
        <v>13886411699</v>
      </c>
      <c r="C1225" t="str">
        <f>"421123198711236032"</f>
        <v>421123198711236032</v>
      </c>
      <c r="D1225" t="s">
        <v>0</v>
      </c>
      <c r="E1225" t="s">
        <v>0</v>
      </c>
      <c r="F1225" t="str">
        <f>"2018-11-29 11:12:10"</f>
        <v>2018-11-29 11:12:10</v>
      </c>
    </row>
    <row r="1226" spans="1:6" x14ac:dyDescent="0.3">
      <c r="A1226" t="s">
        <v>2036</v>
      </c>
      <c r="B1226" t="str">
        <f>"18272775008"</f>
        <v>18272775008</v>
      </c>
      <c r="C1226" t="str">
        <f>"411323199108236357"</f>
        <v>411323199108236357</v>
      </c>
      <c r="D1226" t="s">
        <v>2037</v>
      </c>
      <c r="E1226" t="s">
        <v>2038</v>
      </c>
      <c r="F1226" t="str">
        <f>"2018-11-29 11:11:43"</f>
        <v>2018-11-29 11:11:43</v>
      </c>
    </row>
    <row r="1227" spans="1:6" x14ac:dyDescent="0.3">
      <c r="A1227" t="s">
        <v>2039</v>
      </c>
      <c r="B1227" t="str">
        <f>"18231316208"</f>
        <v>18231316208</v>
      </c>
      <c r="C1227" t="str">
        <f>"130702198301270634"</f>
        <v>130702198301270634</v>
      </c>
      <c r="D1227" t="s">
        <v>2040</v>
      </c>
      <c r="E1227" t="s">
        <v>2041</v>
      </c>
      <c r="F1227" t="str">
        <f>"2018-11-29 11:11:35"</f>
        <v>2018-11-29 11:11:35</v>
      </c>
    </row>
    <row r="1228" spans="1:6" x14ac:dyDescent="0.3">
      <c r="A1228" t="s">
        <v>2042</v>
      </c>
      <c r="B1228" t="str">
        <f>"13861725870"</f>
        <v>13861725870</v>
      </c>
      <c r="C1228" t="str">
        <f>"32040419760425142X"</f>
        <v>32040419760425142X</v>
      </c>
      <c r="D1228" t="s">
        <v>2043</v>
      </c>
      <c r="E1228" t="s">
        <v>2044</v>
      </c>
      <c r="F1228" t="str">
        <f>"2018-11-29 11:11:28"</f>
        <v>2018-11-29 11:11:28</v>
      </c>
    </row>
    <row r="1229" spans="1:6" x14ac:dyDescent="0.3">
      <c r="A1229" t="s">
        <v>2045</v>
      </c>
      <c r="B1229" t="str">
        <f>"15605926883"</f>
        <v>15605926883</v>
      </c>
      <c r="C1229" t="str">
        <f>"350681198806295731"</f>
        <v>350681198806295731</v>
      </c>
      <c r="D1229" t="s">
        <v>0</v>
      </c>
      <c r="E1229" t="s">
        <v>0</v>
      </c>
      <c r="F1229" t="str">
        <f>"2018-11-29 11:10:06"</f>
        <v>2018-11-29 11:10:06</v>
      </c>
    </row>
    <row r="1230" spans="1:6" x14ac:dyDescent="0.3">
      <c r="A1230" t="s">
        <v>2046</v>
      </c>
      <c r="B1230" t="str">
        <f>"13464946056"</f>
        <v>13464946056</v>
      </c>
      <c r="C1230" t="str">
        <f>"152327198901101819"</f>
        <v>152327198901101819</v>
      </c>
      <c r="D1230" t="s">
        <v>2047</v>
      </c>
      <c r="E1230" t="s">
        <v>2048</v>
      </c>
      <c r="F1230" t="str">
        <f>"2018-11-29 11:09:21"</f>
        <v>2018-11-29 11:09:21</v>
      </c>
    </row>
    <row r="1231" spans="1:6" x14ac:dyDescent="0.3">
      <c r="A1231" t="s">
        <v>2049</v>
      </c>
      <c r="B1231" t="str">
        <f>"15622102015"</f>
        <v>15622102015</v>
      </c>
      <c r="C1231" t="str">
        <f>"445222199608241010"</f>
        <v>445222199608241010</v>
      </c>
      <c r="D1231" t="s">
        <v>2050</v>
      </c>
      <c r="E1231" t="s">
        <v>2051</v>
      </c>
      <c r="F1231" t="str">
        <f>"2018-11-29 11:09:08"</f>
        <v>2018-11-29 11:09:08</v>
      </c>
    </row>
    <row r="1232" spans="1:6" x14ac:dyDescent="0.3">
      <c r="A1232" t="s">
        <v>0</v>
      </c>
      <c r="B1232" t="str">
        <f>"15621801712"</f>
        <v>15621801712</v>
      </c>
      <c r="C1232" t="s">
        <v>0</v>
      </c>
      <c r="D1232" t="s">
        <v>0</v>
      </c>
      <c r="E1232" t="s">
        <v>0</v>
      </c>
      <c r="F1232" t="str">
        <f>"2018-11-29 11:09:05"</f>
        <v>2018-11-29 11:09:05</v>
      </c>
    </row>
    <row r="1233" spans="1:6" x14ac:dyDescent="0.3">
      <c r="A1233" t="s">
        <v>2052</v>
      </c>
      <c r="B1233" t="str">
        <f>"13269941171"</f>
        <v>13269941171</v>
      </c>
      <c r="C1233" t="str">
        <f>"620503199612201413"</f>
        <v>620503199612201413</v>
      </c>
      <c r="D1233" t="s">
        <v>2053</v>
      </c>
      <c r="E1233" t="s">
        <v>2054</v>
      </c>
      <c r="F1233" t="str">
        <f>"2018-11-29 11:08:41"</f>
        <v>2018-11-29 11:08:41</v>
      </c>
    </row>
    <row r="1234" spans="1:6" x14ac:dyDescent="0.3">
      <c r="A1234" t="s">
        <v>2055</v>
      </c>
      <c r="B1234" t="str">
        <f>"15205133882"</f>
        <v>15205133882</v>
      </c>
      <c r="C1234" t="str">
        <f>"320722199601223018"</f>
        <v>320722199601223018</v>
      </c>
      <c r="D1234" t="s">
        <v>2056</v>
      </c>
      <c r="E1234" t="s">
        <v>2057</v>
      </c>
      <c r="F1234" t="str">
        <f>"2018-11-29 11:08:00"</f>
        <v>2018-11-29 11:08:00</v>
      </c>
    </row>
    <row r="1235" spans="1:6" x14ac:dyDescent="0.3">
      <c r="A1235" t="s">
        <v>2058</v>
      </c>
      <c r="B1235" t="str">
        <f>"13435909295"</f>
        <v>13435909295</v>
      </c>
      <c r="C1235" t="str">
        <f>"445321199107184029"</f>
        <v>445321199107184029</v>
      </c>
      <c r="D1235" t="s">
        <v>2059</v>
      </c>
      <c r="E1235" t="s">
        <v>2060</v>
      </c>
      <c r="F1235" t="str">
        <f>"2018-11-29 11:07:54"</f>
        <v>2018-11-29 11:07:54</v>
      </c>
    </row>
    <row r="1236" spans="1:6" x14ac:dyDescent="0.3">
      <c r="A1236" t="s">
        <v>2061</v>
      </c>
      <c r="B1236" t="str">
        <f>"15307830394"</f>
        <v>15307830394</v>
      </c>
      <c r="C1236" t="str">
        <f>"452133199908283012"</f>
        <v>452133199908283012</v>
      </c>
      <c r="D1236" t="s">
        <v>0</v>
      </c>
      <c r="E1236" t="s">
        <v>0</v>
      </c>
      <c r="F1236" t="str">
        <f>"2018-11-29 11:07:24"</f>
        <v>2018-11-29 11:07:24</v>
      </c>
    </row>
    <row r="1237" spans="1:6" x14ac:dyDescent="0.3">
      <c r="A1237" t="s">
        <v>2062</v>
      </c>
      <c r="B1237" t="str">
        <f>"15355810401"</f>
        <v>15355810401</v>
      </c>
      <c r="C1237" t="str">
        <f>"310230198907154154"</f>
        <v>310230198907154154</v>
      </c>
      <c r="D1237" t="s">
        <v>2063</v>
      </c>
      <c r="E1237" t="s">
        <v>2064</v>
      </c>
      <c r="F1237" t="str">
        <f>"2018-11-29 11:07:17"</f>
        <v>2018-11-29 11:07:17</v>
      </c>
    </row>
    <row r="1238" spans="1:6" x14ac:dyDescent="0.3">
      <c r="A1238" t="s">
        <v>0</v>
      </c>
      <c r="B1238" t="str">
        <f>"17193148034"</f>
        <v>17193148034</v>
      </c>
      <c r="C1238" t="s">
        <v>0</v>
      </c>
      <c r="D1238" t="s">
        <v>0</v>
      </c>
      <c r="E1238" t="s">
        <v>0</v>
      </c>
      <c r="F1238" t="str">
        <f>"2018-11-29 11:07:11"</f>
        <v>2018-11-29 11:07:11</v>
      </c>
    </row>
    <row r="1239" spans="1:6" x14ac:dyDescent="0.3">
      <c r="A1239" t="s">
        <v>2065</v>
      </c>
      <c r="B1239" t="str">
        <f>"13989556678"</f>
        <v>13989556678</v>
      </c>
      <c r="C1239" t="str">
        <f>"330602199408150516"</f>
        <v>330602199408150516</v>
      </c>
      <c r="D1239" t="s">
        <v>2066</v>
      </c>
      <c r="E1239" t="s">
        <v>2067</v>
      </c>
      <c r="F1239" t="str">
        <f>"2018-11-29 11:06:49"</f>
        <v>2018-11-29 11:06:49</v>
      </c>
    </row>
    <row r="1240" spans="1:6" x14ac:dyDescent="0.3">
      <c r="A1240" t="s">
        <v>2068</v>
      </c>
      <c r="B1240" t="str">
        <f>"13624257409"</f>
        <v>13624257409</v>
      </c>
      <c r="C1240" t="str">
        <f>"210282198602147220"</f>
        <v>210282198602147220</v>
      </c>
      <c r="D1240" t="s">
        <v>2069</v>
      </c>
      <c r="E1240" t="s">
        <v>2070</v>
      </c>
      <c r="F1240" t="str">
        <f>"2018-11-29 11:06:14"</f>
        <v>2018-11-29 11:06:14</v>
      </c>
    </row>
    <row r="1241" spans="1:6" x14ac:dyDescent="0.3">
      <c r="A1241" t="s">
        <v>0</v>
      </c>
      <c r="B1241" t="str">
        <f>"13623236367"</f>
        <v>13623236367</v>
      </c>
      <c r="C1241" t="s">
        <v>0</v>
      </c>
      <c r="D1241" t="s">
        <v>0</v>
      </c>
      <c r="E1241" t="s">
        <v>0</v>
      </c>
      <c r="F1241" t="str">
        <f>"2018-11-29 11:05:59"</f>
        <v>2018-11-29 11:05:59</v>
      </c>
    </row>
    <row r="1242" spans="1:6" x14ac:dyDescent="0.3">
      <c r="A1242" t="s">
        <v>2071</v>
      </c>
      <c r="B1242" t="str">
        <f>"18216630626"</f>
        <v>18216630626</v>
      </c>
      <c r="C1242" t="str">
        <f>"520202198701233029"</f>
        <v>520202198701233029</v>
      </c>
      <c r="D1242" t="s">
        <v>0</v>
      </c>
      <c r="E1242" t="s">
        <v>0</v>
      </c>
      <c r="F1242" t="str">
        <f>"2018-11-29 11:05:49"</f>
        <v>2018-11-29 11:05:49</v>
      </c>
    </row>
    <row r="1243" spans="1:6" x14ac:dyDescent="0.3">
      <c r="A1243" t="s">
        <v>2072</v>
      </c>
      <c r="B1243" t="str">
        <f>"18871387607"</f>
        <v>18871387607</v>
      </c>
      <c r="C1243" t="str">
        <f>"429006198709205144"</f>
        <v>429006198709205144</v>
      </c>
      <c r="D1243" t="s">
        <v>2073</v>
      </c>
      <c r="E1243" t="s">
        <v>2074</v>
      </c>
      <c r="F1243" t="str">
        <f>"2018-11-29 11:05:36"</f>
        <v>2018-11-29 11:05:36</v>
      </c>
    </row>
    <row r="1244" spans="1:6" x14ac:dyDescent="0.3">
      <c r="A1244" t="s">
        <v>2075</v>
      </c>
      <c r="B1244" t="str">
        <f>"13820233919"</f>
        <v>13820233919</v>
      </c>
      <c r="C1244" t="str">
        <f>"120106198510137013"</f>
        <v>120106198510137013</v>
      </c>
      <c r="D1244" t="s">
        <v>0</v>
      </c>
      <c r="E1244" t="s">
        <v>0</v>
      </c>
      <c r="F1244" t="str">
        <f>"2018-11-29 11:05:28"</f>
        <v>2018-11-29 11:05:28</v>
      </c>
    </row>
    <row r="1245" spans="1:6" x14ac:dyDescent="0.3">
      <c r="A1245" t="s">
        <v>2076</v>
      </c>
      <c r="B1245" t="str">
        <f>"18919393078"</f>
        <v>18919393078</v>
      </c>
      <c r="C1245" t="str">
        <f>"622628198605010010"</f>
        <v>622628198605010010</v>
      </c>
      <c r="D1245" t="s">
        <v>2077</v>
      </c>
      <c r="E1245" t="s">
        <v>2078</v>
      </c>
      <c r="F1245" t="str">
        <f>"2018-11-29 11:04:57"</f>
        <v>2018-11-29 11:04:57</v>
      </c>
    </row>
    <row r="1246" spans="1:6" x14ac:dyDescent="0.3">
      <c r="A1246" t="s">
        <v>2079</v>
      </c>
      <c r="B1246" t="str">
        <f>"15579768986"</f>
        <v>15579768986</v>
      </c>
      <c r="C1246" t="str">
        <f>"350425199108240533"</f>
        <v>350425199108240533</v>
      </c>
      <c r="D1246" t="s">
        <v>2080</v>
      </c>
      <c r="E1246" t="s">
        <v>2081</v>
      </c>
      <c r="F1246" t="str">
        <f>"2018-11-29 11:04:33"</f>
        <v>2018-11-29 11:04:33</v>
      </c>
    </row>
    <row r="1247" spans="1:6" x14ac:dyDescent="0.3">
      <c r="A1247" t="s">
        <v>2082</v>
      </c>
      <c r="B1247" t="str">
        <f>"13123850176"</f>
        <v>13123850176</v>
      </c>
      <c r="C1247" t="str">
        <f>"412827199801120030"</f>
        <v>412827199801120030</v>
      </c>
      <c r="D1247" t="s">
        <v>2083</v>
      </c>
      <c r="E1247" t="s">
        <v>2084</v>
      </c>
      <c r="F1247" t="str">
        <f>"2018-11-29 11:04:30"</f>
        <v>2018-11-29 11:04:30</v>
      </c>
    </row>
    <row r="1248" spans="1:6" x14ac:dyDescent="0.3">
      <c r="A1248" t="s">
        <v>2085</v>
      </c>
      <c r="B1248" t="str">
        <f>"13135419666"</f>
        <v>13135419666</v>
      </c>
      <c r="C1248" t="str">
        <f>"341222197802015272"</f>
        <v>341222197802015272</v>
      </c>
      <c r="D1248" t="s">
        <v>2086</v>
      </c>
      <c r="E1248" t="s">
        <v>2087</v>
      </c>
      <c r="F1248" t="str">
        <f>"2018-11-29 11:03:14"</f>
        <v>2018-11-29 11:03:14</v>
      </c>
    </row>
    <row r="1249" spans="1:6" x14ac:dyDescent="0.3">
      <c r="A1249" t="s">
        <v>2088</v>
      </c>
      <c r="B1249" t="str">
        <f>"13574853061"</f>
        <v>13574853061</v>
      </c>
      <c r="C1249" t="str">
        <f>"430122199303102827"</f>
        <v>430122199303102827</v>
      </c>
      <c r="D1249" t="s">
        <v>0</v>
      </c>
      <c r="E1249" t="s">
        <v>0</v>
      </c>
      <c r="F1249" t="str">
        <f>"2018-11-29 11:02:45"</f>
        <v>2018-11-29 11:02:45</v>
      </c>
    </row>
    <row r="1250" spans="1:6" x14ac:dyDescent="0.3">
      <c r="A1250" t="s">
        <v>2089</v>
      </c>
      <c r="B1250" t="str">
        <f>"18888667867"</f>
        <v>18888667867</v>
      </c>
      <c r="C1250" t="str">
        <f>"340826199407301152"</f>
        <v>340826199407301152</v>
      </c>
      <c r="D1250" t="s">
        <v>2090</v>
      </c>
      <c r="E1250" t="s">
        <v>2091</v>
      </c>
      <c r="F1250" t="str">
        <f>"2018-11-29 11:01:16"</f>
        <v>2018-11-29 11:01:16</v>
      </c>
    </row>
    <row r="1251" spans="1:6" x14ac:dyDescent="0.3">
      <c r="A1251" t="s">
        <v>0</v>
      </c>
      <c r="B1251" t="str">
        <f>"15275777670"</f>
        <v>15275777670</v>
      </c>
      <c r="C1251" t="s">
        <v>0</v>
      </c>
      <c r="D1251" t="s">
        <v>0</v>
      </c>
      <c r="E1251" t="s">
        <v>0</v>
      </c>
      <c r="F1251" t="str">
        <f>"2018-11-29 11:01:11"</f>
        <v>2018-11-29 11:01:11</v>
      </c>
    </row>
    <row r="1252" spans="1:6" x14ac:dyDescent="0.3">
      <c r="A1252" t="s">
        <v>0</v>
      </c>
      <c r="B1252" t="str">
        <f>"18273474619"</f>
        <v>18273474619</v>
      </c>
      <c r="C1252" t="s">
        <v>0</v>
      </c>
      <c r="D1252" t="s">
        <v>0</v>
      </c>
      <c r="E1252" t="s">
        <v>0</v>
      </c>
      <c r="F1252" t="str">
        <f>"2018-11-29 11:00:03"</f>
        <v>2018-11-29 11:00:03</v>
      </c>
    </row>
    <row r="1253" spans="1:6" x14ac:dyDescent="0.3">
      <c r="A1253" t="s">
        <v>0</v>
      </c>
      <c r="B1253" t="str">
        <f>"13588294671"</f>
        <v>13588294671</v>
      </c>
      <c r="C1253" t="s">
        <v>0</v>
      </c>
      <c r="D1253" t="s">
        <v>0</v>
      </c>
      <c r="E1253" t="s">
        <v>0</v>
      </c>
      <c r="F1253" t="str">
        <f>"2018-11-29 10:59:36"</f>
        <v>2018-11-29 10:59:36</v>
      </c>
    </row>
    <row r="1254" spans="1:6" x14ac:dyDescent="0.3">
      <c r="A1254" t="s">
        <v>2092</v>
      </c>
      <c r="B1254" t="str">
        <f>"18700699802"</f>
        <v>18700699802</v>
      </c>
      <c r="C1254" t="str">
        <f>"610203199404190029"</f>
        <v>610203199404190029</v>
      </c>
      <c r="D1254" t="s">
        <v>2093</v>
      </c>
      <c r="E1254" t="s">
        <v>2094</v>
      </c>
      <c r="F1254" t="str">
        <f>"2018-11-29 10:59:07"</f>
        <v>2018-11-29 10:59:07</v>
      </c>
    </row>
    <row r="1255" spans="1:6" x14ac:dyDescent="0.3">
      <c r="A1255" t="s">
        <v>2095</v>
      </c>
      <c r="B1255" t="str">
        <f>"18785197127"</f>
        <v>18785197127</v>
      </c>
      <c r="C1255" t="str">
        <f>"330822198207132719"</f>
        <v>330822198207132719</v>
      </c>
      <c r="D1255" t="s">
        <v>2096</v>
      </c>
      <c r="E1255" t="s">
        <v>2097</v>
      </c>
      <c r="F1255" t="str">
        <f>"2018-11-29 10:57:53"</f>
        <v>2018-11-29 10:57:53</v>
      </c>
    </row>
    <row r="1256" spans="1:6" x14ac:dyDescent="0.3">
      <c r="A1256" t="s">
        <v>2098</v>
      </c>
      <c r="B1256" t="str">
        <f>"15986934102"</f>
        <v>15986934102</v>
      </c>
      <c r="C1256" t="str">
        <f>"441226199611123412"</f>
        <v>441226199611123412</v>
      </c>
      <c r="D1256" t="s">
        <v>0</v>
      </c>
      <c r="E1256" t="s">
        <v>0</v>
      </c>
      <c r="F1256" t="str">
        <f>"2018-11-29 10:57:10"</f>
        <v>2018-11-29 10:57:10</v>
      </c>
    </row>
    <row r="1257" spans="1:6" x14ac:dyDescent="0.3">
      <c r="A1257" t="s">
        <v>2099</v>
      </c>
      <c r="B1257" t="str">
        <f>"18660566882"</f>
        <v>18660566882</v>
      </c>
      <c r="C1257" t="str">
        <f>"370681198808277629"</f>
        <v>370681198808277629</v>
      </c>
      <c r="D1257" t="s">
        <v>2100</v>
      </c>
      <c r="E1257" t="s">
        <v>2101</v>
      </c>
      <c r="F1257" t="str">
        <f>"2018-11-29 10:54:35"</f>
        <v>2018-11-29 10:54:35</v>
      </c>
    </row>
    <row r="1258" spans="1:6" x14ac:dyDescent="0.3">
      <c r="A1258" t="s">
        <v>2102</v>
      </c>
      <c r="B1258" t="str">
        <f>"13666731661"</f>
        <v>13666731661</v>
      </c>
      <c r="C1258" t="str">
        <f>"330424198701271619"</f>
        <v>330424198701271619</v>
      </c>
      <c r="D1258" t="s">
        <v>0</v>
      </c>
      <c r="E1258" t="s">
        <v>0</v>
      </c>
      <c r="F1258" t="str">
        <f>"2018-11-29 10:53:25"</f>
        <v>2018-11-29 10:53:25</v>
      </c>
    </row>
    <row r="1259" spans="1:6" x14ac:dyDescent="0.3">
      <c r="A1259" t="s">
        <v>2103</v>
      </c>
      <c r="B1259" t="str">
        <f>"13432321233"</f>
        <v>13432321233</v>
      </c>
      <c r="C1259" t="str">
        <f>"440921198309220431"</f>
        <v>440921198309220431</v>
      </c>
      <c r="D1259" t="s">
        <v>2104</v>
      </c>
      <c r="E1259" t="s">
        <v>2105</v>
      </c>
      <c r="F1259" t="str">
        <f>"2018-11-29 10:52:30"</f>
        <v>2018-11-29 10:52:30</v>
      </c>
    </row>
    <row r="1260" spans="1:6" x14ac:dyDescent="0.3">
      <c r="A1260" t="s">
        <v>2106</v>
      </c>
      <c r="B1260" t="str">
        <f>"15251394405"</f>
        <v>15251394405</v>
      </c>
      <c r="C1260" t="str">
        <f>"320682199208303119"</f>
        <v>320682199208303119</v>
      </c>
      <c r="D1260" t="s">
        <v>2107</v>
      </c>
      <c r="E1260" t="s">
        <v>2108</v>
      </c>
      <c r="F1260" t="str">
        <f>"2018-11-29 10:51:37"</f>
        <v>2018-11-29 10:51:37</v>
      </c>
    </row>
    <row r="1261" spans="1:6" x14ac:dyDescent="0.3">
      <c r="A1261" t="s">
        <v>2109</v>
      </c>
      <c r="B1261" t="str">
        <f>"13557142194"</f>
        <v>13557142194</v>
      </c>
      <c r="C1261" t="str">
        <f>"452402198811104249"</f>
        <v>452402198811104249</v>
      </c>
      <c r="D1261" t="s">
        <v>2110</v>
      </c>
      <c r="E1261" t="s">
        <v>2111</v>
      </c>
      <c r="F1261" t="str">
        <f>"2018-11-29 10:49:28"</f>
        <v>2018-11-29 10:49:28</v>
      </c>
    </row>
    <row r="1262" spans="1:6" x14ac:dyDescent="0.3">
      <c r="A1262" t="s">
        <v>0</v>
      </c>
      <c r="B1262" t="str">
        <f>"15754899180"</f>
        <v>15754899180</v>
      </c>
      <c r="C1262" t="s">
        <v>0</v>
      </c>
      <c r="D1262" t="s">
        <v>0</v>
      </c>
      <c r="E1262" t="s">
        <v>0</v>
      </c>
      <c r="F1262" t="str">
        <f>"2018-11-29 10:48:33"</f>
        <v>2018-11-29 10:48:33</v>
      </c>
    </row>
    <row r="1263" spans="1:6" x14ac:dyDescent="0.3">
      <c r="A1263" t="s">
        <v>2112</v>
      </c>
      <c r="B1263" t="str">
        <f>"13409642860"</f>
        <v>13409642860</v>
      </c>
      <c r="C1263" t="str">
        <f>"429001199405258020"</f>
        <v>429001199405258020</v>
      </c>
      <c r="D1263" t="s">
        <v>0</v>
      </c>
      <c r="E1263" t="s">
        <v>0</v>
      </c>
      <c r="F1263" t="str">
        <f>"2018-11-29 10:46:46"</f>
        <v>2018-11-29 10:46:46</v>
      </c>
    </row>
    <row r="1264" spans="1:6" x14ac:dyDescent="0.3">
      <c r="A1264" t="s">
        <v>0</v>
      </c>
      <c r="B1264" t="str">
        <f>"13347427044"</f>
        <v>13347427044</v>
      </c>
      <c r="C1264" t="s">
        <v>0</v>
      </c>
      <c r="D1264" t="s">
        <v>0</v>
      </c>
      <c r="E1264" t="s">
        <v>0</v>
      </c>
      <c r="F1264" t="str">
        <f>"2018-11-29 10:46:44"</f>
        <v>2018-11-29 10:46:44</v>
      </c>
    </row>
    <row r="1265" spans="1:6" x14ac:dyDescent="0.3">
      <c r="A1265" t="s">
        <v>2113</v>
      </c>
      <c r="B1265" t="str">
        <f>"18857703117"</f>
        <v>18857703117</v>
      </c>
      <c r="C1265" t="str">
        <f>"330302199801026523"</f>
        <v>330302199801026523</v>
      </c>
      <c r="D1265" t="s">
        <v>0</v>
      </c>
      <c r="E1265" t="s">
        <v>0</v>
      </c>
      <c r="F1265" t="str">
        <f>"2018-11-29 10:46:24"</f>
        <v>2018-11-29 10:46:24</v>
      </c>
    </row>
    <row r="1266" spans="1:6" x14ac:dyDescent="0.3">
      <c r="A1266" t="s">
        <v>2114</v>
      </c>
      <c r="B1266" t="str">
        <f>"15203505001"</f>
        <v>15203505001</v>
      </c>
      <c r="C1266" t="str">
        <f>"142201199309179178"</f>
        <v>142201199309179178</v>
      </c>
      <c r="D1266" t="s">
        <v>2115</v>
      </c>
      <c r="E1266" t="s">
        <v>2116</v>
      </c>
      <c r="F1266" t="str">
        <f>"2018-11-29 10:46:15"</f>
        <v>2018-11-29 10:46:15</v>
      </c>
    </row>
    <row r="1267" spans="1:6" x14ac:dyDescent="0.3">
      <c r="A1267" t="s">
        <v>2117</v>
      </c>
      <c r="B1267" t="str">
        <f>"13077844585"</f>
        <v>13077844585</v>
      </c>
      <c r="C1267" t="str">
        <f>"441502199310100255"</f>
        <v>441502199310100255</v>
      </c>
      <c r="D1267" t="s">
        <v>2118</v>
      </c>
      <c r="E1267" t="s">
        <v>2119</v>
      </c>
      <c r="F1267" t="str">
        <f>"2018-11-29 10:44:16"</f>
        <v>2018-11-29 10:44:16</v>
      </c>
    </row>
    <row r="1268" spans="1:6" x14ac:dyDescent="0.3">
      <c r="A1268" t="s">
        <v>2120</v>
      </c>
      <c r="B1268" t="str">
        <f>"18799183516"</f>
        <v>18799183516</v>
      </c>
      <c r="C1268" t="str">
        <f>"654201197611160016"</f>
        <v>654201197611160016</v>
      </c>
      <c r="D1268" t="s">
        <v>0</v>
      </c>
      <c r="E1268" t="s">
        <v>0</v>
      </c>
      <c r="F1268" t="str">
        <f>"2018-11-29 10:44:06"</f>
        <v>2018-11-29 10:44:06</v>
      </c>
    </row>
    <row r="1269" spans="1:6" x14ac:dyDescent="0.3">
      <c r="A1269" t="s">
        <v>0</v>
      </c>
      <c r="B1269" t="str">
        <f>"18633737576"</f>
        <v>18633737576</v>
      </c>
      <c r="C1269" t="s">
        <v>0</v>
      </c>
      <c r="D1269" t="s">
        <v>0</v>
      </c>
      <c r="E1269" t="s">
        <v>0</v>
      </c>
      <c r="F1269" t="str">
        <f>"2018-11-29 10:43:56"</f>
        <v>2018-11-29 10:43:56</v>
      </c>
    </row>
    <row r="1270" spans="1:6" x14ac:dyDescent="0.3">
      <c r="A1270" t="s">
        <v>2121</v>
      </c>
      <c r="B1270" t="str">
        <f>"18671333028"</f>
        <v>18671333028</v>
      </c>
      <c r="C1270" t="str">
        <f>"421122199007061054"</f>
        <v>421122199007061054</v>
      </c>
      <c r="D1270" t="s">
        <v>2122</v>
      </c>
      <c r="E1270" t="s">
        <v>2123</v>
      </c>
      <c r="F1270" t="str">
        <f>"2018-11-29 10:42:29"</f>
        <v>2018-11-29 10:42:29</v>
      </c>
    </row>
    <row r="1271" spans="1:6" x14ac:dyDescent="0.3">
      <c r="A1271" t="s">
        <v>0</v>
      </c>
      <c r="B1271" t="str">
        <f>"18700596696"</f>
        <v>18700596696</v>
      </c>
      <c r="C1271" t="s">
        <v>0</v>
      </c>
      <c r="D1271" t="s">
        <v>0</v>
      </c>
      <c r="E1271" t="s">
        <v>0</v>
      </c>
      <c r="F1271" t="str">
        <f>"2018-11-29 10:41:30"</f>
        <v>2018-11-29 10:41:30</v>
      </c>
    </row>
    <row r="1272" spans="1:6" x14ac:dyDescent="0.3">
      <c r="A1272" t="s">
        <v>0</v>
      </c>
      <c r="B1272" t="str">
        <f>"17193148154"</f>
        <v>17193148154</v>
      </c>
      <c r="C1272" t="s">
        <v>0</v>
      </c>
      <c r="D1272" t="s">
        <v>0</v>
      </c>
      <c r="E1272" t="s">
        <v>0</v>
      </c>
      <c r="F1272" t="str">
        <f>"2018-11-29 10:41:16"</f>
        <v>2018-11-29 10:41:16</v>
      </c>
    </row>
    <row r="1273" spans="1:6" x14ac:dyDescent="0.3">
      <c r="A1273" t="s">
        <v>2124</v>
      </c>
      <c r="B1273" t="str">
        <f>"15866707979"</f>
        <v>15866707979</v>
      </c>
      <c r="C1273" t="str">
        <f>"371326199109156152"</f>
        <v>371326199109156152</v>
      </c>
      <c r="D1273" t="s">
        <v>2125</v>
      </c>
      <c r="E1273" t="s">
        <v>2126</v>
      </c>
      <c r="F1273" t="str">
        <f>"2018-11-29 10:39:40"</f>
        <v>2018-11-29 10:39:40</v>
      </c>
    </row>
    <row r="1274" spans="1:6" x14ac:dyDescent="0.3">
      <c r="A1274" t="s">
        <v>0</v>
      </c>
      <c r="B1274" t="str">
        <f>"18699382438"</f>
        <v>18699382438</v>
      </c>
      <c r="C1274" t="s">
        <v>0</v>
      </c>
      <c r="D1274" t="s">
        <v>0</v>
      </c>
      <c r="E1274" t="s">
        <v>0</v>
      </c>
      <c r="F1274" t="str">
        <f>"2018-11-29 10:37:17"</f>
        <v>2018-11-29 10:37:17</v>
      </c>
    </row>
    <row r="1275" spans="1:6" x14ac:dyDescent="0.3">
      <c r="A1275" t="s">
        <v>2127</v>
      </c>
      <c r="B1275" t="str">
        <f>"18649612706"</f>
        <v>18649612706</v>
      </c>
      <c r="C1275" t="str">
        <f>"35040319780727601X"</f>
        <v>35040319780727601X</v>
      </c>
      <c r="D1275" t="s">
        <v>0</v>
      </c>
      <c r="E1275" t="s">
        <v>0</v>
      </c>
      <c r="F1275" t="str">
        <f>"2018-11-29 10:37:07"</f>
        <v>2018-11-29 10:37:07</v>
      </c>
    </row>
    <row r="1276" spans="1:6" x14ac:dyDescent="0.3">
      <c r="A1276" t="s">
        <v>2128</v>
      </c>
      <c r="B1276" t="str">
        <f>"18254187733"</f>
        <v>18254187733</v>
      </c>
      <c r="C1276" t="str">
        <f>"370181199803027177"</f>
        <v>370181199803027177</v>
      </c>
      <c r="D1276" t="s">
        <v>0</v>
      </c>
      <c r="E1276" t="s">
        <v>0</v>
      </c>
      <c r="F1276" t="str">
        <f>"2018-11-29 10:36:24"</f>
        <v>2018-11-29 10:36:24</v>
      </c>
    </row>
    <row r="1277" spans="1:6" x14ac:dyDescent="0.3">
      <c r="A1277" t="s">
        <v>2129</v>
      </c>
      <c r="B1277" t="str">
        <f>"18993526922"</f>
        <v>18993526922</v>
      </c>
      <c r="C1277" t="str">
        <f>"62032119790905244X"</f>
        <v>62032119790905244X</v>
      </c>
      <c r="D1277" t="s">
        <v>2130</v>
      </c>
      <c r="E1277" t="s">
        <v>2131</v>
      </c>
      <c r="F1277" t="str">
        <f>"2018-11-29 10:35:28"</f>
        <v>2018-11-29 10:35:28</v>
      </c>
    </row>
    <row r="1278" spans="1:6" x14ac:dyDescent="0.3">
      <c r="A1278" t="s">
        <v>2132</v>
      </c>
      <c r="B1278" t="str">
        <f>"18785547281"</f>
        <v>18785547281</v>
      </c>
      <c r="C1278" t="str">
        <f>"522629199602104828"</f>
        <v>522629199602104828</v>
      </c>
      <c r="D1278" t="s">
        <v>0</v>
      </c>
      <c r="E1278" t="s">
        <v>0</v>
      </c>
      <c r="F1278" t="str">
        <f>"2018-11-29 10:34:19"</f>
        <v>2018-11-29 10:34:19</v>
      </c>
    </row>
    <row r="1279" spans="1:6" x14ac:dyDescent="0.3">
      <c r="A1279" t="s">
        <v>2133</v>
      </c>
      <c r="B1279" t="str">
        <f>"13831079864"</f>
        <v>13831079864</v>
      </c>
      <c r="C1279" t="str">
        <f>"132132197307286218"</f>
        <v>132132197307286218</v>
      </c>
      <c r="D1279" t="s">
        <v>2134</v>
      </c>
      <c r="E1279" t="s">
        <v>2135</v>
      </c>
      <c r="F1279" t="str">
        <f>"2018-11-29 10:33:51"</f>
        <v>2018-11-29 10:33:51</v>
      </c>
    </row>
    <row r="1280" spans="1:6" x14ac:dyDescent="0.3">
      <c r="A1280" t="s">
        <v>0</v>
      </c>
      <c r="B1280" t="str">
        <f>"13758119785"</f>
        <v>13758119785</v>
      </c>
      <c r="C1280" t="s">
        <v>0</v>
      </c>
      <c r="D1280" t="s">
        <v>0</v>
      </c>
      <c r="E1280" t="s">
        <v>0</v>
      </c>
      <c r="F1280" t="str">
        <f>"2018-11-29 10:33:34"</f>
        <v>2018-11-29 10:33:34</v>
      </c>
    </row>
    <row r="1281" spans="1:6" x14ac:dyDescent="0.3">
      <c r="A1281" t="s">
        <v>1965</v>
      </c>
      <c r="B1281" t="str">
        <f>"18297861712"</f>
        <v>18297861712</v>
      </c>
      <c r="C1281" t="str">
        <f>"34240119901009301X"</f>
        <v>34240119901009301X</v>
      </c>
      <c r="D1281" t="s">
        <v>2136</v>
      </c>
      <c r="E1281" t="s">
        <v>2137</v>
      </c>
      <c r="F1281" t="str">
        <f>"2018-11-29 10:32:48"</f>
        <v>2018-11-29 10:32:48</v>
      </c>
    </row>
    <row r="1282" spans="1:6" x14ac:dyDescent="0.3">
      <c r="A1282" t="s">
        <v>0</v>
      </c>
      <c r="B1282" t="str">
        <f>"13862379591"</f>
        <v>13862379591</v>
      </c>
      <c r="C1282" t="s">
        <v>0</v>
      </c>
      <c r="D1282" t="s">
        <v>0</v>
      </c>
      <c r="E1282" t="s">
        <v>0</v>
      </c>
      <c r="F1282" t="str">
        <f>"2018-11-29 10:31:23"</f>
        <v>2018-11-29 10:31:23</v>
      </c>
    </row>
    <row r="1283" spans="1:6" x14ac:dyDescent="0.3">
      <c r="A1283" t="s">
        <v>2138</v>
      </c>
      <c r="B1283" t="str">
        <f>"15726436130"</f>
        <v>15726436130</v>
      </c>
      <c r="C1283" t="str">
        <f>"371121199410312326"</f>
        <v>371121199410312326</v>
      </c>
      <c r="D1283" t="s">
        <v>2139</v>
      </c>
      <c r="E1283" t="s">
        <v>2140</v>
      </c>
      <c r="F1283" t="str">
        <f>"2018-11-29 10:31:05"</f>
        <v>2018-11-29 10:31:05</v>
      </c>
    </row>
    <row r="1284" spans="1:6" x14ac:dyDescent="0.3">
      <c r="A1284" t="s">
        <v>0</v>
      </c>
      <c r="B1284" t="str">
        <f>"15999900449"</f>
        <v>15999900449</v>
      </c>
      <c r="C1284" t="s">
        <v>0</v>
      </c>
      <c r="D1284" t="s">
        <v>0</v>
      </c>
      <c r="E1284" t="s">
        <v>0</v>
      </c>
      <c r="F1284" t="str">
        <f>"2018-11-29 10:30:47"</f>
        <v>2018-11-29 10:30:47</v>
      </c>
    </row>
    <row r="1285" spans="1:6" x14ac:dyDescent="0.3">
      <c r="A1285" t="s">
        <v>2141</v>
      </c>
      <c r="B1285" t="str">
        <f>"13435603696"</f>
        <v>13435603696</v>
      </c>
      <c r="C1285" t="str">
        <f>"430426198711262114"</f>
        <v>430426198711262114</v>
      </c>
      <c r="D1285" t="s">
        <v>2142</v>
      </c>
      <c r="E1285" t="s">
        <v>2143</v>
      </c>
      <c r="F1285" t="str">
        <f>"2018-11-29 10:30:26"</f>
        <v>2018-11-29 10:30:26</v>
      </c>
    </row>
    <row r="1286" spans="1:6" x14ac:dyDescent="0.3">
      <c r="A1286" t="s">
        <v>2144</v>
      </c>
      <c r="B1286" t="str">
        <f>"15894598442"</f>
        <v>15894598442</v>
      </c>
      <c r="C1286" t="str">
        <f>"532928199804120545"</f>
        <v>532928199804120545</v>
      </c>
      <c r="D1286" t="s">
        <v>0</v>
      </c>
      <c r="E1286" t="s">
        <v>0</v>
      </c>
      <c r="F1286" t="str">
        <f>"2018-11-29 10:29:00"</f>
        <v>2018-11-29 10:29:00</v>
      </c>
    </row>
    <row r="1287" spans="1:6" x14ac:dyDescent="0.3">
      <c r="A1287" t="s">
        <v>2145</v>
      </c>
      <c r="B1287" t="str">
        <f>"15086334112"</f>
        <v>15086334112</v>
      </c>
      <c r="C1287" t="str">
        <f>"522401199602221226"</f>
        <v>522401199602221226</v>
      </c>
      <c r="D1287" t="s">
        <v>0</v>
      </c>
      <c r="E1287" t="s">
        <v>0</v>
      </c>
      <c r="F1287" t="str">
        <f>"2018-11-29 10:26:30"</f>
        <v>2018-11-29 10:26:30</v>
      </c>
    </row>
    <row r="1288" spans="1:6" x14ac:dyDescent="0.3">
      <c r="A1288" t="s">
        <v>0</v>
      </c>
      <c r="B1288" t="str">
        <f>"13061328980"</f>
        <v>13061328980</v>
      </c>
      <c r="C1288" t="s">
        <v>0</v>
      </c>
      <c r="D1288" t="s">
        <v>0</v>
      </c>
      <c r="E1288" t="s">
        <v>0</v>
      </c>
      <c r="F1288" t="str">
        <f>"2018-11-29 10:25:14"</f>
        <v>2018-11-29 10:25:14</v>
      </c>
    </row>
    <row r="1289" spans="1:6" x14ac:dyDescent="0.3">
      <c r="A1289" t="s">
        <v>2146</v>
      </c>
      <c r="B1289" t="str">
        <f>"18771003185"</f>
        <v>18771003185</v>
      </c>
      <c r="C1289" t="str">
        <f>"421281199510104934"</f>
        <v>421281199510104934</v>
      </c>
      <c r="D1289" t="s">
        <v>0</v>
      </c>
      <c r="E1289" t="s">
        <v>0</v>
      </c>
      <c r="F1289" t="str">
        <f>"2018-11-29 10:24:41"</f>
        <v>2018-11-29 10:24:41</v>
      </c>
    </row>
    <row r="1290" spans="1:6" x14ac:dyDescent="0.3">
      <c r="A1290" t="s">
        <v>2147</v>
      </c>
      <c r="B1290" t="str">
        <f>"13976197808"</f>
        <v>13976197808</v>
      </c>
      <c r="C1290" t="str">
        <f>"460200197912050018"</f>
        <v>460200197912050018</v>
      </c>
      <c r="D1290" t="s">
        <v>2148</v>
      </c>
      <c r="E1290" t="s">
        <v>2149</v>
      </c>
      <c r="F1290" t="str">
        <f>"2018-11-29 10:23:35"</f>
        <v>2018-11-29 10:23:35</v>
      </c>
    </row>
    <row r="1291" spans="1:6" x14ac:dyDescent="0.3">
      <c r="A1291" t="s">
        <v>0</v>
      </c>
      <c r="B1291" t="str">
        <f>"15939551009"</f>
        <v>15939551009</v>
      </c>
      <c r="C1291" t="s">
        <v>0</v>
      </c>
      <c r="D1291" t="s">
        <v>0</v>
      </c>
      <c r="E1291" t="s">
        <v>0</v>
      </c>
      <c r="F1291" t="str">
        <f>"2018-11-29 10:22:06"</f>
        <v>2018-11-29 10:22:06</v>
      </c>
    </row>
    <row r="1292" spans="1:6" x14ac:dyDescent="0.3">
      <c r="A1292" t="s">
        <v>0</v>
      </c>
      <c r="B1292" t="str">
        <f>"15226586016"</f>
        <v>15226586016</v>
      </c>
      <c r="C1292" t="s">
        <v>0</v>
      </c>
      <c r="D1292" t="s">
        <v>0</v>
      </c>
      <c r="E1292" t="s">
        <v>0</v>
      </c>
      <c r="F1292" t="str">
        <f>"2018-11-29 10:19:13"</f>
        <v>2018-11-29 10:19:13</v>
      </c>
    </row>
    <row r="1293" spans="1:6" x14ac:dyDescent="0.3">
      <c r="A1293" t="s">
        <v>2150</v>
      </c>
      <c r="B1293" t="str">
        <f>"13857024113"</f>
        <v>13857024113</v>
      </c>
      <c r="C1293" t="str">
        <f>"330881199312286917"</f>
        <v>330881199312286917</v>
      </c>
      <c r="D1293" t="s">
        <v>0</v>
      </c>
      <c r="E1293" t="s">
        <v>0</v>
      </c>
      <c r="F1293" t="str">
        <f>"2018-11-29 10:18:49"</f>
        <v>2018-11-29 10:18:49</v>
      </c>
    </row>
    <row r="1294" spans="1:6" x14ac:dyDescent="0.3">
      <c r="A1294" t="s">
        <v>2151</v>
      </c>
      <c r="B1294" t="str">
        <f>"18915217999"</f>
        <v>18915217999</v>
      </c>
      <c r="C1294" t="str">
        <f>"320281199306035770"</f>
        <v>320281199306035770</v>
      </c>
      <c r="D1294" t="s">
        <v>2152</v>
      </c>
      <c r="E1294" t="s">
        <v>2153</v>
      </c>
      <c r="F1294" t="str">
        <f>"2018-11-29 10:17:38"</f>
        <v>2018-11-29 10:17:38</v>
      </c>
    </row>
    <row r="1295" spans="1:6" x14ac:dyDescent="0.3">
      <c r="A1295" t="s">
        <v>2154</v>
      </c>
      <c r="B1295" t="str">
        <f>"18790026979"</f>
        <v>18790026979</v>
      </c>
      <c r="C1295" t="str">
        <f>"410881199810170773"</f>
        <v>410881199810170773</v>
      </c>
      <c r="D1295" t="s">
        <v>2155</v>
      </c>
      <c r="E1295" t="s">
        <v>2156</v>
      </c>
      <c r="F1295" t="str">
        <f>"2018-11-29 10:09:56"</f>
        <v>2018-11-29 10:09:56</v>
      </c>
    </row>
    <row r="1296" spans="1:6" x14ac:dyDescent="0.3">
      <c r="A1296" t="s">
        <v>2157</v>
      </c>
      <c r="B1296" t="str">
        <f>"13826100567"</f>
        <v>13826100567</v>
      </c>
      <c r="C1296" t="str">
        <f>"362123197809144515"</f>
        <v>362123197809144515</v>
      </c>
      <c r="D1296" t="s">
        <v>2158</v>
      </c>
      <c r="E1296" t="s">
        <v>2159</v>
      </c>
      <c r="F1296" t="str">
        <f>"2018-11-29 10:08:37"</f>
        <v>2018-11-29 10:08:37</v>
      </c>
    </row>
    <row r="1297" spans="1:6" x14ac:dyDescent="0.3">
      <c r="A1297" t="s">
        <v>0</v>
      </c>
      <c r="B1297" t="str">
        <f>"13256019368"</f>
        <v>13256019368</v>
      </c>
      <c r="C1297" t="s">
        <v>0</v>
      </c>
      <c r="D1297" t="s">
        <v>0</v>
      </c>
      <c r="E1297" t="s">
        <v>0</v>
      </c>
      <c r="F1297" t="str">
        <f>"2018-11-29 10:07:43"</f>
        <v>2018-11-29 10:07:43</v>
      </c>
    </row>
    <row r="1298" spans="1:6" x14ac:dyDescent="0.3">
      <c r="A1298" t="s">
        <v>2160</v>
      </c>
      <c r="B1298" t="str">
        <f>"15331529500"</f>
        <v>15331529500</v>
      </c>
      <c r="C1298" t="str">
        <f>"533022199308102413"</f>
        <v>533022199308102413</v>
      </c>
      <c r="D1298" t="s">
        <v>0</v>
      </c>
      <c r="E1298" t="s">
        <v>0</v>
      </c>
      <c r="F1298" t="str">
        <f>"2018-11-29 10:05:15"</f>
        <v>2018-11-29 10:05:15</v>
      </c>
    </row>
    <row r="1299" spans="1:6" x14ac:dyDescent="0.3">
      <c r="A1299" t="s">
        <v>2161</v>
      </c>
      <c r="B1299" t="str">
        <f>"15241647429"</f>
        <v>15241647429</v>
      </c>
      <c r="C1299" t="str">
        <f>"210727197605252411"</f>
        <v>210727197605252411</v>
      </c>
      <c r="D1299" t="s">
        <v>0</v>
      </c>
      <c r="E1299" t="s">
        <v>0</v>
      </c>
      <c r="F1299" t="str">
        <f>"2018-11-29 10:05:08"</f>
        <v>2018-11-29 10:05:08</v>
      </c>
    </row>
    <row r="1300" spans="1:6" x14ac:dyDescent="0.3">
      <c r="A1300" t="s">
        <v>2162</v>
      </c>
      <c r="B1300" t="str">
        <f>"15102559619"</f>
        <v>15102559619</v>
      </c>
      <c r="C1300" t="str">
        <f>"130221199703130016"</f>
        <v>130221199703130016</v>
      </c>
      <c r="D1300" t="s">
        <v>2163</v>
      </c>
      <c r="E1300" t="s">
        <v>2164</v>
      </c>
      <c r="F1300" t="str">
        <f>"2018-11-29 10:03:55"</f>
        <v>2018-11-29 10:03:55</v>
      </c>
    </row>
    <row r="1301" spans="1:6" x14ac:dyDescent="0.3">
      <c r="A1301" t="s">
        <v>2165</v>
      </c>
      <c r="B1301" t="str">
        <f>"18423154261"</f>
        <v>18423154261</v>
      </c>
      <c r="C1301" t="str">
        <f>"500107198707146535"</f>
        <v>500107198707146535</v>
      </c>
      <c r="D1301" t="s">
        <v>2166</v>
      </c>
      <c r="E1301" t="s">
        <v>2167</v>
      </c>
      <c r="F1301" t="str">
        <f>"2018-11-29 10:03:52"</f>
        <v>2018-11-29 10:03:52</v>
      </c>
    </row>
    <row r="1302" spans="1:6" x14ac:dyDescent="0.3">
      <c r="A1302" t="s">
        <v>2168</v>
      </c>
      <c r="B1302" t="str">
        <f>"18547707456"</f>
        <v>18547707456</v>
      </c>
      <c r="C1302" t="str">
        <f>"15272319990118271X"</f>
        <v>15272319990118271X</v>
      </c>
      <c r="D1302" t="s">
        <v>0</v>
      </c>
      <c r="E1302" t="s">
        <v>0</v>
      </c>
      <c r="F1302" t="str">
        <f>"2018-11-29 10:02:20"</f>
        <v>2018-11-29 10:02:20</v>
      </c>
    </row>
    <row r="1303" spans="1:6" x14ac:dyDescent="0.3">
      <c r="A1303" t="s">
        <v>2169</v>
      </c>
      <c r="B1303" t="str">
        <f>"18638095325"</f>
        <v>18638095325</v>
      </c>
      <c r="C1303" t="str">
        <f>"412701196303152053"</f>
        <v>412701196303152053</v>
      </c>
      <c r="D1303" t="s">
        <v>2170</v>
      </c>
      <c r="E1303" t="s">
        <v>2171</v>
      </c>
      <c r="F1303" t="str">
        <f>"2018-11-29 10:00:02"</f>
        <v>2018-11-29 10:00:02</v>
      </c>
    </row>
    <row r="1304" spans="1:6" x14ac:dyDescent="0.3">
      <c r="A1304" t="s">
        <v>2172</v>
      </c>
      <c r="B1304" t="str">
        <f>"17723349820"</f>
        <v>17723349820</v>
      </c>
      <c r="C1304" t="str">
        <f>"510182199310216618"</f>
        <v>510182199310216618</v>
      </c>
      <c r="D1304" t="s">
        <v>2173</v>
      </c>
      <c r="E1304" t="s">
        <v>2174</v>
      </c>
      <c r="F1304" t="str">
        <f>"2018-11-29 09:58:23"</f>
        <v>2018-11-29 09:58:23</v>
      </c>
    </row>
    <row r="1305" spans="1:6" x14ac:dyDescent="0.3">
      <c r="A1305" t="s">
        <v>2175</v>
      </c>
      <c r="B1305" t="str">
        <f>"18582090312"</f>
        <v>18582090312</v>
      </c>
      <c r="C1305" t="str">
        <f>"513021199912237349"</f>
        <v>513021199912237349</v>
      </c>
      <c r="D1305" t="s">
        <v>0</v>
      </c>
      <c r="E1305" t="s">
        <v>0</v>
      </c>
      <c r="F1305" t="str">
        <f>"2018-11-29 09:56:50"</f>
        <v>2018-11-29 09:56:50</v>
      </c>
    </row>
    <row r="1306" spans="1:6" x14ac:dyDescent="0.3">
      <c r="A1306" t="s">
        <v>2176</v>
      </c>
      <c r="B1306" t="str">
        <f>"15002126074"</f>
        <v>15002126074</v>
      </c>
      <c r="C1306" t="str">
        <f>"342623199008056374"</f>
        <v>342623199008056374</v>
      </c>
      <c r="D1306" t="s">
        <v>2177</v>
      </c>
      <c r="E1306" t="s">
        <v>2178</v>
      </c>
      <c r="F1306" t="str">
        <f>"2018-11-29 09:54:36"</f>
        <v>2018-11-29 09:54:36</v>
      </c>
    </row>
    <row r="1307" spans="1:6" x14ac:dyDescent="0.3">
      <c r="A1307" t="s">
        <v>0</v>
      </c>
      <c r="B1307" t="str">
        <f>"18882376778"</f>
        <v>18882376778</v>
      </c>
      <c r="C1307" t="s">
        <v>0</v>
      </c>
      <c r="D1307" t="s">
        <v>0</v>
      </c>
      <c r="E1307" t="s">
        <v>0</v>
      </c>
      <c r="F1307" t="str">
        <f>"2018-11-29 09:54:24"</f>
        <v>2018-11-29 09:54:24</v>
      </c>
    </row>
    <row r="1308" spans="1:6" x14ac:dyDescent="0.3">
      <c r="A1308" t="s">
        <v>2179</v>
      </c>
      <c r="B1308" t="str">
        <f>"13351287118"</f>
        <v>13351287118</v>
      </c>
      <c r="C1308" t="str">
        <f>"230103199002152218"</f>
        <v>230103199002152218</v>
      </c>
      <c r="D1308" t="s">
        <v>2180</v>
      </c>
      <c r="E1308" t="s">
        <v>2181</v>
      </c>
      <c r="F1308" t="str">
        <f>"2018-11-29 09:53:25"</f>
        <v>2018-11-29 09:53:25</v>
      </c>
    </row>
    <row r="1309" spans="1:6" x14ac:dyDescent="0.3">
      <c r="A1309" t="s">
        <v>2182</v>
      </c>
      <c r="B1309" t="str">
        <f>"15149374637"</f>
        <v>15149374637</v>
      </c>
      <c r="C1309" t="str">
        <f>"150203198905060171"</f>
        <v>150203198905060171</v>
      </c>
      <c r="D1309" t="s">
        <v>0</v>
      </c>
      <c r="E1309" t="s">
        <v>0</v>
      </c>
      <c r="F1309" t="str">
        <f>"2018-11-29 09:50:52"</f>
        <v>2018-11-29 09:50:52</v>
      </c>
    </row>
    <row r="1310" spans="1:6" x14ac:dyDescent="0.3">
      <c r="A1310" t="s">
        <v>2183</v>
      </c>
      <c r="B1310" t="str">
        <f>"15260750697"</f>
        <v>15260750697</v>
      </c>
      <c r="C1310" t="str">
        <f>"362425198803213632"</f>
        <v>362425198803213632</v>
      </c>
      <c r="D1310" t="s">
        <v>0</v>
      </c>
      <c r="E1310" t="s">
        <v>0</v>
      </c>
      <c r="F1310" t="str">
        <f>"2018-11-29 09:49:59"</f>
        <v>2018-11-29 09:49:59</v>
      </c>
    </row>
    <row r="1311" spans="1:6" x14ac:dyDescent="0.3">
      <c r="A1311" t="s">
        <v>0</v>
      </c>
      <c r="B1311" t="str">
        <f>"18158815309"</f>
        <v>18158815309</v>
      </c>
      <c r="C1311" t="s">
        <v>0</v>
      </c>
      <c r="D1311" t="s">
        <v>0</v>
      </c>
      <c r="E1311" t="s">
        <v>0</v>
      </c>
      <c r="F1311" t="str">
        <f>"2018-11-29 09:49:54"</f>
        <v>2018-11-29 09:49:54</v>
      </c>
    </row>
    <row r="1312" spans="1:6" x14ac:dyDescent="0.3">
      <c r="A1312" t="s">
        <v>2184</v>
      </c>
      <c r="B1312" t="str">
        <f>"13674645492"</f>
        <v>13674645492</v>
      </c>
      <c r="C1312" t="str">
        <f>"230124198506230723"</f>
        <v>230124198506230723</v>
      </c>
      <c r="D1312" t="s">
        <v>2185</v>
      </c>
      <c r="E1312" t="s">
        <v>2186</v>
      </c>
      <c r="F1312" t="str">
        <f>"2018-11-29 09:49:48"</f>
        <v>2018-11-29 09:49:48</v>
      </c>
    </row>
    <row r="1313" spans="1:6" x14ac:dyDescent="0.3">
      <c r="A1313" t="s">
        <v>2187</v>
      </c>
      <c r="B1313" t="str">
        <f>"15042990771"</f>
        <v>15042990771</v>
      </c>
      <c r="C1313" t="str">
        <f>"130622197911083436"</f>
        <v>130622197911083436</v>
      </c>
      <c r="D1313" t="s">
        <v>0</v>
      </c>
      <c r="E1313" t="s">
        <v>0</v>
      </c>
      <c r="F1313" t="str">
        <f>"2018-11-29 09:47:37"</f>
        <v>2018-11-29 09:47:37</v>
      </c>
    </row>
    <row r="1314" spans="1:6" x14ac:dyDescent="0.3">
      <c r="A1314" t="s">
        <v>2188</v>
      </c>
      <c r="B1314" t="str">
        <f>"15395304567"</f>
        <v>15395304567</v>
      </c>
      <c r="C1314" t="str">
        <f>"230183198401246219"</f>
        <v>230183198401246219</v>
      </c>
      <c r="D1314" t="s">
        <v>2189</v>
      </c>
      <c r="E1314" t="s">
        <v>2190</v>
      </c>
      <c r="F1314" t="str">
        <f>"2018-11-29 09:46:36"</f>
        <v>2018-11-29 09:46:36</v>
      </c>
    </row>
    <row r="1315" spans="1:6" x14ac:dyDescent="0.3">
      <c r="A1315" t="s">
        <v>2191</v>
      </c>
      <c r="B1315" t="str">
        <f>"17642044966"</f>
        <v>17642044966</v>
      </c>
      <c r="C1315" t="str">
        <f>"210123199001090248"</f>
        <v>210123199001090248</v>
      </c>
      <c r="D1315" t="s">
        <v>0</v>
      </c>
      <c r="E1315" t="s">
        <v>0</v>
      </c>
      <c r="F1315" t="str">
        <f>"2018-11-29 09:44:34"</f>
        <v>2018-11-29 09:44:34</v>
      </c>
    </row>
    <row r="1316" spans="1:6" x14ac:dyDescent="0.3">
      <c r="A1316" t="s">
        <v>2192</v>
      </c>
      <c r="B1316" t="str">
        <f>"18791545070"</f>
        <v>18791545070</v>
      </c>
      <c r="C1316" t="str">
        <f>"612732198807090010"</f>
        <v>612732198807090010</v>
      </c>
      <c r="D1316" t="s">
        <v>0</v>
      </c>
      <c r="E1316" t="s">
        <v>0</v>
      </c>
      <c r="F1316" t="str">
        <f>"2018-11-29 09:44:23"</f>
        <v>2018-11-29 09:44:23</v>
      </c>
    </row>
    <row r="1317" spans="1:6" x14ac:dyDescent="0.3">
      <c r="A1317" t="s">
        <v>0</v>
      </c>
      <c r="B1317" t="str">
        <f>"18287477107"</f>
        <v>18287477107</v>
      </c>
      <c r="C1317" t="s">
        <v>0</v>
      </c>
      <c r="D1317" t="s">
        <v>0</v>
      </c>
      <c r="E1317" t="s">
        <v>0</v>
      </c>
      <c r="F1317" t="str">
        <f>"2018-11-29 09:44:14"</f>
        <v>2018-11-29 09:44:14</v>
      </c>
    </row>
    <row r="1318" spans="1:6" x14ac:dyDescent="0.3">
      <c r="A1318" t="s">
        <v>2193</v>
      </c>
      <c r="B1318" t="str">
        <f>"18181187670"</f>
        <v>18181187670</v>
      </c>
      <c r="C1318" t="str">
        <f>"513422199406043814"</f>
        <v>513422199406043814</v>
      </c>
      <c r="D1318" t="s">
        <v>2194</v>
      </c>
      <c r="E1318" t="s">
        <v>2195</v>
      </c>
      <c r="F1318" t="str">
        <f>"2018-11-29 09:42:58"</f>
        <v>2018-11-29 09:42:58</v>
      </c>
    </row>
    <row r="1319" spans="1:6" x14ac:dyDescent="0.3">
      <c r="A1319" t="s">
        <v>0</v>
      </c>
      <c r="B1319" t="str">
        <f>"15106602444"</f>
        <v>15106602444</v>
      </c>
      <c r="C1319" t="s">
        <v>0</v>
      </c>
      <c r="D1319" t="s">
        <v>0</v>
      </c>
      <c r="E1319" t="s">
        <v>0</v>
      </c>
      <c r="F1319" t="str">
        <f>"2018-11-29 09:41:18"</f>
        <v>2018-11-29 09:41:18</v>
      </c>
    </row>
    <row r="1320" spans="1:6" x14ac:dyDescent="0.3">
      <c r="A1320" t="s">
        <v>2196</v>
      </c>
      <c r="B1320" t="str">
        <f>"18888740843"</f>
        <v>18888740843</v>
      </c>
      <c r="C1320" t="str">
        <f>"330683199404062410"</f>
        <v>330683199404062410</v>
      </c>
      <c r="D1320" t="s">
        <v>2197</v>
      </c>
      <c r="E1320" t="s">
        <v>2198</v>
      </c>
      <c r="F1320" t="str">
        <f>"2018-11-29 09:39:47"</f>
        <v>2018-11-29 09:39:47</v>
      </c>
    </row>
    <row r="1321" spans="1:6" x14ac:dyDescent="0.3">
      <c r="A1321" t="s">
        <v>2199</v>
      </c>
      <c r="B1321" t="str">
        <f>"18649703138"</f>
        <v>18649703138</v>
      </c>
      <c r="C1321" t="str">
        <f>"350123199308200318"</f>
        <v>350123199308200318</v>
      </c>
      <c r="D1321" t="s">
        <v>2200</v>
      </c>
      <c r="E1321" t="s">
        <v>2201</v>
      </c>
      <c r="F1321" t="str">
        <f>"2018-11-29 09:39:41"</f>
        <v>2018-11-29 09:39:41</v>
      </c>
    </row>
    <row r="1322" spans="1:6" x14ac:dyDescent="0.3">
      <c r="A1322" t="s">
        <v>2202</v>
      </c>
      <c r="B1322" t="str">
        <f>"17625371137"</f>
        <v>17625371137</v>
      </c>
      <c r="C1322" t="str">
        <f>"612426198709024411"</f>
        <v>612426198709024411</v>
      </c>
      <c r="D1322" t="s">
        <v>2203</v>
      </c>
      <c r="E1322" t="s">
        <v>2204</v>
      </c>
      <c r="F1322" t="str">
        <f>"2018-11-29 09:37:41"</f>
        <v>2018-11-29 09:37:41</v>
      </c>
    </row>
    <row r="1323" spans="1:6" x14ac:dyDescent="0.3">
      <c r="A1323" t="s">
        <v>2205</v>
      </c>
      <c r="B1323" t="str">
        <f>"17602841989"</f>
        <v>17602841989</v>
      </c>
      <c r="C1323" t="str">
        <f>"513922198911052538"</f>
        <v>513922198911052538</v>
      </c>
      <c r="D1323" t="s">
        <v>0</v>
      </c>
      <c r="E1323" t="s">
        <v>0</v>
      </c>
      <c r="F1323" t="str">
        <f>"2018-11-29 09:34:56"</f>
        <v>2018-11-29 09:34:56</v>
      </c>
    </row>
    <row r="1324" spans="1:6" x14ac:dyDescent="0.3">
      <c r="A1324" t="s">
        <v>0</v>
      </c>
      <c r="B1324" t="str">
        <f>"17609965633"</f>
        <v>17609965633</v>
      </c>
      <c r="C1324" t="s">
        <v>0</v>
      </c>
      <c r="D1324" t="s">
        <v>0</v>
      </c>
      <c r="E1324" t="s">
        <v>0</v>
      </c>
      <c r="F1324" t="str">
        <f>"2018-11-29 09:34:36"</f>
        <v>2018-11-29 09:34:36</v>
      </c>
    </row>
    <row r="1325" spans="1:6" x14ac:dyDescent="0.3">
      <c r="A1325" t="s">
        <v>2206</v>
      </c>
      <c r="B1325" t="str">
        <f>"13477741860"</f>
        <v>13477741860</v>
      </c>
      <c r="C1325" t="str">
        <f>"420502197902090034"</f>
        <v>420502197902090034</v>
      </c>
      <c r="D1325" t="s">
        <v>2207</v>
      </c>
      <c r="E1325" t="s">
        <v>2208</v>
      </c>
      <c r="F1325" t="str">
        <f>"2018-11-29 09:31:43"</f>
        <v>2018-11-29 09:31:43</v>
      </c>
    </row>
    <row r="1326" spans="1:6" x14ac:dyDescent="0.3">
      <c r="A1326" t="s">
        <v>2209</v>
      </c>
      <c r="B1326" t="str">
        <f>"13768937584"</f>
        <v>13768937584</v>
      </c>
      <c r="C1326" t="str">
        <f>"452226198909082412"</f>
        <v>452226198909082412</v>
      </c>
      <c r="D1326" t="s">
        <v>0</v>
      </c>
      <c r="E1326" t="s">
        <v>0</v>
      </c>
      <c r="F1326" t="str">
        <f>"2018-11-29 09:30:37"</f>
        <v>2018-11-29 09:30:37</v>
      </c>
    </row>
    <row r="1327" spans="1:6" x14ac:dyDescent="0.3">
      <c r="A1327" t="s">
        <v>2210</v>
      </c>
      <c r="B1327" t="str">
        <f>"13855018844"</f>
        <v>13855018844</v>
      </c>
      <c r="C1327" t="str">
        <f>"511027198307260024"</f>
        <v>511027198307260024</v>
      </c>
      <c r="D1327" t="s">
        <v>2211</v>
      </c>
      <c r="E1327" t="s">
        <v>2212</v>
      </c>
      <c r="F1327" t="str">
        <f>"2018-11-29 09:28:07"</f>
        <v>2018-11-29 09:28:07</v>
      </c>
    </row>
    <row r="1328" spans="1:6" x14ac:dyDescent="0.3">
      <c r="A1328" t="s">
        <v>0</v>
      </c>
      <c r="B1328" t="str">
        <f>"13836123398"</f>
        <v>13836123398</v>
      </c>
      <c r="C1328" t="s">
        <v>0</v>
      </c>
      <c r="D1328" t="s">
        <v>0</v>
      </c>
      <c r="E1328" t="s">
        <v>0</v>
      </c>
      <c r="F1328" t="str">
        <f>"2018-11-29 09:24:58"</f>
        <v>2018-11-29 09:24:58</v>
      </c>
    </row>
    <row r="1329" spans="1:6" x14ac:dyDescent="0.3">
      <c r="A1329" t="s">
        <v>2213</v>
      </c>
      <c r="B1329" t="str">
        <f>"13103345553"</f>
        <v>13103345553</v>
      </c>
      <c r="C1329" t="str">
        <f>"130802198807301210"</f>
        <v>130802198807301210</v>
      </c>
      <c r="D1329" t="s">
        <v>0</v>
      </c>
      <c r="E1329" t="s">
        <v>0</v>
      </c>
      <c r="F1329" t="str">
        <f>"2018-11-29 09:24:34"</f>
        <v>2018-11-29 09:24:34</v>
      </c>
    </row>
    <row r="1330" spans="1:6" x14ac:dyDescent="0.3">
      <c r="A1330" t="s">
        <v>0</v>
      </c>
      <c r="B1330" t="str">
        <f>"18379007771"</f>
        <v>18379007771</v>
      </c>
      <c r="C1330" t="s">
        <v>0</v>
      </c>
      <c r="D1330" t="s">
        <v>0</v>
      </c>
      <c r="E1330" t="s">
        <v>0</v>
      </c>
      <c r="F1330" t="str">
        <f>"2018-11-29 09:22:25"</f>
        <v>2018-11-29 09:22:25</v>
      </c>
    </row>
    <row r="1331" spans="1:6" x14ac:dyDescent="0.3">
      <c r="A1331" t="s">
        <v>0</v>
      </c>
      <c r="B1331" t="str">
        <f>"18875827797"</f>
        <v>18875827797</v>
      </c>
      <c r="C1331" t="s">
        <v>0</v>
      </c>
      <c r="D1331" t="s">
        <v>0</v>
      </c>
      <c r="E1331" t="s">
        <v>0</v>
      </c>
      <c r="F1331" t="str">
        <f>"2018-11-29 09:21:21"</f>
        <v>2018-11-29 09:21:21</v>
      </c>
    </row>
    <row r="1332" spans="1:6" x14ac:dyDescent="0.3">
      <c r="A1332" t="s">
        <v>2214</v>
      </c>
      <c r="B1332" t="str">
        <f>"15700507528"</f>
        <v>15700507528</v>
      </c>
      <c r="C1332" t="str">
        <f>"511623199611028029"</f>
        <v>511623199611028029</v>
      </c>
      <c r="D1332" t="s">
        <v>2215</v>
      </c>
      <c r="E1332" t="s">
        <v>2216</v>
      </c>
      <c r="F1332" t="str">
        <f>"2018-11-29 09:20:57"</f>
        <v>2018-11-29 09:20:57</v>
      </c>
    </row>
    <row r="1333" spans="1:6" x14ac:dyDescent="0.3">
      <c r="A1333" t="s">
        <v>0</v>
      </c>
      <c r="B1333" t="str">
        <f>"18621915958"</f>
        <v>18621915958</v>
      </c>
      <c r="C1333" t="s">
        <v>0</v>
      </c>
      <c r="D1333" t="s">
        <v>0</v>
      </c>
      <c r="E1333" t="s">
        <v>0</v>
      </c>
      <c r="F1333" t="str">
        <f>"2018-11-29 09:19:47"</f>
        <v>2018-11-29 09:19:47</v>
      </c>
    </row>
    <row r="1334" spans="1:6" x14ac:dyDescent="0.3">
      <c r="A1334" t="s">
        <v>2217</v>
      </c>
      <c r="B1334" t="str">
        <f>"15871713560"</f>
        <v>15871713560</v>
      </c>
      <c r="C1334" t="str">
        <f>"421181199411054411"</f>
        <v>421181199411054411</v>
      </c>
      <c r="D1334" t="s">
        <v>2218</v>
      </c>
      <c r="E1334" t="s">
        <v>2219</v>
      </c>
      <c r="F1334" t="str">
        <f>"2018-11-29 09:19:28"</f>
        <v>2018-11-29 09:19:28</v>
      </c>
    </row>
    <row r="1335" spans="1:6" x14ac:dyDescent="0.3">
      <c r="A1335" t="s">
        <v>2220</v>
      </c>
      <c r="B1335" t="str">
        <f>"13707721015"</f>
        <v>13707721015</v>
      </c>
      <c r="C1335" t="str">
        <f>"450204198904011017"</f>
        <v>450204198904011017</v>
      </c>
      <c r="D1335" t="s">
        <v>2221</v>
      </c>
      <c r="E1335" t="s">
        <v>2222</v>
      </c>
      <c r="F1335" t="str">
        <f>"2018-11-29 09:14:17"</f>
        <v>2018-11-29 09:14:17</v>
      </c>
    </row>
    <row r="1336" spans="1:6" x14ac:dyDescent="0.3">
      <c r="A1336" t="s">
        <v>2223</v>
      </c>
      <c r="B1336" t="str">
        <f>"13411052794"</f>
        <v>13411052794</v>
      </c>
      <c r="C1336" t="str">
        <f>"441521199902231151"</f>
        <v>441521199902231151</v>
      </c>
      <c r="D1336" t="s">
        <v>2224</v>
      </c>
      <c r="E1336" t="s">
        <v>2225</v>
      </c>
      <c r="F1336" t="str">
        <f>"2018-11-29 09:13:04"</f>
        <v>2018-11-29 09:13:04</v>
      </c>
    </row>
    <row r="1337" spans="1:6" x14ac:dyDescent="0.3">
      <c r="A1337" t="s">
        <v>2226</v>
      </c>
      <c r="B1337" t="str">
        <f>"13908301768"</f>
        <v>13908301768</v>
      </c>
      <c r="C1337" t="str">
        <f>"510211198007295419"</f>
        <v>510211198007295419</v>
      </c>
      <c r="D1337" t="s">
        <v>0</v>
      </c>
      <c r="E1337" t="s">
        <v>0</v>
      </c>
      <c r="F1337" t="str">
        <f>"2018-11-29 09:11:43"</f>
        <v>2018-11-29 09:11:43</v>
      </c>
    </row>
    <row r="1338" spans="1:6" x14ac:dyDescent="0.3">
      <c r="A1338" t="s">
        <v>2227</v>
      </c>
      <c r="B1338" t="str">
        <f>"17607615652"</f>
        <v>17607615652</v>
      </c>
      <c r="C1338" t="str">
        <f>"421083199501263214"</f>
        <v>421083199501263214</v>
      </c>
      <c r="D1338" t="s">
        <v>2228</v>
      </c>
      <c r="E1338" t="s">
        <v>2229</v>
      </c>
      <c r="F1338" t="str">
        <f>"2018-11-29 09:11:37"</f>
        <v>2018-11-29 09:11:37</v>
      </c>
    </row>
    <row r="1339" spans="1:6" x14ac:dyDescent="0.3">
      <c r="A1339" t="s">
        <v>0</v>
      </c>
      <c r="B1339" t="str">
        <f>"15586797019"</f>
        <v>15586797019</v>
      </c>
      <c r="C1339" t="s">
        <v>0</v>
      </c>
      <c r="D1339" t="s">
        <v>0</v>
      </c>
      <c r="E1339" t="s">
        <v>0</v>
      </c>
      <c r="F1339" t="str">
        <f>"2018-11-29 09:11:17"</f>
        <v>2018-11-29 09:11:17</v>
      </c>
    </row>
    <row r="1340" spans="1:6" x14ac:dyDescent="0.3">
      <c r="A1340" t="s">
        <v>2230</v>
      </c>
      <c r="B1340" t="str">
        <f>"13321344667"</f>
        <v>13321344667</v>
      </c>
      <c r="C1340" t="str">
        <f>"622924199110010196"</f>
        <v>622924199110010196</v>
      </c>
      <c r="D1340" t="s">
        <v>0</v>
      </c>
      <c r="E1340" t="s">
        <v>0</v>
      </c>
      <c r="F1340" t="str">
        <f>"2018-11-29 09:10:54"</f>
        <v>2018-11-29 09:10:54</v>
      </c>
    </row>
    <row r="1341" spans="1:6" x14ac:dyDescent="0.3">
      <c r="A1341" t="s">
        <v>2231</v>
      </c>
      <c r="B1341" t="str">
        <f>"15992830248"</f>
        <v>15992830248</v>
      </c>
      <c r="C1341" t="str">
        <f>"430481199601090074"</f>
        <v>430481199601090074</v>
      </c>
      <c r="D1341" t="s">
        <v>2232</v>
      </c>
      <c r="E1341" t="s">
        <v>2233</v>
      </c>
      <c r="F1341" t="str">
        <f>"2018-11-29 09:09:39"</f>
        <v>2018-11-29 09:09:39</v>
      </c>
    </row>
    <row r="1342" spans="1:6" x14ac:dyDescent="0.3">
      <c r="A1342" t="s">
        <v>2234</v>
      </c>
      <c r="B1342" t="str">
        <f>"18825001077"</f>
        <v>18825001077</v>
      </c>
      <c r="C1342" t="str">
        <f>"442000199408304257"</f>
        <v>442000199408304257</v>
      </c>
      <c r="D1342" t="s">
        <v>2235</v>
      </c>
      <c r="E1342" t="s">
        <v>2236</v>
      </c>
      <c r="F1342" t="str">
        <f>"2018-11-29 09:08:13"</f>
        <v>2018-11-29 09:08:13</v>
      </c>
    </row>
    <row r="1343" spans="1:6" x14ac:dyDescent="0.3">
      <c r="A1343" t="s">
        <v>0</v>
      </c>
      <c r="B1343" t="str">
        <f>"15107900091"</f>
        <v>15107900091</v>
      </c>
      <c r="C1343" t="s">
        <v>0</v>
      </c>
      <c r="D1343" t="s">
        <v>0</v>
      </c>
      <c r="E1343" t="s">
        <v>0</v>
      </c>
      <c r="F1343" t="str">
        <f>"2018-11-29 09:07:12"</f>
        <v>2018-11-29 09:07:12</v>
      </c>
    </row>
    <row r="1344" spans="1:6" x14ac:dyDescent="0.3">
      <c r="A1344" t="s">
        <v>2237</v>
      </c>
      <c r="B1344" t="str">
        <f>"18662155991"</f>
        <v>18662155991</v>
      </c>
      <c r="C1344" t="str">
        <f>"350124199101150612"</f>
        <v>350124199101150612</v>
      </c>
      <c r="D1344" t="s">
        <v>2238</v>
      </c>
      <c r="E1344" t="s">
        <v>2239</v>
      </c>
      <c r="F1344" t="str">
        <f>"2018-11-29 09:07:09"</f>
        <v>2018-11-29 09:07:09</v>
      </c>
    </row>
    <row r="1345" spans="1:6" x14ac:dyDescent="0.3">
      <c r="A1345" t="s">
        <v>2240</v>
      </c>
      <c r="B1345" t="str">
        <f>"15588356383"</f>
        <v>15588356383</v>
      </c>
      <c r="C1345" t="str">
        <f>"230623199505240431"</f>
        <v>230623199505240431</v>
      </c>
      <c r="D1345" t="s">
        <v>2241</v>
      </c>
      <c r="E1345" t="s">
        <v>2242</v>
      </c>
      <c r="F1345" t="str">
        <f>"2018-11-29 09:04:08"</f>
        <v>2018-11-29 09:04:08</v>
      </c>
    </row>
    <row r="1346" spans="1:6" x14ac:dyDescent="0.3">
      <c r="A1346" t="s">
        <v>2243</v>
      </c>
      <c r="B1346" t="str">
        <f>"15228806749"</f>
        <v>15228806749</v>
      </c>
      <c r="C1346" t="str">
        <f>"511028199504103213"</f>
        <v>511028199504103213</v>
      </c>
      <c r="D1346" t="s">
        <v>2244</v>
      </c>
      <c r="E1346" t="s">
        <v>2245</v>
      </c>
      <c r="F1346" t="str">
        <f>"2018-11-29 09:04:04"</f>
        <v>2018-11-29 09:04:04</v>
      </c>
    </row>
    <row r="1347" spans="1:6" x14ac:dyDescent="0.3">
      <c r="A1347" t="s">
        <v>2246</v>
      </c>
      <c r="B1347" t="str">
        <f>"15136362821"</f>
        <v>15136362821</v>
      </c>
      <c r="C1347" t="str">
        <f>"410302199703011512"</f>
        <v>410302199703011512</v>
      </c>
      <c r="D1347" t="s">
        <v>2247</v>
      </c>
      <c r="E1347" t="s">
        <v>2248</v>
      </c>
      <c r="F1347" t="str">
        <f>"2018-11-29 09:03:20"</f>
        <v>2018-11-29 09:03:20</v>
      </c>
    </row>
    <row r="1348" spans="1:6" x14ac:dyDescent="0.3">
      <c r="A1348" t="s">
        <v>0</v>
      </c>
      <c r="B1348" t="str">
        <f>"15978866613"</f>
        <v>15978866613</v>
      </c>
      <c r="C1348" t="s">
        <v>0</v>
      </c>
      <c r="D1348" t="s">
        <v>0</v>
      </c>
      <c r="E1348" t="s">
        <v>0</v>
      </c>
      <c r="F1348" t="str">
        <f>"2018-11-29 09:01:47"</f>
        <v>2018-11-29 09:01:47</v>
      </c>
    </row>
    <row r="1349" spans="1:6" x14ac:dyDescent="0.3">
      <c r="A1349" t="s">
        <v>2249</v>
      </c>
      <c r="B1349" t="str">
        <f>"13970746241"</f>
        <v>13970746241</v>
      </c>
      <c r="C1349" t="str">
        <f>"36213219810118431X"</f>
        <v>36213219810118431X</v>
      </c>
      <c r="D1349" t="s">
        <v>2250</v>
      </c>
      <c r="E1349" t="s">
        <v>2251</v>
      </c>
      <c r="F1349" t="str">
        <f>"2018-11-29 09:00:54"</f>
        <v>2018-11-29 09:00:54</v>
      </c>
    </row>
    <row r="1350" spans="1:6" x14ac:dyDescent="0.3">
      <c r="A1350" t="s">
        <v>2252</v>
      </c>
      <c r="B1350" t="str">
        <f>"18671522132"</f>
        <v>18671522132</v>
      </c>
      <c r="C1350" t="str">
        <f>"42120219871206853X"</f>
        <v>42120219871206853X</v>
      </c>
      <c r="D1350" t="s">
        <v>2253</v>
      </c>
      <c r="E1350" t="s">
        <v>2254</v>
      </c>
      <c r="F1350" t="str">
        <f>"2018-11-29 08:59:46"</f>
        <v>2018-11-29 08:59:46</v>
      </c>
    </row>
    <row r="1351" spans="1:6" x14ac:dyDescent="0.3">
      <c r="A1351" t="s">
        <v>2255</v>
      </c>
      <c r="B1351" t="str">
        <f>"18352260102"</f>
        <v>18352260102</v>
      </c>
      <c r="C1351" t="str">
        <f>"320324198406042971"</f>
        <v>320324198406042971</v>
      </c>
      <c r="D1351" t="s">
        <v>2256</v>
      </c>
      <c r="E1351" t="s">
        <v>2257</v>
      </c>
      <c r="F1351" t="str">
        <f>"2018-11-29 08:57:57"</f>
        <v>2018-11-29 08:57:57</v>
      </c>
    </row>
    <row r="1352" spans="1:6" x14ac:dyDescent="0.3">
      <c r="A1352" t="s">
        <v>2258</v>
      </c>
      <c r="B1352" t="str">
        <f>"18600995891"</f>
        <v>18600995891</v>
      </c>
      <c r="C1352" t="str">
        <f>"35058319930703773X"</f>
        <v>35058319930703773X</v>
      </c>
      <c r="D1352" t="s">
        <v>2259</v>
      </c>
      <c r="E1352" t="s">
        <v>2260</v>
      </c>
      <c r="F1352" t="str">
        <f>"2018-11-29 08:54:37"</f>
        <v>2018-11-29 08:54:37</v>
      </c>
    </row>
    <row r="1353" spans="1:6" x14ac:dyDescent="0.3">
      <c r="A1353" t="s">
        <v>0</v>
      </c>
      <c r="B1353" t="str">
        <f>"15609360080"</f>
        <v>15609360080</v>
      </c>
      <c r="C1353" t="s">
        <v>0</v>
      </c>
      <c r="D1353" t="s">
        <v>0</v>
      </c>
      <c r="E1353" t="s">
        <v>0</v>
      </c>
      <c r="F1353" t="str">
        <f>"2018-11-29 08:54:16"</f>
        <v>2018-11-29 08:54:16</v>
      </c>
    </row>
    <row r="1354" spans="1:6" x14ac:dyDescent="0.3">
      <c r="A1354" t="s">
        <v>0</v>
      </c>
      <c r="B1354" t="str">
        <f>"13768058977"</f>
        <v>13768058977</v>
      </c>
      <c r="C1354" t="s">
        <v>0</v>
      </c>
      <c r="D1354" t="s">
        <v>0</v>
      </c>
      <c r="E1354" t="s">
        <v>0</v>
      </c>
      <c r="F1354" t="str">
        <f>"2018-11-29 08:52:36"</f>
        <v>2018-11-29 08:52:36</v>
      </c>
    </row>
    <row r="1355" spans="1:6" x14ac:dyDescent="0.3">
      <c r="A1355" t="s">
        <v>2261</v>
      </c>
      <c r="B1355" t="str">
        <f>"13359448360"</f>
        <v>13359448360</v>
      </c>
      <c r="C1355" t="str">
        <f>"62242819880103393X"</f>
        <v>62242819880103393X</v>
      </c>
      <c r="D1355" t="s">
        <v>2262</v>
      </c>
      <c r="E1355" t="s">
        <v>2263</v>
      </c>
      <c r="F1355" t="str">
        <f>"2018-11-29 08:50:46"</f>
        <v>2018-11-29 08:50:46</v>
      </c>
    </row>
    <row r="1356" spans="1:6" x14ac:dyDescent="0.3">
      <c r="A1356" t="s">
        <v>2264</v>
      </c>
      <c r="B1356" t="str">
        <f>"18718810881"</f>
        <v>18718810881</v>
      </c>
      <c r="C1356" t="str">
        <f>"441422199801124032"</f>
        <v>441422199801124032</v>
      </c>
      <c r="D1356" t="s">
        <v>0</v>
      </c>
      <c r="E1356" t="s">
        <v>0</v>
      </c>
      <c r="F1356" t="str">
        <f>"2018-11-29 08:49:32"</f>
        <v>2018-11-29 08:49:32</v>
      </c>
    </row>
    <row r="1357" spans="1:6" x14ac:dyDescent="0.3">
      <c r="A1357" t="s">
        <v>2265</v>
      </c>
      <c r="B1357" t="str">
        <f>"13152903865"</f>
        <v>13152903865</v>
      </c>
      <c r="C1357" t="str">
        <f>"142201198509025267"</f>
        <v>142201198509025267</v>
      </c>
      <c r="D1357" t="s">
        <v>2266</v>
      </c>
      <c r="E1357" t="s">
        <v>2267</v>
      </c>
      <c r="F1357" t="str">
        <f>"2018-11-29 08:47:31"</f>
        <v>2018-11-29 08:47:31</v>
      </c>
    </row>
    <row r="1358" spans="1:6" x14ac:dyDescent="0.3">
      <c r="A1358" t="s">
        <v>2268</v>
      </c>
      <c r="B1358" t="str">
        <f>"18344122265"</f>
        <v>18344122265</v>
      </c>
      <c r="C1358" t="str">
        <f>"445281199101040033"</f>
        <v>445281199101040033</v>
      </c>
      <c r="D1358" t="s">
        <v>2269</v>
      </c>
      <c r="E1358" t="s">
        <v>2270</v>
      </c>
      <c r="F1358" t="str">
        <f>"2018-11-29 08:46:52"</f>
        <v>2018-11-29 08:46:52</v>
      </c>
    </row>
    <row r="1359" spans="1:6" x14ac:dyDescent="0.3">
      <c r="A1359" t="s">
        <v>2271</v>
      </c>
      <c r="B1359" t="str">
        <f>"13820993724"</f>
        <v>13820993724</v>
      </c>
      <c r="C1359" t="str">
        <f>"120107197305250027"</f>
        <v>120107197305250027</v>
      </c>
      <c r="D1359" t="s">
        <v>2272</v>
      </c>
      <c r="E1359" t="s">
        <v>2273</v>
      </c>
      <c r="F1359" t="str">
        <f>"2018-11-29 08:46:20"</f>
        <v>2018-11-29 08:46:20</v>
      </c>
    </row>
    <row r="1360" spans="1:6" x14ac:dyDescent="0.3">
      <c r="A1360" t="s">
        <v>0</v>
      </c>
      <c r="B1360" t="str">
        <f>"13861104275"</f>
        <v>13861104275</v>
      </c>
      <c r="C1360" t="s">
        <v>0</v>
      </c>
      <c r="D1360" t="s">
        <v>0</v>
      </c>
      <c r="E1360" t="s">
        <v>0</v>
      </c>
      <c r="F1360" t="str">
        <f>"2018-11-29 08:45:28"</f>
        <v>2018-11-29 08:45:28</v>
      </c>
    </row>
    <row r="1361" spans="1:6" x14ac:dyDescent="0.3">
      <c r="A1361" t="s">
        <v>2274</v>
      </c>
      <c r="B1361" t="str">
        <f>"15002359959"</f>
        <v>15002359959</v>
      </c>
      <c r="C1361" t="str">
        <f>"500224199511071427"</f>
        <v>500224199511071427</v>
      </c>
      <c r="D1361" t="s">
        <v>2275</v>
      </c>
      <c r="E1361" t="s">
        <v>2276</v>
      </c>
      <c r="F1361" t="str">
        <f>"2018-11-29 08:41:47"</f>
        <v>2018-11-29 08:41:47</v>
      </c>
    </row>
    <row r="1362" spans="1:6" x14ac:dyDescent="0.3">
      <c r="A1362" t="s">
        <v>2277</v>
      </c>
      <c r="B1362" t="str">
        <f>"18276810133"</f>
        <v>18276810133</v>
      </c>
      <c r="C1362" t="str">
        <f>"450481199404151636"</f>
        <v>450481199404151636</v>
      </c>
      <c r="D1362" t="s">
        <v>2278</v>
      </c>
      <c r="E1362" t="s">
        <v>2279</v>
      </c>
      <c r="F1362" t="str">
        <f>"2018-11-29 08:37:10"</f>
        <v>2018-11-29 08:37:10</v>
      </c>
    </row>
    <row r="1363" spans="1:6" x14ac:dyDescent="0.3">
      <c r="A1363" t="s">
        <v>2280</v>
      </c>
      <c r="B1363" t="str">
        <f>"15914222488"</f>
        <v>15914222488</v>
      </c>
      <c r="C1363" t="str">
        <f>"440184198109184255"</f>
        <v>440184198109184255</v>
      </c>
      <c r="D1363" t="s">
        <v>2281</v>
      </c>
      <c r="E1363" t="s">
        <v>2282</v>
      </c>
      <c r="F1363" t="str">
        <f>"2018-11-29 08:35:06"</f>
        <v>2018-11-29 08:35:06</v>
      </c>
    </row>
    <row r="1364" spans="1:6" x14ac:dyDescent="0.3">
      <c r="A1364" t="s">
        <v>2283</v>
      </c>
      <c r="B1364" t="str">
        <f>"15981191741"</f>
        <v>15981191741</v>
      </c>
      <c r="C1364" t="str">
        <f>"220204198206301815"</f>
        <v>220204198206301815</v>
      </c>
      <c r="D1364" t="s">
        <v>2284</v>
      </c>
      <c r="E1364" t="s">
        <v>2285</v>
      </c>
      <c r="F1364" t="str">
        <f>"2018-11-29 08:34:38"</f>
        <v>2018-11-29 08:34:38</v>
      </c>
    </row>
    <row r="1365" spans="1:6" x14ac:dyDescent="0.3">
      <c r="A1365" t="s">
        <v>2286</v>
      </c>
      <c r="B1365" t="str">
        <f>"15501496958"</f>
        <v>15501496958</v>
      </c>
      <c r="C1365" t="str">
        <f>"420581198202210015"</f>
        <v>420581198202210015</v>
      </c>
      <c r="D1365" t="s">
        <v>2287</v>
      </c>
      <c r="E1365" t="s">
        <v>2288</v>
      </c>
      <c r="F1365" t="str">
        <f>"2018-11-29 08:32:21"</f>
        <v>2018-11-29 08:32:21</v>
      </c>
    </row>
    <row r="1366" spans="1:6" x14ac:dyDescent="0.3">
      <c r="A1366" t="s">
        <v>2289</v>
      </c>
      <c r="B1366" t="str">
        <f>"13559208384"</f>
        <v>13559208384</v>
      </c>
      <c r="C1366" t="str">
        <f>"352227199001273515"</f>
        <v>352227199001273515</v>
      </c>
      <c r="D1366" t="s">
        <v>2290</v>
      </c>
      <c r="E1366" t="s">
        <v>2291</v>
      </c>
      <c r="F1366" t="str">
        <f>"2018-11-29 08:32:19"</f>
        <v>2018-11-29 08:32:19</v>
      </c>
    </row>
    <row r="1367" spans="1:6" x14ac:dyDescent="0.3">
      <c r="A1367" t="s">
        <v>2292</v>
      </c>
      <c r="B1367" t="str">
        <f>"18273405220"</f>
        <v>18273405220</v>
      </c>
      <c r="C1367" t="str">
        <f>"430407199011261511"</f>
        <v>430407199011261511</v>
      </c>
      <c r="D1367" t="s">
        <v>2293</v>
      </c>
      <c r="E1367" t="s">
        <v>2294</v>
      </c>
      <c r="F1367" t="str">
        <f>"2018-11-29 08:31:04"</f>
        <v>2018-11-29 08:31:04</v>
      </c>
    </row>
    <row r="1368" spans="1:6" x14ac:dyDescent="0.3">
      <c r="A1368" t="s">
        <v>2295</v>
      </c>
      <c r="B1368" t="str">
        <f>"18728441470"</f>
        <v>18728441470</v>
      </c>
      <c r="C1368" t="str">
        <f>"513122199607091912"</f>
        <v>513122199607091912</v>
      </c>
      <c r="D1368" t="s">
        <v>2296</v>
      </c>
      <c r="E1368" t="s">
        <v>2297</v>
      </c>
      <c r="F1368" t="str">
        <f>"2018-11-29 08:28:32"</f>
        <v>2018-11-29 08:28:32</v>
      </c>
    </row>
    <row r="1369" spans="1:6" x14ac:dyDescent="0.3">
      <c r="A1369" t="s">
        <v>2298</v>
      </c>
      <c r="B1369" t="str">
        <f>"15088411008"</f>
        <v>15088411008</v>
      </c>
      <c r="C1369" t="str">
        <f>"330225199810081013"</f>
        <v>330225199810081013</v>
      </c>
      <c r="D1369" t="s">
        <v>2299</v>
      </c>
      <c r="E1369" t="s">
        <v>2300</v>
      </c>
      <c r="F1369" t="str">
        <f>"2018-11-29 08:28:29"</f>
        <v>2018-11-29 08:28:29</v>
      </c>
    </row>
    <row r="1370" spans="1:6" x14ac:dyDescent="0.3">
      <c r="A1370" t="s">
        <v>0</v>
      </c>
      <c r="B1370" t="str">
        <f>"18832271797"</f>
        <v>18832271797</v>
      </c>
      <c r="C1370" t="s">
        <v>0</v>
      </c>
      <c r="D1370" t="s">
        <v>0</v>
      </c>
      <c r="E1370" t="s">
        <v>0</v>
      </c>
      <c r="F1370" t="str">
        <f>"2018-11-29 08:28:07"</f>
        <v>2018-11-29 08:28:07</v>
      </c>
    </row>
    <row r="1371" spans="1:6" x14ac:dyDescent="0.3">
      <c r="A1371" t="s">
        <v>2301</v>
      </c>
      <c r="B1371" t="str">
        <f>"18761796596"</f>
        <v>18761796596</v>
      </c>
      <c r="C1371" t="str">
        <f>"320922199210215011"</f>
        <v>320922199210215011</v>
      </c>
      <c r="D1371" t="s">
        <v>2302</v>
      </c>
      <c r="E1371" t="s">
        <v>2303</v>
      </c>
      <c r="F1371" t="str">
        <f>"2018-11-29 08:26:40"</f>
        <v>2018-11-29 08:26:40</v>
      </c>
    </row>
    <row r="1372" spans="1:6" x14ac:dyDescent="0.3">
      <c r="A1372" t="s">
        <v>2304</v>
      </c>
      <c r="B1372" t="str">
        <f>"15857795384"</f>
        <v>15857795384</v>
      </c>
      <c r="C1372" t="str">
        <f>"362324199501280330"</f>
        <v>362324199501280330</v>
      </c>
      <c r="D1372" t="s">
        <v>2305</v>
      </c>
      <c r="E1372" t="s">
        <v>2306</v>
      </c>
      <c r="F1372" t="str">
        <f>"2018-11-29 08:24:55"</f>
        <v>2018-11-29 08:24:55</v>
      </c>
    </row>
    <row r="1373" spans="1:6" x14ac:dyDescent="0.3">
      <c r="A1373" t="s">
        <v>2307</v>
      </c>
      <c r="B1373" t="str">
        <f>"18737313008"</f>
        <v>18737313008</v>
      </c>
      <c r="C1373" t="str">
        <f>"410782198106093790"</f>
        <v>410782198106093790</v>
      </c>
      <c r="D1373" t="s">
        <v>2308</v>
      </c>
      <c r="E1373" t="s">
        <v>2309</v>
      </c>
      <c r="F1373" t="str">
        <f>"2018-11-29 08:23:45"</f>
        <v>2018-11-29 08:23:45</v>
      </c>
    </row>
    <row r="1374" spans="1:6" x14ac:dyDescent="0.3">
      <c r="A1374" t="s">
        <v>0</v>
      </c>
      <c r="B1374" t="str">
        <f>"13567847982"</f>
        <v>13567847982</v>
      </c>
      <c r="C1374" t="s">
        <v>0</v>
      </c>
      <c r="D1374" t="s">
        <v>0</v>
      </c>
      <c r="E1374" t="s">
        <v>0</v>
      </c>
      <c r="F1374" t="str">
        <f>"2018-11-29 08:22:19"</f>
        <v>2018-11-29 08:22:19</v>
      </c>
    </row>
    <row r="1375" spans="1:6" x14ac:dyDescent="0.3">
      <c r="A1375" t="s">
        <v>2310</v>
      </c>
      <c r="B1375" t="str">
        <f>"15895532552"</f>
        <v>15895532552</v>
      </c>
      <c r="C1375" t="str">
        <f>"342501199202123813"</f>
        <v>342501199202123813</v>
      </c>
      <c r="D1375" t="s">
        <v>2311</v>
      </c>
      <c r="E1375" t="s">
        <v>2312</v>
      </c>
      <c r="F1375" t="str">
        <f>"2018-11-29 08:22:18"</f>
        <v>2018-11-29 08:22:18</v>
      </c>
    </row>
    <row r="1376" spans="1:6" x14ac:dyDescent="0.3">
      <c r="A1376" t="s">
        <v>2313</v>
      </c>
      <c r="B1376" t="str">
        <f>"18562800046"</f>
        <v>18562800046</v>
      </c>
      <c r="C1376" t="str">
        <f>"370181199101150330"</f>
        <v>370181199101150330</v>
      </c>
      <c r="D1376" t="s">
        <v>2314</v>
      </c>
      <c r="E1376" t="s">
        <v>2315</v>
      </c>
      <c r="F1376" t="str">
        <f>"2018-11-29 08:21:13"</f>
        <v>2018-11-29 08:21:13</v>
      </c>
    </row>
    <row r="1377" spans="1:6" x14ac:dyDescent="0.3">
      <c r="A1377" t="s">
        <v>2316</v>
      </c>
      <c r="B1377" t="str">
        <f>"15867418165"</f>
        <v>15867418165</v>
      </c>
      <c r="C1377" t="str">
        <f>"330225199907311014"</f>
        <v>330225199907311014</v>
      </c>
      <c r="D1377" t="s">
        <v>2317</v>
      </c>
      <c r="E1377" t="s">
        <v>2318</v>
      </c>
      <c r="F1377" t="str">
        <f>"2018-11-29 08:17:35"</f>
        <v>2018-11-29 08:17:35</v>
      </c>
    </row>
    <row r="1378" spans="1:6" x14ac:dyDescent="0.3">
      <c r="A1378" t="s">
        <v>2319</v>
      </c>
      <c r="B1378" t="str">
        <f>"13558212920"</f>
        <v>13558212920</v>
      </c>
      <c r="C1378" t="str">
        <f>"452132198601233319"</f>
        <v>452132198601233319</v>
      </c>
      <c r="D1378" t="s">
        <v>2320</v>
      </c>
      <c r="E1378" t="s">
        <v>2321</v>
      </c>
      <c r="F1378" t="str">
        <f>"2018-11-29 08:16:39"</f>
        <v>2018-11-29 08:16:39</v>
      </c>
    </row>
    <row r="1379" spans="1:6" x14ac:dyDescent="0.3">
      <c r="A1379" t="s">
        <v>2322</v>
      </c>
      <c r="B1379" t="str">
        <f>"17674948779"</f>
        <v>17674948779</v>
      </c>
      <c r="C1379" t="str">
        <f>"431124199903100730"</f>
        <v>431124199903100730</v>
      </c>
      <c r="D1379" t="s">
        <v>2323</v>
      </c>
      <c r="E1379" t="s">
        <v>2324</v>
      </c>
      <c r="F1379" t="str">
        <f>"2018-11-29 08:16:28"</f>
        <v>2018-11-29 08:16:28</v>
      </c>
    </row>
    <row r="1380" spans="1:6" x14ac:dyDescent="0.3">
      <c r="A1380" t="s">
        <v>0</v>
      </c>
      <c r="B1380" t="str">
        <f>"17182891777"</f>
        <v>17182891777</v>
      </c>
      <c r="C1380" t="s">
        <v>0</v>
      </c>
      <c r="D1380" t="s">
        <v>0</v>
      </c>
      <c r="E1380" t="s">
        <v>0</v>
      </c>
      <c r="F1380" t="str">
        <f>"2018-11-29 08:16:24"</f>
        <v>2018-11-29 08:16:24</v>
      </c>
    </row>
    <row r="1381" spans="1:6" x14ac:dyDescent="0.3">
      <c r="A1381" t="s">
        <v>2325</v>
      </c>
      <c r="B1381" t="str">
        <f>"18722667070"</f>
        <v>18722667070</v>
      </c>
      <c r="C1381" t="str">
        <f>"130982198702099316"</f>
        <v>130982198702099316</v>
      </c>
      <c r="D1381" t="s">
        <v>2326</v>
      </c>
      <c r="E1381" t="s">
        <v>2327</v>
      </c>
      <c r="F1381" t="str">
        <f>"2018-11-29 08:16:07"</f>
        <v>2018-11-29 08:16:07</v>
      </c>
    </row>
    <row r="1382" spans="1:6" x14ac:dyDescent="0.3">
      <c r="A1382" t="s">
        <v>2328</v>
      </c>
      <c r="B1382" t="str">
        <f>"13775207369"</f>
        <v>13775207369</v>
      </c>
      <c r="C1382" t="str">
        <f>"320483198205211834"</f>
        <v>320483198205211834</v>
      </c>
      <c r="D1382" t="s">
        <v>0</v>
      </c>
      <c r="E1382" t="s">
        <v>0</v>
      </c>
      <c r="F1382" t="str">
        <f>"2018-11-29 08:15:16"</f>
        <v>2018-11-29 08:15:16</v>
      </c>
    </row>
    <row r="1383" spans="1:6" x14ac:dyDescent="0.3">
      <c r="A1383" t="s">
        <v>2329</v>
      </c>
      <c r="B1383" t="str">
        <f>"15977718181"</f>
        <v>15977718181</v>
      </c>
      <c r="C1383" t="str">
        <f>"22060219790818091X"</f>
        <v>22060219790818091X</v>
      </c>
      <c r="D1383" t="s">
        <v>2330</v>
      </c>
      <c r="E1383" t="s">
        <v>2331</v>
      </c>
      <c r="F1383" t="str">
        <f>"2018-11-29 08:14:40"</f>
        <v>2018-11-29 08:14:40</v>
      </c>
    </row>
    <row r="1384" spans="1:6" x14ac:dyDescent="0.3">
      <c r="A1384" t="s">
        <v>2332</v>
      </c>
      <c r="B1384" t="str">
        <f>"17713830702"</f>
        <v>17713830702</v>
      </c>
      <c r="C1384" t="str">
        <f>"511302199109201916"</f>
        <v>511302199109201916</v>
      </c>
      <c r="D1384" t="s">
        <v>0</v>
      </c>
      <c r="E1384" t="s">
        <v>0</v>
      </c>
      <c r="F1384" t="str">
        <f>"2018-11-29 08:14:38"</f>
        <v>2018-11-29 08:14:38</v>
      </c>
    </row>
    <row r="1385" spans="1:6" x14ac:dyDescent="0.3">
      <c r="A1385" t="s">
        <v>2333</v>
      </c>
      <c r="B1385" t="str">
        <f>"13771240644"</f>
        <v>13771240644</v>
      </c>
      <c r="C1385" t="str">
        <f>"320281198910021514"</f>
        <v>320281198910021514</v>
      </c>
      <c r="D1385" t="s">
        <v>2334</v>
      </c>
      <c r="E1385" t="s">
        <v>2335</v>
      </c>
      <c r="F1385" t="str">
        <f>"2018-11-29 08:14:19"</f>
        <v>2018-11-29 08:14:19</v>
      </c>
    </row>
    <row r="1386" spans="1:6" x14ac:dyDescent="0.3">
      <c r="A1386" t="s">
        <v>2336</v>
      </c>
      <c r="B1386" t="str">
        <f>"17674548389"</f>
        <v>17674548389</v>
      </c>
      <c r="C1386" t="str">
        <f>"431281199711160619"</f>
        <v>431281199711160619</v>
      </c>
      <c r="D1386" t="s">
        <v>0</v>
      </c>
      <c r="E1386" t="s">
        <v>0</v>
      </c>
      <c r="F1386" t="str">
        <f>"2018-11-29 08:13:36"</f>
        <v>2018-11-29 08:13:36</v>
      </c>
    </row>
    <row r="1387" spans="1:6" x14ac:dyDescent="0.3">
      <c r="A1387" t="s">
        <v>2337</v>
      </c>
      <c r="B1387" t="str">
        <f>"15153356823"</f>
        <v>15153356823</v>
      </c>
      <c r="C1387" t="str">
        <f>"370321198908300926"</f>
        <v>370321198908300926</v>
      </c>
      <c r="D1387" t="s">
        <v>2338</v>
      </c>
      <c r="E1387" t="s">
        <v>2339</v>
      </c>
      <c r="F1387" t="str">
        <f>"2018-11-29 08:13:03"</f>
        <v>2018-11-29 08:13:03</v>
      </c>
    </row>
    <row r="1388" spans="1:6" x14ac:dyDescent="0.3">
      <c r="A1388" t="s">
        <v>2340</v>
      </c>
      <c r="B1388" t="str">
        <f>"18908373909"</f>
        <v>18908373909</v>
      </c>
      <c r="C1388" t="str">
        <f>"510212197803058336"</f>
        <v>510212197803058336</v>
      </c>
      <c r="D1388" t="s">
        <v>2341</v>
      </c>
      <c r="E1388" t="s">
        <v>2342</v>
      </c>
      <c r="F1388" t="str">
        <f>"2018-11-29 08:11:05"</f>
        <v>2018-11-29 08:11:05</v>
      </c>
    </row>
    <row r="1389" spans="1:6" x14ac:dyDescent="0.3">
      <c r="A1389" t="s">
        <v>2343</v>
      </c>
      <c r="B1389" t="str">
        <f>"13437187248"</f>
        <v>13437187248</v>
      </c>
      <c r="C1389" t="str">
        <f>"42010419911220245X"</f>
        <v>42010419911220245X</v>
      </c>
      <c r="D1389" t="s">
        <v>2344</v>
      </c>
      <c r="E1389" t="s">
        <v>2345</v>
      </c>
      <c r="F1389" t="str">
        <f>"2018-11-29 08:10:44"</f>
        <v>2018-11-29 08:10:44</v>
      </c>
    </row>
    <row r="1390" spans="1:6" x14ac:dyDescent="0.3">
      <c r="A1390" t="s">
        <v>2346</v>
      </c>
      <c r="B1390" t="str">
        <f>"18345833180"</f>
        <v>18345833180</v>
      </c>
      <c r="C1390" t="str">
        <f>"230523198712304426"</f>
        <v>230523198712304426</v>
      </c>
      <c r="D1390" t="s">
        <v>2347</v>
      </c>
      <c r="E1390" t="s">
        <v>2348</v>
      </c>
      <c r="F1390" t="str">
        <f>"2018-11-29 08:10:41"</f>
        <v>2018-11-29 08:10:41</v>
      </c>
    </row>
    <row r="1391" spans="1:6" x14ac:dyDescent="0.3">
      <c r="A1391" t="s">
        <v>0</v>
      </c>
      <c r="B1391" t="str">
        <f>"18345089525"</f>
        <v>18345089525</v>
      </c>
      <c r="C1391" t="s">
        <v>0</v>
      </c>
      <c r="D1391" t="s">
        <v>0</v>
      </c>
      <c r="E1391" t="s">
        <v>0</v>
      </c>
      <c r="F1391" t="str">
        <f>"2018-11-29 08:10:30"</f>
        <v>2018-11-29 08:10:30</v>
      </c>
    </row>
    <row r="1392" spans="1:6" x14ac:dyDescent="0.3">
      <c r="A1392" t="s">
        <v>0</v>
      </c>
      <c r="B1392" t="str">
        <f>"18672611668"</f>
        <v>18672611668</v>
      </c>
      <c r="C1392" t="s">
        <v>0</v>
      </c>
      <c r="D1392" t="s">
        <v>0</v>
      </c>
      <c r="E1392" t="s">
        <v>0</v>
      </c>
      <c r="F1392" t="str">
        <f>"2018-11-29 08:08:52"</f>
        <v>2018-11-29 08:08:52</v>
      </c>
    </row>
    <row r="1393" spans="1:6" x14ac:dyDescent="0.3">
      <c r="A1393" t="s">
        <v>2349</v>
      </c>
      <c r="B1393" t="str">
        <f>"15871993696"</f>
        <v>15871993696</v>
      </c>
      <c r="C1393" t="str">
        <f>"420822198503063932"</f>
        <v>420822198503063932</v>
      </c>
      <c r="D1393" t="s">
        <v>2350</v>
      </c>
      <c r="E1393" t="s">
        <v>2351</v>
      </c>
      <c r="F1393" t="str">
        <f>"2018-11-29 08:07:24"</f>
        <v>2018-11-29 08:07:24</v>
      </c>
    </row>
    <row r="1394" spans="1:6" x14ac:dyDescent="0.3">
      <c r="A1394" t="s">
        <v>2352</v>
      </c>
      <c r="B1394" t="str">
        <f>"18658505478"</f>
        <v>18658505478</v>
      </c>
      <c r="C1394" t="str">
        <f>"330681199205280033"</f>
        <v>330681199205280033</v>
      </c>
      <c r="D1394" t="s">
        <v>2353</v>
      </c>
      <c r="E1394" t="s">
        <v>2354</v>
      </c>
      <c r="F1394" t="str">
        <f>"2018-11-29 08:06:38"</f>
        <v>2018-11-29 08:06:38</v>
      </c>
    </row>
    <row r="1395" spans="1:6" x14ac:dyDescent="0.3">
      <c r="A1395" t="s">
        <v>2355</v>
      </c>
      <c r="B1395" t="str">
        <f>"15088196581"</f>
        <v>15088196581</v>
      </c>
      <c r="C1395" t="str">
        <f>"445302198401120321"</f>
        <v>445302198401120321</v>
      </c>
      <c r="D1395" t="s">
        <v>2356</v>
      </c>
      <c r="E1395" t="s">
        <v>2357</v>
      </c>
      <c r="F1395" t="str">
        <f>"2018-11-29 08:06:09"</f>
        <v>2018-11-29 08:06:09</v>
      </c>
    </row>
    <row r="1396" spans="1:6" x14ac:dyDescent="0.3">
      <c r="A1396" t="s">
        <v>2358</v>
      </c>
      <c r="B1396" t="str">
        <f>"13580024230"</f>
        <v>13580024230</v>
      </c>
      <c r="C1396" t="str">
        <f>"440923199111101733"</f>
        <v>440923199111101733</v>
      </c>
      <c r="D1396" t="s">
        <v>2359</v>
      </c>
      <c r="E1396" t="s">
        <v>2359</v>
      </c>
      <c r="F1396" t="str">
        <f>"2018-11-29 08:06:07"</f>
        <v>2018-11-29 08:06:07</v>
      </c>
    </row>
    <row r="1397" spans="1:6" x14ac:dyDescent="0.3">
      <c r="A1397" t="s">
        <v>2360</v>
      </c>
      <c r="B1397" t="str">
        <f>"18072697030"</f>
        <v>18072697030</v>
      </c>
      <c r="C1397" t="str">
        <f>"230603199703300559"</f>
        <v>230603199703300559</v>
      </c>
      <c r="D1397" t="s">
        <v>2361</v>
      </c>
      <c r="E1397" t="s">
        <v>2362</v>
      </c>
      <c r="F1397" t="str">
        <f>"2018-11-29 08:04:38"</f>
        <v>2018-11-29 08:04:38</v>
      </c>
    </row>
    <row r="1398" spans="1:6" x14ac:dyDescent="0.3">
      <c r="A1398" t="s">
        <v>0</v>
      </c>
      <c r="B1398" t="str">
        <f>"18551955776"</f>
        <v>18551955776</v>
      </c>
      <c r="C1398" t="s">
        <v>0</v>
      </c>
      <c r="D1398" t="s">
        <v>0</v>
      </c>
      <c r="E1398" t="s">
        <v>0</v>
      </c>
      <c r="F1398" t="str">
        <f>"2018-11-29 08:04:32"</f>
        <v>2018-11-29 08:04:32</v>
      </c>
    </row>
    <row r="1399" spans="1:6" x14ac:dyDescent="0.3">
      <c r="A1399" t="s">
        <v>2363</v>
      </c>
      <c r="B1399" t="str">
        <f>"15119796298"</f>
        <v>15119796298</v>
      </c>
      <c r="C1399" t="str">
        <f>"441821199308033319"</f>
        <v>441821199308033319</v>
      </c>
      <c r="D1399" t="s">
        <v>2364</v>
      </c>
      <c r="E1399" t="s">
        <v>2365</v>
      </c>
      <c r="F1399" t="str">
        <f>"2018-11-29 08:03:46"</f>
        <v>2018-11-29 08:03:46</v>
      </c>
    </row>
    <row r="1400" spans="1:6" x14ac:dyDescent="0.3">
      <c r="A1400" t="s">
        <v>2366</v>
      </c>
      <c r="B1400" t="str">
        <f>"13775099323"</f>
        <v>13775099323</v>
      </c>
      <c r="C1400" t="str">
        <f>"412326199601194218"</f>
        <v>412326199601194218</v>
      </c>
      <c r="D1400" t="s">
        <v>2367</v>
      </c>
      <c r="E1400" t="s">
        <v>2368</v>
      </c>
      <c r="F1400" t="str">
        <f>"2018-11-29 08:03:26"</f>
        <v>2018-11-29 08:03:26</v>
      </c>
    </row>
    <row r="1401" spans="1:6" x14ac:dyDescent="0.3">
      <c r="A1401" t="s">
        <v>2369</v>
      </c>
      <c r="B1401" t="str">
        <f>"13922285510"</f>
        <v>13922285510</v>
      </c>
      <c r="C1401" t="str">
        <f>"440184199008085711"</f>
        <v>440184199008085711</v>
      </c>
      <c r="D1401" t="s">
        <v>2370</v>
      </c>
      <c r="E1401" t="s">
        <v>2371</v>
      </c>
      <c r="F1401" t="str">
        <f>"2018-11-29 08:03:24"</f>
        <v>2018-11-29 08:03:24</v>
      </c>
    </row>
    <row r="1402" spans="1:6" x14ac:dyDescent="0.3">
      <c r="A1402" t="s">
        <v>2372</v>
      </c>
      <c r="B1402" t="str">
        <f>"15042285657"</f>
        <v>15042285657</v>
      </c>
      <c r="C1402" t="str">
        <f>"210311199002221516"</f>
        <v>210311199002221516</v>
      </c>
      <c r="D1402" t="s">
        <v>2373</v>
      </c>
      <c r="E1402" t="s">
        <v>2374</v>
      </c>
      <c r="F1402" t="str">
        <f>"2018-11-29 08:02:51"</f>
        <v>2018-11-29 08:02:51</v>
      </c>
    </row>
    <row r="1403" spans="1:6" x14ac:dyDescent="0.3">
      <c r="A1403" t="s">
        <v>2375</v>
      </c>
      <c r="B1403" t="str">
        <f>"15391656767"</f>
        <v>15391656767</v>
      </c>
      <c r="C1403" t="str">
        <f>"420202198807231220"</f>
        <v>420202198807231220</v>
      </c>
      <c r="D1403" t="s">
        <v>2376</v>
      </c>
      <c r="E1403" t="s">
        <v>2377</v>
      </c>
      <c r="F1403" t="str">
        <f>"2018-11-29 08:02:29"</f>
        <v>2018-11-29 08:02:29</v>
      </c>
    </row>
    <row r="1404" spans="1:6" x14ac:dyDescent="0.3">
      <c r="A1404" t="s">
        <v>2378</v>
      </c>
      <c r="B1404" t="str">
        <f>"18570645302"</f>
        <v>18570645302</v>
      </c>
      <c r="C1404" t="str">
        <f>"430821199312051410"</f>
        <v>430821199312051410</v>
      </c>
      <c r="D1404" t="s">
        <v>2379</v>
      </c>
      <c r="E1404" t="s">
        <v>2380</v>
      </c>
      <c r="F1404" t="str">
        <f>"2018-11-29 08:02:05"</f>
        <v>2018-11-29 08:02:05</v>
      </c>
    </row>
    <row r="1405" spans="1:6" x14ac:dyDescent="0.3">
      <c r="A1405" t="s">
        <v>2381</v>
      </c>
      <c r="B1405" t="str">
        <f>"15806075155"</f>
        <v>15806075155</v>
      </c>
      <c r="C1405" t="str">
        <f>"350121199203143721"</f>
        <v>350121199203143721</v>
      </c>
      <c r="D1405" t="s">
        <v>2382</v>
      </c>
      <c r="E1405" t="s">
        <v>2383</v>
      </c>
      <c r="F1405" t="str">
        <f>"2018-11-29 08:00:34"</f>
        <v>2018-11-29 08:00:34</v>
      </c>
    </row>
    <row r="1406" spans="1:6" x14ac:dyDescent="0.3">
      <c r="A1406" t="s">
        <v>559</v>
      </c>
      <c r="B1406" t="str">
        <f>"15026051597"</f>
        <v>15026051597</v>
      </c>
      <c r="C1406" t="str">
        <f>"650121199011110811"</f>
        <v>650121199011110811</v>
      </c>
      <c r="D1406" t="s">
        <v>0</v>
      </c>
      <c r="E1406" t="s">
        <v>0</v>
      </c>
      <c r="F1406" t="str">
        <f>"2018-11-29 07:59:06"</f>
        <v>2018-11-29 07:59:06</v>
      </c>
    </row>
    <row r="1407" spans="1:6" x14ac:dyDescent="0.3">
      <c r="A1407" t="s">
        <v>2384</v>
      </c>
      <c r="B1407" t="str">
        <f>"18606925892"</f>
        <v>18606925892</v>
      </c>
      <c r="C1407" t="str">
        <f>"445281198602157075"</f>
        <v>445281198602157075</v>
      </c>
      <c r="D1407" t="s">
        <v>2385</v>
      </c>
      <c r="E1407" t="s">
        <v>2386</v>
      </c>
      <c r="F1407" t="str">
        <f>"2018-11-29 07:58:52"</f>
        <v>2018-11-29 07:58:52</v>
      </c>
    </row>
    <row r="1408" spans="1:6" x14ac:dyDescent="0.3">
      <c r="A1408" t="s">
        <v>2387</v>
      </c>
      <c r="B1408" t="str">
        <f>"17777312065"</f>
        <v>17777312065</v>
      </c>
      <c r="C1408" t="str">
        <f>"450324199412074017"</f>
        <v>450324199412074017</v>
      </c>
      <c r="D1408" t="s">
        <v>2388</v>
      </c>
      <c r="E1408" t="s">
        <v>2389</v>
      </c>
      <c r="F1408" t="str">
        <f>"2018-11-29 07:57:55"</f>
        <v>2018-11-29 07:57:55</v>
      </c>
    </row>
    <row r="1409" spans="1:6" x14ac:dyDescent="0.3">
      <c r="A1409" t="s">
        <v>2390</v>
      </c>
      <c r="B1409" t="str">
        <f>"13968796155"</f>
        <v>13968796155</v>
      </c>
      <c r="C1409" t="str">
        <f>"330382199112280819"</f>
        <v>330382199112280819</v>
      </c>
      <c r="D1409" t="s">
        <v>2391</v>
      </c>
      <c r="E1409" t="s">
        <v>2392</v>
      </c>
      <c r="F1409" t="str">
        <f>"2018-11-29 07:57:19"</f>
        <v>2018-11-29 07:57:19</v>
      </c>
    </row>
    <row r="1410" spans="1:6" x14ac:dyDescent="0.3">
      <c r="A1410" t="s">
        <v>2393</v>
      </c>
      <c r="B1410" t="str">
        <f>"15383996999"</f>
        <v>15383996999</v>
      </c>
      <c r="C1410" t="str">
        <f>"13018419910825601X"</f>
        <v>13018419910825601X</v>
      </c>
      <c r="D1410" t="s">
        <v>2394</v>
      </c>
      <c r="E1410" t="s">
        <v>2395</v>
      </c>
      <c r="F1410" t="str">
        <f>"2018-11-29 07:56:49"</f>
        <v>2018-11-29 07:56:49</v>
      </c>
    </row>
    <row r="1411" spans="1:6" x14ac:dyDescent="0.3">
      <c r="A1411" t="s">
        <v>2396</v>
      </c>
      <c r="B1411" t="str">
        <f>"15208357875"</f>
        <v>15208357875</v>
      </c>
      <c r="C1411" t="str">
        <f>"513022199403034611"</f>
        <v>513022199403034611</v>
      </c>
      <c r="D1411" t="s">
        <v>2397</v>
      </c>
      <c r="E1411" t="s">
        <v>2398</v>
      </c>
      <c r="F1411" t="str">
        <f>"2018-11-29 07:56:38"</f>
        <v>2018-11-29 07:56:38</v>
      </c>
    </row>
    <row r="1412" spans="1:6" x14ac:dyDescent="0.3">
      <c r="A1412" t="s">
        <v>2399</v>
      </c>
      <c r="B1412" t="str">
        <f>"15126049016"</f>
        <v>15126049016</v>
      </c>
      <c r="C1412" t="str">
        <f>"53232619920811301X"</f>
        <v>53232619920811301X</v>
      </c>
      <c r="D1412" t="s">
        <v>2400</v>
      </c>
      <c r="E1412" t="s">
        <v>2401</v>
      </c>
      <c r="F1412" t="str">
        <f>"2018-11-29 07:56:14"</f>
        <v>2018-11-29 07:56:14</v>
      </c>
    </row>
    <row r="1413" spans="1:6" x14ac:dyDescent="0.3">
      <c r="A1413" t="s">
        <v>0</v>
      </c>
      <c r="B1413" t="str">
        <f>"18311941472"</f>
        <v>18311941472</v>
      </c>
      <c r="C1413" t="s">
        <v>0</v>
      </c>
      <c r="D1413" t="s">
        <v>0</v>
      </c>
      <c r="E1413" t="s">
        <v>0</v>
      </c>
      <c r="F1413" t="str">
        <f>"2018-11-29 07:55:28"</f>
        <v>2018-11-29 07:55:28</v>
      </c>
    </row>
    <row r="1414" spans="1:6" x14ac:dyDescent="0.3">
      <c r="A1414" t="s">
        <v>2402</v>
      </c>
      <c r="B1414" t="str">
        <f>"18054520901"</f>
        <v>18054520901</v>
      </c>
      <c r="C1414" t="str">
        <f>"370828199402151018"</f>
        <v>370828199402151018</v>
      </c>
      <c r="D1414" t="s">
        <v>2403</v>
      </c>
      <c r="E1414" t="s">
        <v>2404</v>
      </c>
      <c r="F1414" t="str">
        <f>"2018-11-29 07:55:01"</f>
        <v>2018-11-29 07:55:01</v>
      </c>
    </row>
    <row r="1415" spans="1:6" x14ac:dyDescent="0.3">
      <c r="A1415" t="s">
        <v>2405</v>
      </c>
      <c r="B1415" t="str">
        <f>"15980495525"</f>
        <v>15980495525</v>
      </c>
      <c r="C1415" t="str">
        <f>"350524199607011013"</f>
        <v>350524199607011013</v>
      </c>
      <c r="D1415" t="s">
        <v>2406</v>
      </c>
      <c r="E1415" t="s">
        <v>2407</v>
      </c>
      <c r="F1415" t="str">
        <f>"2018-11-29 07:54:10"</f>
        <v>2018-11-29 07:54:10</v>
      </c>
    </row>
    <row r="1416" spans="1:6" x14ac:dyDescent="0.3">
      <c r="A1416" t="s">
        <v>2408</v>
      </c>
      <c r="B1416" t="str">
        <f>"18756867216"</f>
        <v>18756867216</v>
      </c>
      <c r="C1416" t="str">
        <f>"341225199202070428"</f>
        <v>341225199202070428</v>
      </c>
      <c r="D1416" t="s">
        <v>2409</v>
      </c>
      <c r="E1416" t="s">
        <v>2410</v>
      </c>
      <c r="F1416" t="str">
        <f>"2018-11-29 07:54:02"</f>
        <v>2018-11-29 07:54:02</v>
      </c>
    </row>
    <row r="1417" spans="1:6" x14ac:dyDescent="0.3">
      <c r="A1417" t="s">
        <v>2411</v>
      </c>
      <c r="B1417" t="str">
        <f>"15963522733"</f>
        <v>15963522733</v>
      </c>
      <c r="C1417" t="str">
        <f>"370613199101291011"</f>
        <v>370613199101291011</v>
      </c>
      <c r="D1417" t="s">
        <v>0</v>
      </c>
      <c r="E1417" t="s">
        <v>0</v>
      </c>
      <c r="F1417" t="str">
        <f>"2018-11-29 07:53:42"</f>
        <v>2018-11-29 07:53:42</v>
      </c>
    </row>
    <row r="1418" spans="1:6" x14ac:dyDescent="0.3">
      <c r="A1418" t="s">
        <v>2412</v>
      </c>
      <c r="B1418" t="str">
        <f>"18683866390"</f>
        <v>18683866390</v>
      </c>
      <c r="C1418" t="str">
        <f>"510681198006132539"</f>
        <v>510681198006132539</v>
      </c>
      <c r="D1418" t="s">
        <v>2413</v>
      </c>
      <c r="E1418" t="s">
        <v>2414</v>
      </c>
      <c r="F1418" t="str">
        <f>"2018-11-29 07:53:34"</f>
        <v>2018-11-29 07:53:34</v>
      </c>
    </row>
    <row r="1419" spans="1:6" x14ac:dyDescent="0.3">
      <c r="A1419" t="s">
        <v>0</v>
      </c>
      <c r="B1419" t="str">
        <f>"18111740856"</f>
        <v>18111740856</v>
      </c>
      <c r="C1419" t="s">
        <v>0</v>
      </c>
      <c r="D1419" t="s">
        <v>0</v>
      </c>
      <c r="E1419" t="s">
        <v>0</v>
      </c>
      <c r="F1419" t="str">
        <f>"2018-11-29 07:52:42"</f>
        <v>2018-11-29 07:52:42</v>
      </c>
    </row>
    <row r="1420" spans="1:6" x14ac:dyDescent="0.3">
      <c r="A1420" t="s">
        <v>0</v>
      </c>
      <c r="B1420" t="str">
        <f>"13989739490"</f>
        <v>13989739490</v>
      </c>
      <c r="C1420" t="s">
        <v>0</v>
      </c>
      <c r="D1420" t="s">
        <v>0</v>
      </c>
      <c r="E1420" t="s">
        <v>0</v>
      </c>
      <c r="F1420" t="str">
        <f>"2018-11-29 07:52:20"</f>
        <v>2018-11-29 07:52:20</v>
      </c>
    </row>
    <row r="1421" spans="1:6" x14ac:dyDescent="0.3">
      <c r="A1421" t="s">
        <v>2415</v>
      </c>
      <c r="B1421" t="str">
        <f>"13729037262"</f>
        <v>13729037262</v>
      </c>
      <c r="C1421" t="str">
        <f>"440802199303280417"</f>
        <v>440802199303280417</v>
      </c>
      <c r="D1421" t="s">
        <v>2416</v>
      </c>
      <c r="E1421" t="s">
        <v>2417</v>
      </c>
      <c r="F1421" t="str">
        <f>"2018-11-29 07:51:33"</f>
        <v>2018-11-29 07:51:33</v>
      </c>
    </row>
    <row r="1422" spans="1:6" x14ac:dyDescent="0.3">
      <c r="A1422" t="s">
        <v>2418</v>
      </c>
      <c r="B1422" t="str">
        <f>"17695258905"</f>
        <v>17695258905</v>
      </c>
      <c r="C1422" t="str">
        <f>"640323199502142617"</f>
        <v>640323199502142617</v>
      </c>
      <c r="D1422" t="s">
        <v>0</v>
      </c>
      <c r="E1422" t="s">
        <v>0</v>
      </c>
      <c r="F1422" t="str">
        <f>"2018-11-29 07:51:24"</f>
        <v>2018-11-29 07:51:24</v>
      </c>
    </row>
    <row r="1423" spans="1:6" x14ac:dyDescent="0.3">
      <c r="A1423" t="s">
        <v>0</v>
      </c>
      <c r="B1423" t="str">
        <f>"15958449244"</f>
        <v>15958449244</v>
      </c>
      <c r="C1423" t="s">
        <v>0</v>
      </c>
      <c r="D1423" t="s">
        <v>0</v>
      </c>
      <c r="E1423" t="s">
        <v>0</v>
      </c>
      <c r="F1423" t="str">
        <f>"2018-11-29 07:44:40"</f>
        <v>2018-11-29 07:44:40</v>
      </c>
    </row>
    <row r="1424" spans="1:6" x14ac:dyDescent="0.3">
      <c r="A1424" t="s">
        <v>1852</v>
      </c>
      <c r="B1424" t="str">
        <f>"18594233818"</f>
        <v>18594233818</v>
      </c>
      <c r="C1424" t="str">
        <f>"45222319850610055X"</f>
        <v>45222319850610055X</v>
      </c>
      <c r="D1424" t="s">
        <v>2419</v>
      </c>
      <c r="E1424" t="s">
        <v>2420</v>
      </c>
      <c r="F1424" t="str">
        <f>"2018-11-29 07:38:14"</f>
        <v>2018-11-29 07:38:14</v>
      </c>
    </row>
    <row r="1425" spans="1:6" x14ac:dyDescent="0.3">
      <c r="A1425" t="s">
        <v>2421</v>
      </c>
      <c r="B1425" t="str">
        <f>"15058873086"</f>
        <v>15058873086</v>
      </c>
      <c r="C1425" t="str">
        <f>"370830198307066568"</f>
        <v>370830198307066568</v>
      </c>
      <c r="D1425" t="s">
        <v>0</v>
      </c>
      <c r="E1425" t="s">
        <v>0</v>
      </c>
      <c r="F1425" t="str">
        <f>"2018-11-29 07:31:48"</f>
        <v>2018-11-29 07:31:48</v>
      </c>
    </row>
    <row r="1426" spans="1:6" x14ac:dyDescent="0.3">
      <c r="A1426" t="s">
        <v>2422</v>
      </c>
      <c r="B1426" t="str">
        <f>"18379214718"</f>
        <v>18379214718</v>
      </c>
      <c r="C1426" t="str">
        <f>"360429198511042329"</f>
        <v>360429198511042329</v>
      </c>
      <c r="D1426" t="s">
        <v>0</v>
      </c>
      <c r="E1426" t="s">
        <v>0</v>
      </c>
      <c r="F1426" t="str">
        <f>"2018-11-29 07:30:13"</f>
        <v>2018-11-29 07:30:13</v>
      </c>
    </row>
    <row r="1427" spans="1:6" x14ac:dyDescent="0.3">
      <c r="A1427" t="s">
        <v>2423</v>
      </c>
      <c r="B1427" t="str">
        <f>"15080101212"</f>
        <v>15080101212</v>
      </c>
      <c r="C1427" t="str">
        <f>"511302198710213411"</f>
        <v>511302198710213411</v>
      </c>
      <c r="D1427" t="s">
        <v>2424</v>
      </c>
      <c r="E1427" t="s">
        <v>2424</v>
      </c>
      <c r="F1427" t="str">
        <f>"2018-11-29 07:22:05"</f>
        <v>2018-11-29 07:22:05</v>
      </c>
    </row>
    <row r="1428" spans="1:6" x14ac:dyDescent="0.3">
      <c r="A1428" t="s">
        <v>2425</v>
      </c>
      <c r="B1428" t="str">
        <f>"13203812205"</f>
        <v>13203812205</v>
      </c>
      <c r="C1428" t="str">
        <f>"410181197905077216"</f>
        <v>410181197905077216</v>
      </c>
      <c r="D1428" t="s">
        <v>2426</v>
      </c>
      <c r="E1428" t="s">
        <v>2427</v>
      </c>
      <c r="F1428" t="str">
        <f>"2018-11-29 07:20:56"</f>
        <v>2018-11-29 07:20:56</v>
      </c>
    </row>
    <row r="1429" spans="1:6" x14ac:dyDescent="0.3">
      <c r="A1429" t="s">
        <v>2428</v>
      </c>
      <c r="B1429" t="str">
        <f>"13929575230"</f>
        <v>13929575230</v>
      </c>
      <c r="C1429" t="str">
        <f>"440921198603041610"</f>
        <v>440921198603041610</v>
      </c>
      <c r="D1429" t="s">
        <v>2429</v>
      </c>
      <c r="E1429" t="s">
        <v>2430</v>
      </c>
      <c r="F1429" t="str">
        <f>"2018-11-29 06:51:00"</f>
        <v>2018-11-29 06:51:00</v>
      </c>
    </row>
    <row r="1430" spans="1:6" x14ac:dyDescent="0.3">
      <c r="A1430" t="s">
        <v>2431</v>
      </c>
      <c r="B1430" t="str">
        <f>"18323713265"</f>
        <v>18323713265</v>
      </c>
      <c r="C1430" t="str">
        <f>"500235199108274426"</f>
        <v>500235199108274426</v>
      </c>
      <c r="D1430" t="s">
        <v>0</v>
      </c>
      <c r="E1430" t="s">
        <v>0</v>
      </c>
      <c r="F1430" t="str">
        <f>"2018-11-29 06:48:25"</f>
        <v>2018-11-29 06:48:25</v>
      </c>
    </row>
    <row r="1431" spans="1:6" x14ac:dyDescent="0.3">
      <c r="A1431" t="s">
        <v>2432</v>
      </c>
      <c r="B1431" t="str">
        <f>"15333316868"</f>
        <v>15333316868</v>
      </c>
      <c r="C1431" t="str">
        <f>"130123198309160017"</f>
        <v>130123198309160017</v>
      </c>
      <c r="D1431" t="s">
        <v>0</v>
      </c>
      <c r="E1431" t="s">
        <v>0</v>
      </c>
      <c r="F1431" t="str">
        <f>"2018-11-29 06:12:05"</f>
        <v>2018-11-29 06:12:05</v>
      </c>
    </row>
    <row r="1432" spans="1:6" x14ac:dyDescent="0.3">
      <c r="A1432" t="s">
        <v>2433</v>
      </c>
      <c r="B1432" t="str">
        <f>"17608920950"</f>
        <v>17608920950</v>
      </c>
      <c r="C1432" t="str">
        <f>"460004199608202017"</f>
        <v>460004199608202017</v>
      </c>
      <c r="D1432" t="s">
        <v>2434</v>
      </c>
      <c r="E1432" t="s">
        <v>2435</v>
      </c>
      <c r="F1432" t="str">
        <f>"2018-11-29 06:11:04"</f>
        <v>2018-11-29 06:11:04</v>
      </c>
    </row>
    <row r="1433" spans="1:6" x14ac:dyDescent="0.3">
      <c r="A1433" t="s">
        <v>2436</v>
      </c>
      <c r="B1433" t="str">
        <f>"15816484610"</f>
        <v>15816484610</v>
      </c>
      <c r="C1433" t="str">
        <f>"44132319961106851X"</f>
        <v>44132319961106851X</v>
      </c>
      <c r="D1433" t="s">
        <v>2437</v>
      </c>
      <c r="E1433" t="s">
        <v>2438</v>
      </c>
      <c r="F1433" t="str">
        <f>"2018-11-29 05:55:25"</f>
        <v>2018-11-29 05:55:25</v>
      </c>
    </row>
    <row r="1434" spans="1:6" x14ac:dyDescent="0.3">
      <c r="A1434" t="s">
        <v>2439</v>
      </c>
      <c r="B1434" t="str">
        <f>"18319603578"</f>
        <v>18319603578</v>
      </c>
      <c r="C1434" t="str">
        <f>"430923199002176056"</f>
        <v>430923199002176056</v>
      </c>
      <c r="D1434" t="s">
        <v>2440</v>
      </c>
      <c r="E1434" t="s">
        <v>2441</v>
      </c>
      <c r="F1434" t="str">
        <f>"2018-11-29 03:56:55"</f>
        <v>2018-11-29 03:56:55</v>
      </c>
    </row>
    <row r="1435" spans="1:6" x14ac:dyDescent="0.3">
      <c r="A1435" t="s">
        <v>0</v>
      </c>
      <c r="B1435" t="str">
        <f>"13058063649"</f>
        <v>13058063649</v>
      </c>
      <c r="C1435" t="s">
        <v>0</v>
      </c>
      <c r="D1435" t="s">
        <v>0</v>
      </c>
      <c r="E1435" t="s">
        <v>0</v>
      </c>
      <c r="F1435" t="str">
        <f>"2018-11-29 03:50:05"</f>
        <v>2018-11-29 03:50:05</v>
      </c>
    </row>
    <row r="1436" spans="1:6" x14ac:dyDescent="0.3">
      <c r="A1436" t="s">
        <v>0</v>
      </c>
      <c r="B1436" t="str">
        <f>"15832055288"</f>
        <v>15832055288</v>
      </c>
      <c r="C1436" t="s">
        <v>0</v>
      </c>
      <c r="D1436" t="s">
        <v>0</v>
      </c>
      <c r="E1436" t="s">
        <v>0</v>
      </c>
      <c r="F1436" t="str">
        <f>"2018-11-29 03:30:10"</f>
        <v>2018-11-29 03:30:10</v>
      </c>
    </row>
    <row r="1437" spans="1:6" x14ac:dyDescent="0.3">
      <c r="A1437" t="s">
        <v>0</v>
      </c>
      <c r="B1437" t="str">
        <f>"15814140571"</f>
        <v>15814140571</v>
      </c>
      <c r="C1437" t="s">
        <v>0</v>
      </c>
      <c r="D1437" t="s">
        <v>0</v>
      </c>
      <c r="E1437" t="s">
        <v>0</v>
      </c>
      <c r="F1437" t="str">
        <f>"2018-11-29 03:05:08"</f>
        <v>2018-11-29 03:05:08</v>
      </c>
    </row>
    <row r="1438" spans="1:6" x14ac:dyDescent="0.3">
      <c r="A1438" t="s">
        <v>2442</v>
      </c>
      <c r="B1438" t="str">
        <f>"13230744777"</f>
        <v>13230744777</v>
      </c>
      <c r="C1438" t="str">
        <f>"370682198103026412"</f>
        <v>370682198103026412</v>
      </c>
      <c r="D1438" t="s">
        <v>0</v>
      </c>
      <c r="E1438" t="s">
        <v>0</v>
      </c>
      <c r="F1438" t="str">
        <f>"2018-11-29 02:37:32"</f>
        <v>2018-11-29 02:37:32</v>
      </c>
    </row>
    <row r="1439" spans="1:6" x14ac:dyDescent="0.3">
      <c r="A1439" t="s">
        <v>2443</v>
      </c>
      <c r="B1439" t="str">
        <f>"18757906686"</f>
        <v>18757906686</v>
      </c>
      <c r="C1439" t="str">
        <f>"330721199302235110"</f>
        <v>330721199302235110</v>
      </c>
      <c r="D1439" t="s">
        <v>2444</v>
      </c>
      <c r="E1439" t="s">
        <v>2445</v>
      </c>
      <c r="F1439" t="str">
        <f>"2018-11-29 02:23:33"</f>
        <v>2018-11-29 02:23:33</v>
      </c>
    </row>
    <row r="1440" spans="1:6" x14ac:dyDescent="0.3">
      <c r="A1440" t="s">
        <v>2446</v>
      </c>
      <c r="B1440" t="str">
        <f>"15113768877"</f>
        <v>15113768877</v>
      </c>
      <c r="C1440" t="str">
        <f>"522227199211046021"</f>
        <v>522227199211046021</v>
      </c>
      <c r="D1440" t="s">
        <v>2447</v>
      </c>
      <c r="E1440" t="s">
        <v>2448</v>
      </c>
      <c r="F1440" t="str">
        <f>"2018-11-29 02:04:37"</f>
        <v>2018-11-29 02:04:37</v>
      </c>
    </row>
    <row r="1441" spans="1:6" x14ac:dyDescent="0.3">
      <c r="A1441" t="s">
        <v>2449</v>
      </c>
      <c r="B1441" t="str">
        <f>"13071513456"</f>
        <v>13071513456</v>
      </c>
      <c r="C1441" t="str">
        <f>"441521199305201130"</f>
        <v>441521199305201130</v>
      </c>
      <c r="D1441" t="s">
        <v>2450</v>
      </c>
      <c r="E1441" t="s">
        <v>2451</v>
      </c>
      <c r="F1441" t="str">
        <f>"2018-11-29 02:01:06"</f>
        <v>2018-11-29 02:01:06</v>
      </c>
    </row>
    <row r="1442" spans="1:6" x14ac:dyDescent="0.3">
      <c r="A1442" t="s">
        <v>2452</v>
      </c>
      <c r="B1442" t="str">
        <f>"13672240683"</f>
        <v>13672240683</v>
      </c>
      <c r="C1442" t="str">
        <f>"36042819860701182X"</f>
        <v>36042819860701182X</v>
      </c>
      <c r="D1442" t="s">
        <v>2453</v>
      </c>
      <c r="E1442" t="s">
        <v>2454</v>
      </c>
      <c r="F1442" t="str">
        <f>"2018-11-29 01:58:12"</f>
        <v>2018-11-29 01:58:12</v>
      </c>
    </row>
    <row r="1443" spans="1:6" x14ac:dyDescent="0.3">
      <c r="A1443" t="s">
        <v>2455</v>
      </c>
      <c r="B1443" t="str">
        <f>"18584155553"</f>
        <v>18584155553</v>
      </c>
      <c r="C1443" t="str">
        <f>"511129199401055425"</f>
        <v>511129199401055425</v>
      </c>
      <c r="D1443" t="s">
        <v>2456</v>
      </c>
      <c r="E1443" t="s">
        <v>2457</v>
      </c>
      <c r="F1443" t="str">
        <f>"2018-11-29 01:53:29"</f>
        <v>2018-11-29 01:53:29</v>
      </c>
    </row>
    <row r="1444" spans="1:6" x14ac:dyDescent="0.3">
      <c r="A1444" t="s">
        <v>0</v>
      </c>
      <c r="B1444" t="str">
        <f>"13251060249"</f>
        <v>13251060249</v>
      </c>
      <c r="C1444" t="s">
        <v>0</v>
      </c>
      <c r="D1444" t="s">
        <v>0</v>
      </c>
      <c r="E1444" t="s">
        <v>0</v>
      </c>
      <c r="F1444" t="str">
        <f>"2018-11-29 01:26:08"</f>
        <v>2018-11-29 01:26:08</v>
      </c>
    </row>
    <row r="1445" spans="1:6" x14ac:dyDescent="0.3">
      <c r="A1445" t="s">
        <v>2458</v>
      </c>
      <c r="B1445" t="str">
        <f>"15874041585"</f>
        <v>15874041585</v>
      </c>
      <c r="C1445" t="str">
        <f>"150426199011101966"</f>
        <v>150426199011101966</v>
      </c>
      <c r="D1445" t="s">
        <v>2459</v>
      </c>
      <c r="E1445" t="s">
        <v>2460</v>
      </c>
      <c r="F1445" t="str">
        <f>"2018-11-29 01:24:27"</f>
        <v>2018-11-29 01:24:27</v>
      </c>
    </row>
    <row r="1446" spans="1:6" x14ac:dyDescent="0.3">
      <c r="A1446" t="s">
        <v>2461</v>
      </c>
      <c r="B1446" t="str">
        <f>"15519557717"</f>
        <v>15519557717</v>
      </c>
      <c r="C1446" t="str">
        <f>"522526198305172219"</f>
        <v>522526198305172219</v>
      </c>
      <c r="D1446" t="s">
        <v>2462</v>
      </c>
      <c r="E1446" t="s">
        <v>2463</v>
      </c>
      <c r="F1446" t="str">
        <f>"2018-11-29 01:08:48"</f>
        <v>2018-11-29 01:08:48</v>
      </c>
    </row>
    <row r="1447" spans="1:6" x14ac:dyDescent="0.3">
      <c r="A1447" t="s">
        <v>0</v>
      </c>
      <c r="B1447" t="str">
        <f>"13826438227"</f>
        <v>13826438227</v>
      </c>
      <c r="C1447" t="s">
        <v>0</v>
      </c>
      <c r="D1447" t="s">
        <v>0</v>
      </c>
      <c r="E1447" t="s">
        <v>0</v>
      </c>
      <c r="F1447" t="str">
        <f>"2018-11-29 01:07:37"</f>
        <v>2018-11-29 01:07:37</v>
      </c>
    </row>
    <row r="1448" spans="1:6" x14ac:dyDescent="0.3">
      <c r="A1448" t="s">
        <v>2464</v>
      </c>
      <c r="B1448" t="str">
        <f>"13615810869"</f>
        <v>13615810869</v>
      </c>
      <c r="C1448" t="str">
        <f>"433125198203272711"</f>
        <v>433125198203272711</v>
      </c>
      <c r="D1448" t="s">
        <v>2465</v>
      </c>
      <c r="E1448" t="s">
        <v>2465</v>
      </c>
      <c r="F1448" t="str">
        <f>"2018-11-29 00:40:20"</f>
        <v>2018-11-29 00:40:20</v>
      </c>
    </row>
    <row r="1449" spans="1:6" x14ac:dyDescent="0.3">
      <c r="A1449" t="s">
        <v>0</v>
      </c>
      <c r="B1449" t="str">
        <f>"13216567420"</f>
        <v>13216567420</v>
      </c>
      <c r="C1449" t="s">
        <v>0</v>
      </c>
      <c r="D1449" t="s">
        <v>0</v>
      </c>
      <c r="E1449" t="s">
        <v>0</v>
      </c>
      <c r="F1449" t="str">
        <f>"2018-11-29 00:37:01"</f>
        <v>2018-11-29 00:37:01</v>
      </c>
    </row>
    <row r="1450" spans="1:6" x14ac:dyDescent="0.3">
      <c r="A1450" t="s">
        <v>0</v>
      </c>
      <c r="B1450" t="str">
        <f>"18335411924"</f>
        <v>18335411924</v>
      </c>
      <c r="C1450" t="s">
        <v>0</v>
      </c>
      <c r="D1450" t="s">
        <v>0</v>
      </c>
      <c r="E1450" t="s">
        <v>0</v>
      </c>
      <c r="F1450" t="str">
        <f>"2018-11-29 00:31:31"</f>
        <v>2018-11-29 00:31:31</v>
      </c>
    </row>
    <row r="1451" spans="1:6" x14ac:dyDescent="0.3">
      <c r="A1451" t="s">
        <v>2466</v>
      </c>
      <c r="B1451" t="str">
        <f>"13246547192"</f>
        <v>13246547192</v>
      </c>
      <c r="C1451" t="str">
        <f>"440681199205265998"</f>
        <v>440681199205265998</v>
      </c>
      <c r="D1451" t="s">
        <v>0</v>
      </c>
      <c r="E1451" t="s">
        <v>0</v>
      </c>
      <c r="F1451" t="str">
        <f>"2018-11-29 00:28:06"</f>
        <v>2018-11-29 00:28:06</v>
      </c>
    </row>
    <row r="1452" spans="1:6" x14ac:dyDescent="0.3">
      <c r="A1452" t="s">
        <v>2467</v>
      </c>
      <c r="B1452" t="str">
        <f>"18698415734"</f>
        <v>18698415734</v>
      </c>
      <c r="C1452" t="str">
        <f>"150102198303230127"</f>
        <v>150102198303230127</v>
      </c>
      <c r="D1452" t="s">
        <v>0</v>
      </c>
      <c r="E1452" t="s">
        <v>0</v>
      </c>
      <c r="F1452" t="str">
        <f>"2018-11-29 00:24:28"</f>
        <v>2018-11-29 00:24:28</v>
      </c>
    </row>
    <row r="1453" spans="1:6" x14ac:dyDescent="0.3">
      <c r="A1453" t="s">
        <v>2468</v>
      </c>
      <c r="B1453" t="str">
        <f>"17620566949"</f>
        <v>17620566949</v>
      </c>
      <c r="C1453" t="str">
        <f>"441723199202201377"</f>
        <v>441723199202201377</v>
      </c>
      <c r="D1453" t="s">
        <v>2469</v>
      </c>
      <c r="E1453" t="s">
        <v>2470</v>
      </c>
      <c r="F1453" t="str">
        <f>"2018-11-29 00:13:37"</f>
        <v>2018-11-29 00:13:37</v>
      </c>
    </row>
    <row r="1454" spans="1:6" x14ac:dyDescent="0.3">
      <c r="A1454" t="s">
        <v>2471</v>
      </c>
      <c r="B1454" t="str">
        <f>"18239805217"</f>
        <v>18239805217</v>
      </c>
      <c r="C1454" t="str">
        <f>"411222199809287518"</f>
        <v>411222199809287518</v>
      </c>
      <c r="D1454" t="s">
        <v>2472</v>
      </c>
      <c r="E1454" t="s">
        <v>2473</v>
      </c>
      <c r="F1454" t="str">
        <f>"2018-11-29 00:13:06"</f>
        <v>2018-11-29 00:13:06</v>
      </c>
    </row>
    <row r="1455" spans="1:6" x14ac:dyDescent="0.3">
      <c r="A1455" t="s">
        <v>0</v>
      </c>
      <c r="B1455" t="str">
        <f>"13086905909"</f>
        <v>13086905909</v>
      </c>
      <c r="C1455" t="s">
        <v>0</v>
      </c>
      <c r="D1455" t="s">
        <v>0</v>
      </c>
      <c r="E1455" t="s">
        <v>0</v>
      </c>
      <c r="F1455" t="str">
        <f>"2018-11-29 00:09:06"</f>
        <v>2018-11-29 00:09:06</v>
      </c>
    </row>
    <row r="1456" spans="1:6" x14ac:dyDescent="0.3">
      <c r="A1456" t="s">
        <v>0</v>
      </c>
      <c r="B1456" t="str">
        <f>"15052933087"</f>
        <v>15052933087</v>
      </c>
      <c r="C1456" t="s">
        <v>0</v>
      </c>
      <c r="D1456" t="s">
        <v>0</v>
      </c>
      <c r="E1456" t="s">
        <v>0</v>
      </c>
      <c r="F1456" t="str">
        <f>"2018-11-28 23:56:56"</f>
        <v>2018-11-28 23:56:56</v>
      </c>
    </row>
    <row r="1457" spans="1:6" x14ac:dyDescent="0.3">
      <c r="A1457" t="s">
        <v>0</v>
      </c>
      <c r="B1457" t="str">
        <f>"13095142300"</f>
        <v>13095142300</v>
      </c>
      <c r="C1457" t="s">
        <v>0</v>
      </c>
      <c r="D1457" t="s">
        <v>0</v>
      </c>
      <c r="E1457" t="s">
        <v>0</v>
      </c>
      <c r="F1457" t="str">
        <f>"2018-11-28 23:44:24"</f>
        <v>2018-11-28 23:44:24</v>
      </c>
    </row>
    <row r="1458" spans="1:6" x14ac:dyDescent="0.3">
      <c r="A1458" t="s">
        <v>2474</v>
      </c>
      <c r="B1458" t="str">
        <f>"15945373828"</f>
        <v>15945373828</v>
      </c>
      <c r="C1458" t="str">
        <f>"231084198806120042"</f>
        <v>231084198806120042</v>
      </c>
      <c r="D1458" t="s">
        <v>2475</v>
      </c>
      <c r="E1458" t="s">
        <v>2476</v>
      </c>
      <c r="F1458" t="str">
        <f>"2018-11-28 23:43:38"</f>
        <v>2018-11-28 23:43:38</v>
      </c>
    </row>
    <row r="1459" spans="1:6" x14ac:dyDescent="0.3">
      <c r="A1459" t="s">
        <v>2477</v>
      </c>
      <c r="B1459" t="str">
        <f>"17766825787"</f>
        <v>17766825787</v>
      </c>
      <c r="C1459" t="str">
        <f>"220403199003113135"</f>
        <v>220403199003113135</v>
      </c>
      <c r="D1459" t="s">
        <v>2478</v>
      </c>
      <c r="E1459" t="s">
        <v>2479</v>
      </c>
      <c r="F1459" t="str">
        <f>"2018-11-28 23:42:15"</f>
        <v>2018-11-28 23:42:15</v>
      </c>
    </row>
    <row r="1460" spans="1:6" x14ac:dyDescent="0.3">
      <c r="A1460" t="s">
        <v>2480</v>
      </c>
      <c r="B1460" t="str">
        <f>"18636690303"</f>
        <v>18636690303</v>
      </c>
      <c r="C1460" t="str">
        <f>"140106199008081227"</f>
        <v>140106199008081227</v>
      </c>
      <c r="D1460" t="s">
        <v>2481</v>
      </c>
      <c r="E1460" t="s">
        <v>2482</v>
      </c>
      <c r="F1460" t="str">
        <f>"2018-11-28 23:38:04"</f>
        <v>2018-11-28 23:38:04</v>
      </c>
    </row>
    <row r="1461" spans="1:6" x14ac:dyDescent="0.3">
      <c r="A1461" t="s">
        <v>2483</v>
      </c>
      <c r="B1461" t="str">
        <f>"18058553916"</f>
        <v>18058553916</v>
      </c>
      <c r="C1461" t="str">
        <f>"330822199811166311"</f>
        <v>330822199811166311</v>
      </c>
      <c r="D1461" t="s">
        <v>2484</v>
      </c>
      <c r="E1461" t="s">
        <v>2485</v>
      </c>
      <c r="F1461" t="str">
        <f>"2018-11-28 23:34:26"</f>
        <v>2018-11-28 23:34:26</v>
      </c>
    </row>
    <row r="1462" spans="1:6" x14ac:dyDescent="0.3">
      <c r="A1462" t="s">
        <v>2486</v>
      </c>
      <c r="B1462" t="str">
        <f>"13617172096"</f>
        <v>13617172096</v>
      </c>
      <c r="C1462" t="str">
        <f>"420521198902255314"</f>
        <v>420521198902255314</v>
      </c>
      <c r="D1462" t="s">
        <v>2487</v>
      </c>
      <c r="E1462" t="s">
        <v>2488</v>
      </c>
      <c r="F1462" t="str">
        <f>"2018-11-28 23:22:48"</f>
        <v>2018-11-28 23:22:48</v>
      </c>
    </row>
    <row r="1463" spans="1:6" x14ac:dyDescent="0.3">
      <c r="A1463" t="s">
        <v>0</v>
      </c>
      <c r="B1463" t="str">
        <f>"18858984505"</f>
        <v>18858984505</v>
      </c>
      <c r="C1463" t="s">
        <v>0</v>
      </c>
      <c r="D1463" t="s">
        <v>0</v>
      </c>
      <c r="E1463" t="s">
        <v>0</v>
      </c>
      <c r="F1463" t="str">
        <f>"2018-11-28 23:22:32"</f>
        <v>2018-11-28 23:22:32</v>
      </c>
    </row>
    <row r="1464" spans="1:6" x14ac:dyDescent="0.3">
      <c r="A1464" t="s">
        <v>2489</v>
      </c>
      <c r="B1464" t="str">
        <f>"18258227790"</f>
        <v>18258227790</v>
      </c>
      <c r="C1464" t="str">
        <f>"330821197608280375"</f>
        <v>330821197608280375</v>
      </c>
      <c r="D1464" t="s">
        <v>2490</v>
      </c>
      <c r="E1464" t="s">
        <v>2491</v>
      </c>
      <c r="F1464" t="str">
        <f>"2018-11-28 23:14:20"</f>
        <v>2018-11-28 23:14:20</v>
      </c>
    </row>
    <row r="1465" spans="1:6" x14ac:dyDescent="0.3">
      <c r="A1465" t="s">
        <v>0</v>
      </c>
      <c r="B1465" t="str">
        <f>"18755319351"</f>
        <v>18755319351</v>
      </c>
      <c r="C1465" t="s">
        <v>0</v>
      </c>
      <c r="D1465" t="s">
        <v>0</v>
      </c>
      <c r="E1465" t="s">
        <v>0</v>
      </c>
      <c r="F1465" t="str">
        <f>"2018-11-28 23:10:54"</f>
        <v>2018-11-28 23:10:54</v>
      </c>
    </row>
    <row r="1466" spans="1:6" x14ac:dyDescent="0.3">
      <c r="A1466" t="s">
        <v>2492</v>
      </c>
      <c r="B1466" t="str">
        <f>"15939141614"</f>
        <v>15939141614</v>
      </c>
      <c r="C1466" t="str">
        <f>"410821198102076566"</f>
        <v>410821198102076566</v>
      </c>
      <c r="D1466" t="s">
        <v>2493</v>
      </c>
      <c r="E1466" t="s">
        <v>2494</v>
      </c>
      <c r="F1466" t="str">
        <f>"2018-11-28 23:09:15"</f>
        <v>2018-11-28 23:09:15</v>
      </c>
    </row>
    <row r="1467" spans="1:6" x14ac:dyDescent="0.3">
      <c r="A1467" t="s">
        <v>0</v>
      </c>
      <c r="B1467" t="str">
        <f>"15577243015"</f>
        <v>15577243015</v>
      </c>
      <c r="C1467" t="s">
        <v>0</v>
      </c>
      <c r="D1467" t="s">
        <v>0</v>
      </c>
      <c r="E1467" t="s">
        <v>0</v>
      </c>
      <c r="F1467" t="str">
        <f>"2018-11-28 23:08:40"</f>
        <v>2018-11-28 23:08:40</v>
      </c>
    </row>
    <row r="1468" spans="1:6" x14ac:dyDescent="0.3">
      <c r="A1468" t="s">
        <v>2495</v>
      </c>
      <c r="B1468" t="str">
        <f>"15908942952"</f>
        <v>15908942952</v>
      </c>
      <c r="C1468" t="str">
        <f>"152103197712046076"</f>
        <v>152103197712046076</v>
      </c>
      <c r="D1468" t="s">
        <v>2496</v>
      </c>
      <c r="E1468" t="s">
        <v>2497</v>
      </c>
      <c r="F1468" t="str">
        <f>"2018-11-28 23:02:29"</f>
        <v>2018-11-28 23:02:29</v>
      </c>
    </row>
    <row r="1469" spans="1:6" x14ac:dyDescent="0.3">
      <c r="A1469" t="s">
        <v>0</v>
      </c>
      <c r="B1469" t="str">
        <f>"13097811141"</f>
        <v>13097811141</v>
      </c>
      <c r="C1469" t="s">
        <v>0</v>
      </c>
      <c r="D1469" t="s">
        <v>0</v>
      </c>
      <c r="E1469" t="s">
        <v>0</v>
      </c>
      <c r="F1469" t="str">
        <f>"2018-11-28 23:01:52"</f>
        <v>2018-11-28 23:01:52</v>
      </c>
    </row>
    <row r="1470" spans="1:6" x14ac:dyDescent="0.3">
      <c r="A1470" t="s">
        <v>2498</v>
      </c>
      <c r="B1470" t="str">
        <f>"15559346462"</f>
        <v>15559346462</v>
      </c>
      <c r="C1470" t="str">
        <f>"654001199912161416"</f>
        <v>654001199912161416</v>
      </c>
      <c r="D1470" t="s">
        <v>0</v>
      </c>
      <c r="E1470" t="s">
        <v>0</v>
      </c>
      <c r="F1470" t="str">
        <f>"2018-11-28 22:58:54"</f>
        <v>2018-11-28 22:58:54</v>
      </c>
    </row>
    <row r="1471" spans="1:6" x14ac:dyDescent="0.3">
      <c r="A1471" t="s">
        <v>2499</v>
      </c>
      <c r="B1471" t="str">
        <f>"13643467432"</f>
        <v>13643467432</v>
      </c>
      <c r="C1471" t="str">
        <f>"142431198410150059"</f>
        <v>142431198410150059</v>
      </c>
      <c r="D1471" t="s">
        <v>2500</v>
      </c>
      <c r="E1471" t="s">
        <v>2501</v>
      </c>
      <c r="F1471" t="str">
        <f>"2018-11-28 22:56:39"</f>
        <v>2018-11-28 22:56:39</v>
      </c>
    </row>
    <row r="1472" spans="1:6" x14ac:dyDescent="0.3">
      <c r="A1472" t="s">
        <v>0</v>
      </c>
      <c r="B1472" t="str">
        <f>"15577673184"</f>
        <v>15577673184</v>
      </c>
      <c r="C1472" t="s">
        <v>0</v>
      </c>
      <c r="D1472" t="s">
        <v>0</v>
      </c>
      <c r="E1472" t="s">
        <v>0</v>
      </c>
      <c r="F1472" t="str">
        <f>"2018-11-28 22:54:45"</f>
        <v>2018-11-28 22:54:45</v>
      </c>
    </row>
    <row r="1473" spans="1:6" x14ac:dyDescent="0.3">
      <c r="A1473" t="s">
        <v>2502</v>
      </c>
      <c r="B1473" t="str">
        <f>"15065605521"</f>
        <v>15065605521</v>
      </c>
      <c r="C1473" t="str">
        <f>"370782198810013739"</f>
        <v>370782198810013739</v>
      </c>
      <c r="D1473" t="s">
        <v>2503</v>
      </c>
      <c r="E1473" t="s">
        <v>2504</v>
      </c>
      <c r="F1473" t="str">
        <f>"2018-11-28 22:47:47"</f>
        <v>2018-11-28 22:47:47</v>
      </c>
    </row>
    <row r="1474" spans="1:6" x14ac:dyDescent="0.3">
      <c r="A1474" t="s">
        <v>0</v>
      </c>
      <c r="B1474" t="str">
        <f>"13217704720"</f>
        <v>13217704720</v>
      </c>
      <c r="C1474" t="s">
        <v>0</v>
      </c>
      <c r="D1474" t="s">
        <v>0</v>
      </c>
      <c r="E1474" t="s">
        <v>0</v>
      </c>
      <c r="F1474" t="str">
        <f>"2018-11-28 22:44:34"</f>
        <v>2018-11-28 22:44:34</v>
      </c>
    </row>
    <row r="1475" spans="1:6" x14ac:dyDescent="0.3">
      <c r="A1475" t="s">
        <v>2505</v>
      </c>
      <c r="B1475" t="str">
        <f>"17601262427"</f>
        <v>17601262427</v>
      </c>
      <c r="C1475" t="str">
        <f>"341226199903101019"</f>
        <v>341226199903101019</v>
      </c>
      <c r="D1475" t="s">
        <v>0</v>
      </c>
      <c r="E1475" t="s">
        <v>0</v>
      </c>
      <c r="F1475" t="str">
        <f>"2018-11-28 22:43:52"</f>
        <v>2018-11-28 22:43:52</v>
      </c>
    </row>
    <row r="1476" spans="1:6" x14ac:dyDescent="0.3">
      <c r="A1476" t="s">
        <v>2506</v>
      </c>
      <c r="B1476" t="str">
        <f>"13139987102"</f>
        <v>13139987102</v>
      </c>
      <c r="C1476" t="str">
        <f>"653125199604120618"</f>
        <v>653125199604120618</v>
      </c>
      <c r="D1476" t="s">
        <v>0</v>
      </c>
      <c r="E1476" t="s">
        <v>0</v>
      </c>
      <c r="F1476" t="str">
        <f>"2018-11-28 22:41:53"</f>
        <v>2018-11-28 22:41:53</v>
      </c>
    </row>
    <row r="1477" spans="1:6" x14ac:dyDescent="0.3">
      <c r="A1477" t="s">
        <v>0</v>
      </c>
      <c r="B1477" t="str">
        <f>"13645420450"</f>
        <v>13645420450</v>
      </c>
      <c r="C1477" t="s">
        <v>0</v>
      </c>
      <c r="D1477" t="s">
        <v>0</v>
      </c>
      <c r="E1477" t="s">
        <v>0</v>
      </c>
      <c r="F1477" t="str">
        <f>"2018-11-28 22:40:49"</f>
        <v>2018-11-28 22:40:49</v>
      </c>
    </row>
    <row r="1478" spans="1:6" x14ac:dyDescent="0.3">
      <c r="A1478" t="s">
        <v>0</v>
      </c>
      <c r="B1478" t="str">
        <f>"13630150235"</f>
        <v>13630150235</v>
      </c>
      <c r="C1478" t="s">
        <v>0</v>
      </c>
      <c r="D1478" t="s">
        <v>0</v>
      </c>
      <c r="E1478" t="s">
        <v>0</v>
      </c>
      <c r="F1478" t="str">
        <f>"2018-11-28 22:39:07"</f>
        <v>2018-11-28 22:39:07</v>
      </c>
    </row>
    <row r="1479" spans="1:6" x14ac:dyDescent="0.3">
      <c r="A1479" t="s">
        <v>2507</v>
      </c>
      <c r="B1479" t="str">
        <f>"13132658526"</f>
        <v>13132658526</v>
      </c>
      <c r="C1479" t="str">
        <f>"450922199604030019"</f>
        <v>450922199604030019</v>
      </c>
      <c r="D1479" t="s">
        <v>0</v>
      </c>
      <c r="E1479" t="s">
        <v>0</v>
      </c>
      <c r="F1479" t="str">
        <f>"2018-11-28 22:39:00"</f>
        <v>2018-11-28 22:39:00</v>
      </c>
    </row>
    <row r="1480" spans="1:6" x14ac:dyDescent="0.3">
      <c r="A1480" t="s">
        <v>2508</v>
      </c>
      <c r="B1480" t="str">
        <f>"13977908600"</f>
        <v>13977908600</v>
      </c>
      <c r="C1480" t="str">
        <f>"450502197906071370"</f>
        <v>450502197906071370</v>
      </c>
      <c r="D1480" t="s">
        <v>2509</v>
      </c>
      <c r="E1480" t="s">
        <v>2510</v>
      </c>
      <c r="F1480" t="str">
        <f>"2018-11-28 22:38:52"</f>
        <v>2018-11-28 22:38:52</v>
      </c>
    </row>
    <row r="1481" spans="1:6" x14ac:dyDescent="0.3">
      <c r="A1481" t="s">
        <v>0</v>
      </c>
      <c r="B1481" t="str">
        <f>"17507527313"</f>
        <v>17507527313</v>
      </c>
      <c r="C1481" t="s">
        <v>0</v>
      </c>
      <c r="D1481" t="s">
        <v>0</v>
      </c>
      <c r="E1481" t="s">
        <v>0</v>
      </c>
      <c r="F1481" t="str">
        <f>"2018-11-28 22:37:53"</f>
        <v>2018-11-28 22:37:53</v>
      </c>
    </row>
    <row r="1482" spans="1:6" x14ac:dyDescent="0.3">
      <c r="A1482" t="s">
        <v>2511</v>
      </c>
      <c r="B1482" t="str">
        <f>"15193882343"</f>
        <v>15193882343</v>
      </c>
      <c r="C1482" t="str">
        <f>"620525197302231413"</f>
        <v>620525197302231413</v>
      </c>
      <c r="D1482" t="s">
        <v>0</v>
      </c>
      <c r="E1482" t="s">
        <v>0</v>
      </c>
      <c r="F1482" t="str">
        <f>"2018-11-28 22:33:42"</f>
        <v>2018-11-28 22:33:42</v>
      </c>
    </row>
    <row r="1483" spans="1:6" x14ac:dyDescent="0.3">
      <c r="A1483" t="s">
        <v>2512</v>
      </c>
      <c r="B1483" t="str">
        <f>"15681919362"</f>
        <v>15681919362</v>
      </c>
      <c r="C1483" t="str">
        <f>"342401199706083637"</f>
        <v>342401199706083637</v>
      </c>
      <c r="D1483" t="s">
        <v>2513</v>
      </c>
      <c r="E1483" t="s">
        <v>2513</v>
      </c>
      <c r="F1483" t="str">
        <f>"2018-11-28 22:32:29"</f>
        <v>2018-11-28 22:32:29</v>
      </c>
    </row>
    <row r="1484" spans="1:6" x14ac:dyDescent="0.3">
      <c r="A1484" t="s">
        <v>2514</v>
      </c>
      <c r="B1484" t="str">
        <f>"15655023959"</f>
        <v>15655023959</v>
      </c>
      <c r="C1484" t="str">
        <f>"341126199703202039"</f>
        <v>341126199703202039</v>
      </c>
      <c r="D1484" t="s">
        <v>0</v>
      </c>
      <c r="E1484" t="s">
        <v>0</v>
      </c>
      <c r="F1484" t="str">
        <f>"2018-11-28 22:32:23"</f>
        <v>2018-11-28 22:32:23</v>
      </c>
    </row>
    <row r="1485" spans="1:6" x14ac:dyDescent="0.3">
      <c r="A1485" t="s">
        <v>2515</v>
      </c>
      <c r="B1485" t="str">
        <f>"13685221250"</f>
        <v>13685221250</v>
      </c>
      <c r="C1485" t="str">
        <f>"320483198702271328"</f>
        <v>320483198702271328</v>
      </c>
      <c r="D1485" t="s">
        <v>2516</v>
      </c>
      <c r="E1485" t="s">
        <v>2517</v>
      </c>
      <c r="F1485" t="str">
        <f>"2018-11-28 22:30:10"</f>
        <v>2018-11-28 22:30:10</v>
      </c>
    </row>
    <row r="1486" spans="1:6" x14ac:dyDescent="0.3">
      <c r="A1486" t="s">
        <v>2518</v>
      </c>
      <c r="B1486" t="str">
        <f>"13332315012"</f>
        <v>13332315012</v>
      </c>
      <c r="C1486" t="str">
        <f>"210811198706170078"</f>
        <v>210811198706170078</v>
      </c>
      <c r="D1486" t="s">
        <v>2519</v>
      </c>
      <c r="E1486" t="s">
        <v>2520</v>
      </c>
      <c r="F1486" t="str">
        <f>"2018-11-28 22:28:03"</f>
        <v>2018-11-28 22:28:03</v>
      </c>
    </row>
    <row r="1487" spans="1:6" x14ac:dyDescent="0.3">
      <c r="A1487" t="s">
        <v>2521</v>
      </c>
      <c r="B1487" t="str">
        <f>"13950920183"</f>
        <v>13950920183</v>
      </c>
      <c r="C1487" t="str">
        <f>"350429197812134511"</f>
        <v>350429197812134511</v>
      </c>
      <c r="D1487" t="s">
        <v>0</v>
      </c>
      <c r="E1487" t="s">
        <v>0</v>
      </c>
      <c r="F1487" t="str">
        <f>"2018-11-28 22:27:37"</f>
        <v>2018-11-28 22:27:37</v>
      </c>
    </row>
    <row r="1488" spans="1:6" x14ac:dyDescent="0.3">
      <c r="A1488" t="s">
        <v>0</v>
      </c>
      <c r="B1488" t="str">
        <f>"15979430289"</f>
        <v>15979430289</v>
      </c>
      <c r="C1488" t="s">
        <v>0</v>
      </c>
      <c r="D1488" t="s">
        <v>0</v>
      </c>
      <c r="E1488" t="s">
        <v>0</v>
      </c>
      <c r="F1488" t="str">
        <f>"2018-11-28 22:25:58"</f>
        <v>2018-11-28 22:25:58</v>
      </c>
    </row>
    <row r="1489" spans="1:6" x14ac:dyDescent="0.3">
      <c r="A1489" t="s">
        <v>2522</v>
      </c>
      <c r="B1489" t="str">
        <f>"17762595935"</f>
        <v>17762595935</v>
      </c>
      <c r="C1489" t="str">
        <f>"420111198302031814"</f>
        <v>420111198302031814</v>
      </c>
      <c r="D1489" t="s">
        <v>2523</v>
      </c>
      <c r="E1489" t="s">
        <v>2524</v>
      </c>
      <c r="F1489" t="str">
        <f>"2018-11-28 22:25:28"</f>
        <v>2018-11-28 22:25:28</v>
      </c>
    </row>
    <row r="1490" spans="1:6" x14ac:dyDescent="0.3">
      <c r="A1490" t="s">
        <v>2525</v>
      </c>
      <c r="B1490" t="str">
        <f>"18524467637"</f>
        <v>18524467637</v>
      </c>
      <c r="C1490" t="str">
        <f>"211322199709226775"</f>
        <v>211322199709226775</v>
      </c>
      <c r="D1490" t="s">
        <v>2526</v>
      </c>
      <c r="E1490" t="s">
        <v>2527</v>
      </c>
      <c r="F1490" t="str">
        <f>"2018-11-28 22:21:37"</f>
        <v>2018-11-28 22:21:37</v>
      </c>
    </row>
    <row r="1491" spans="1:6" x14ac:dyDescent="0.3">
      <c r="A1491" t="s">
        <v>0</v>
      </c>
      <c r="B1491" t="str">
        <f>"18355999938"</f>
        <v>18355999938</v>
      </c>
      <c r="C1491" t="s">
        <v>0</v>
      </c>
      <c r="D1491" t="s">
        <v>0</v>
      </c>
      <c r="E1491" t="s">
        <v>0</v>
      </c>
      <c r="F1491" t="str">
        <f>"2018-11-28 22:20:19"</f>
        <v>2018-11-28 22:20:19</v>
      </c>
    </row>
    <row r="1492" spans="1:6" x14ac:dyDescent="0.3">
      <c r="A1492" t="s">
        <v>2528</v>
      </c>
      <c r="B1492" t="str">
        <f>"17550359236"</f>
        <v>17550359236</v>
      </c>
      <c r="C1492" t="str">
        <f>"411324200002274058"</f>
        <v>411324200002274058</v>
      </c>
      <c r="D1492" t="s">
        <v>2529</v>
      </c>
      <c r="E1492" t="s">
        <v>2530</v>
      </c>
      <c r="F1492" t="str">
        <f>"2018-11-28 22:19:54"</f>
        <v>2018-11-28 22:19:54</v>
      </c>
    </row>
    <row r="1493" spans="1:6" x14ac:dyDescent="0.3">
      <c r="A1493" t="s">
        <v>2531</v>
      </c>
      <c r="B1493" t="str">
        <f>"18574550926"</f>
        <v>18574550926</v>
      </c>
      <c r="C1493" t="str">
        <f>"431222199009264012"</f>
        <v>431222199009264012</v>
      </c>
      <c r="D1493" t="s">
        <v>2532</v>
      </c>
      <c r="E1493" t="s">
        <v>2533</v>
      </c>
      <c r="F1493" t="str">
        <f>"2018-11-28 22:19:16"</f>
        <v>2018-11-28 22:19:16</v>
      </c>
    </row>
    <row r="1494" spans="1:6" x14ac:dyDescent="0.3">
      <c r="A1494" t="s">
        <v>0</v>
      </c>
      <c r="B1494" t="str">
        <f>"15676795304"</f>
        <v>15676795304</v>
      </c>
      <c r="C1494" t="s">
        <v>0</v>
      </c>
      <c r="D1494" t="s">
        <v>0</v>
      </c>
      <c r="E1494" t="s">
        <v>0</v>
      </c>
      <c r="F1494" t="str">
        <f>"2018-11-28 22:19:12"</f>
        <v>2018-11-28 22:19:12</v>
      </c>
    </row>
    <row r="1495" spans="1:6" x14ac:dyDescent="0.3">
      <c r="A1495" t="s">
        <v>2534</v>
      </c>
      <c r="B1495" t="str">
        <f>"15577974355"</f>
        <v>15577974355</v>
      </c>
      <c r="C1495" t="str">
        <f>"450503199305101314"</f>
        <v>450503199305101314</v>
      </c>
      <c r="D1495" t="s">
        <v>0</v>
      </c>
      <c r="E1495" t="s">
        <v>0</v>
      </c>
      <c r="F1495" t="str">
        <f>"2018-11-28 22:17:50"</f>
        <v>2018-11-28 22:17:50</v>
      </c>
    </row>
    <row r="1496" spans="1:6" x14ac:dyDescent="0.3">
      <c r="A1496" t="s">
        <v>2535</v>
      </c>
      <c r="B1496" t="str">
        <f>"15951422470"</f>
        <v>15951422470</v>
      </c>
      <c r="C1496" t="str">
        <f>"320683198111093970"</f>
        <v>320683198111093970</v>
      </c>
      <c r="D1496" t="s">
        <v>2536</v>
      </c>
      <c r="E1496" t="s">
        <v>2537</v>
      </c>
      <c r="F1496" t="str">
        <f>"2018-11-28 22:17:34"</f>
        <v>2018-11-28 22:17:34</v>
      </c>
    </row>
    <row r="1497" spans="1:6" x14ac:dyDescent="0.3">
      <c r="A1497" t="s">
        <v>2538</v>
      </c>
      <c r="B1497" t="str">
        <f>"15596639920"</f>
        <v>15596639920</v>
      </c>
      <c r="C1497" t="str">
        <f>"610424199605076874"</f>
        <v>610424199605076874</v>
      </c>
      <c r="D1497" t="s">
        <v>2539</v>
      </c>
      <c r="E1497" t="s">
        <v>2540</v>
      </c>
      <c r="F1497" t="str">
        <f>"2018-11-28 22:15:32"</f>
        <v>2018-11-28 22:15:32</v>
      </c>
    </row>
    <row r="1498" spans="1:6" x14ac:dyDescent="0.3">
      <c r="A1498" t="s">
        <v>2541</v>
      </c>
      <c r="B1498" t="str">
        <f>"15112002050"</f>
        <v>15112002050</v>
      </c>
      <c r="C1498" t="str">
        <f>"440184199405033915"</f>
        <v>440184199405033915</v>
      </c>
      <c r="D1498" t="s">
        <v>0</v>
      </c>
      <c r="E1498" t="s">
        <v>0</v>
      </c>
      <c r="F1498" t="str">
        <f>"2018-11-28 22:13:10"</f>
        <v>2018-11-28 22:13:10</v>
      </c>
    </row>
    <row r="1499" spans="1:6" x14ac:dyDescent="0.3">
      <c r="A1499" t="s">
        <v>0</v>
      </c>
      <c r="B1499" t="str">
        <f>"18604953968"</f>
        <v>18604953968</v>
      </c>
      <c r="C1499" t="s">
        <v>0</v>
      </c>
      <c r="D1499" t="s">
        <v>0</v>
      </c>
      <c r="E1499" t="s">
        <v>0</v>
      </c>
      <c r="F1499" t="str">
        <f>"2018-11-28 22:04:50"</f>
        <v>2018-11-28 22:04:50</v>
      </c>
    </row>
    <row r="1500" spans="1:6" x14ac:dyDescent="0.3">
      <c r="A1500" t="s">
        <v>0</v>
      </c>
      <c r="B1500" t="str">
        <f>"18911710675"</f>
        <v>18911710675</v>
      </c>
      <c r="C1500" t="s">
        <v>0</v>
      </c>
      <c r="D1500" t="s">
        <v>0</v>
      </c>
      <c r="E1500" t="s">
        <v>0</v>
      </c>
      <c r="F1500" t="str">
        <f>"2018-11-28 22:03:11"</f>
        <v>2018-11-28 22:03:11</v>
      </c>
    </row>
    <row r="1501" spans="1:6" x14ac:dyDescent="0.3">
      <c r="A1501" t="s">
        <v>0</v>
      </c>
      <c r="B1501" t="str">
        <f>"18687776498"</f>
        <v>18687776498</v>
      </c>
      <c r="C1501" t="s">
        <v>0</v>
      </c>
      <c r="D1501" t="s">
        <v>0</v>
      </c>
      <c r="E1501" t="s">
        <v>0</v>
      </c>
      <c r="F1501" t="str">
        <f>"2018-11-28 22:01:37"</f>
        <v>2018-11-28 22:01:37</v>
      </c>
    </row>
    <row r="1502" spans="1:6" x14ac:dyDescent="0.3">
      <c r="A1502" t="s">
        <v>0</v>
      </c>
      <c r="B1502" t="str">
        <f>"13735969642"</f>
        <v>13735969642</v>
      </c>
      <c r="C1502" t="s">
        <v>0</v>
      </c>
      <c r="D1502" t="s">
        <v>0</v>
      </c>
      <c r="E1502" t="s">
        <v>0</v>
      </c>
      <c r="F1502" t="str">
        <f>"2018-11-28 22:01:24"</f>
        <v>2018-11-28 22:01:24</v>
      </c>
    </row>
    <row r="1503" spans="1:6" x14ac:dyDescent="0.3">
      <c r="A1503" t="s">
        <v>2542</v>
      </c>
      <c r="B1503" t="str">
        <f>"18705059171"</f>
        <v>18705059171</v>
      </c>
      <c r="C1503" t="str">
        <f>"350124199603124019"</f>
        <v>350124199603124019</v>
      </c>
      <c r="D1503" t="s">
        <v>2543</v>
      </c>
      <c r="E1503" t="s">
        <v>2544</v>
      </c>
      <c r="F1503" t="str">
        <f>"2018-11-28 22:01:06"</f>
        <v>2018-11-28 22:01:06</v>
      </c>
    </row>
    <row r="1504" spans="1:6" x14ac:dyDescent="0.3">
      <c r="A1504" t="s">
        <v>0</v>
      </c>
      <c r="B1504" t="str">
        <f>"17612450800"</f>
        <v>17612450800</v>
      </c>
      <c r="C1504" t="s">
        <v>0</v>
      </c>
      <c r="D1504" t="s">
        <v>0</v>
      </c>
      <c r="E1504" t="s">
        <v>0</v>
      </c>
      <c r="F1504" t="str">
        <f>"2018-11-28 22:00:39"</f>
        <v>2018-11-28 22:00:39</v>
      </c>
    </row>
    <row r="1505" spans="1:6" x14ac:dyDescent="0.3">
      <c r="A1505" t="s">
        <v>0</v>
      </c>
      <c r="B1505" t="str">
        <f>"15509066606"</f>
        <v>15509066606</v>
      </c>
      <c r="C1505" t="s">
        <v>0</v>
      </c>
      <c r="D1505" t="s">
        <v>0</v>
      </c>
      <c r="E1505" t="s">
        <v>0</v>
      </c>
      <c r="F1505" t="str">
        <f>"2018-11-28 21:57:10"</f>
        <v>2018-11-28 21:57:10</v>
      </c>
    </row>
    <row r="1506" spans="1:6" x14ac:dyDescent="0.3">
      <c r="A1506" t="s">
        <v>0</v>
      </c>
      <c r="B1506" t="str">
        <f>"17705907061"</f>
        <v>17705907061</v>
      </c>
      <c r="C1506" t="s">
        <v>0</v>
      </c>
      <c r="D1506" t="s">
        <v>0</v>
      </c>
      <c r="E1506" t="s">
        <v>0</v>
      </c>
      <c r="F1506" t="str">
        <f>"2018-11-28 21:49:32"</f>
        <v>2018-11-28 21:49:32</v>
      </c>
    </row>
    <row r="1507" spans="1:6" x14ac:dyDescent="0.3">
      <c r="A1507" t="s">
        <v>2545</v>
      </c>
      <c r="B1507" t="str">
        <f>"13887148992"</f>
        <v>13887148992</v>
      </c>
      <c r="C1507" t="str">
        <f>"530302199110251286"</f>
        <v>530302199110251286</v>
      </c>
      <c r="D1507" t="s">
        <v>2546</v>
      </c>
      <c r="E1507" t="s">
        <v>2547</v>
      </c>
      <c r="F1507" t="str">
        <f>"2018-11-28 21:48:08"</f>
        <v>2018-11-28 21:48:08</v>
      </c>
    </row>
    <row r="1508" spans="1:6" x14ac:dyDescent="0.3">
      <c r="A1508" t="s">
        <v>2548</v>
      </c>
      <c r="B1508" t="str">
        <f>"13127758753"</f>
        <v>13127758753</v>
      </c>
      <c r="C1508" t="str">
        <f>"32011419960308184X"</f>
        <v>32011419960308184X</v>
      </c>
      <c r="D1508" t="s">
        <v>2549</v>
      </c>
      <c r="E1508" t="s">
        <v>2550</v>
      </c>
      <c r="F1508" t="str">
        <f>"2018-11-28 21:47:24"</f>
        <v>2018-11-28 21:47:24</v>
      </c>
    </row>
    <row r="1509" spans="1:6" x14ac:dyDescent="0.3">
      <c r="A1509" t="s">
        <v>2551</v>
      </c>
      <c r="B1509" t="str">
        <f>"15661584644"</f>
        <v>15661584644</v>
      </c>
      <c r="C1509" t="str">
        <f>"150203198905221537"</f>
        <v>150203198905221537</v>
      </c>
      <c r="D1509" t="s">
        <v>2552</v>
      </c>
      <c r="E1509" t="s">
        <v>2553</v>
      </c>
      <c r="F1509" t="str">
        <f>"2018-11-28 21:44:32"</f>
        <v>2018-11-28 21:44:32</v>
      </c>
    </row>
    <row r="1510" spans="1:6" x14ac:dyDescent="0.3">
      <c r="A1510" t="s">
        <v>2554</v>
      </c>
      <c r="B1510" t="str">
        <f>"15246006368"</f>
        <v>15246006368</v>
      </c>
      <c r="C1510" t="str">
        <f>"230622199107160552"</f>
        <v>230622199107160552</v>
      </c>
      <c r="D1510" t="s">
        <v>2555</v>
      </c>
      <c r="E1510" t="s">
        <v>2556</v>
      </c>
      <c r="F1510" t="str">
        <f>"2018-11-28 21:42:38"</f>
        <v>2018-11-28 21:42:38</v>
      </c>
    </row>
    <row r="1511" spans="1:6" x14ac:dyDescent="0.3">
      <c r="A1511" t="s">
        <v>0</v>
      </c>
      <c r="B1511" t="str">
        <f>"13975497160"</f>
        <v>13975497160</v>
      </c>
      <c r="C1511" t="s">
        <v>0</v>
      </c>
      <c r="D1511" t="s">
        <v>0</v>
      </c>
      <c r="E1511" t="s">
        <v>0</v>
      </c>
      <c r="F1511" t="str">
        <f>"2018-11-28 21:42:06"</f>
        <v>2018-11-28 21:42:06</v>
      </c>
    </row>
    <row r="1512" spans="1:6" x14ac:dyDescent="0.3">
      <c r="A1512" t="s">
        <v>0</v>
      </c>
      <c r="B1512" t="str">
        <f>"18152183447"</f>
        <v>18152183447</v>
      </c>
      <c r="C1512" t="s">
        <v>0</v>
      </c>
      <c r="D1512" t="s">
        <v>0</v>
      </c>
      <c r="E1512" t="s">
        <v>0</v>
      </c>
      <c r="F1512" t="str">
        <f>"2018-11-28 21:40:20"</f>
        <v>2018-11-28 21:40:20</v>
      </c>
    </row>
    <row r="1513" spans="1:6" x14ac:dyDescent="0.3">
      <c r="A1513" t="s">
        <v>2557</v>
      </c>
      <c r="B1513" t="str">
        <f>"15185173142"</f>
        <v>15185173142</v>
      </c>
      <c r="C1513" t="str">
        <f>"520121198806016614"</f>
        <v>520121198806016614</v>
      </c>
      <c r="D1513" t="s">
        <v>2558</v>
      </c>
      <c r="E1513" t="s">
        <v>2559</v>
      </c>
      <c r="F1513" t="str">
        <f>"2018-11-28 21:39:38"</f>
        <v>2018-11-28 21:39:38</v>
      </c>
    </row>
    <row r="1514" spans="1:6" x14ac:dyDescent="0.3">
      <c r="A1514" t="s">
        <v>2560</v>
      </c>
      <c r="B1514" t="str">
        <f>"18396335891"</f>
        <v>18396335891</v>
      </c>
      <c r="C1514" t="str">
        <f>"350823198701307414"</f>
        <v>350823198701307414</v>
      </c>
      <c r="D1514" t="s">
        <v>2561</v>
      </c>
      <c r="E1514" t="s">
        <v>2562</v>
      </c>
      <c r="F1514" t="str">
        <f>"2018-11-28 21:38:01"</f>
        <v>2018-11-28 21:38:01</v>
      </c>
    </row>
    <row r="1515" spans="1:6" x14ac:dyDescent="0.3">
      <c r="A1515" t="s">
        <v>0</v>
      </c>
      <c r="B1515" t="str">
        <f>"17319906245"</f>
        <v>17319906245</v>
      </c>
      <c r="C1515" t="s">
        <v>0</v>
      </c>
      <c r="D1515" t="s">
        <v>0</v>
      </c>
      <c r="E1515" t="s">
        <v>0</v>
      </c>
      <c r="F1515" t="str">
        <f>"2018-11-28 21:36:16"</f>
        <v>2018-11-28 21:36:16</v>
      </c>
    </row>
    <row r="1516" spans="1:6" x14ac:dyDescent="0.3">
      <c r="A1516" t="s">
        <v>0</v>
      </c>
      <c r="B1516" t="str">
        <f>"13877676633"</f>
        <v>13877676633</v>
      </c>
      <c r="C1516" t="s">
        <v>0</v>
      </c>
      <c r="D1516" t="s">
        <v>0</v>
      </c>
      <c r="E1516" t="s">
        <v>0</v>
      </c>
      <c r="F1516" t="str">
        <f>"2018-11-28 21:35:25"</f>
        <v>2018-11-28 21:35:25</v>
      </c>
    </row>
    <row r="1517" spans="1:6" x14ac:dyDescent="0.3">
      <c r="A1517" t="s">
        <v>2563</v>
      </c>
      <c r="B1517" t="str">
        <f>"18744538558"</f>
        <v>18744538558</v>
      </c>
      <c r="C1517" t="str">
        <f>"220524199405290043"</f>
        <v>220524199405290043</v>
      </c>
      <c r="D1517" t="s">
        <v>0</v>
      </c>
      <c r="E1517" t="s">
        <v>0</v>
      </c>
      <c r="F1517" t="str">
        <f>"2018-11-28 21:34:49"</f>
        <v>2018-11-28 21:34:49</v>
      </c>
    </row>
    <row r="1518" spans="1:6" x14ac:dyDescent="0.3">
      <c r="A1518" t="s">
        <v>0</v>
      </c>
      <c r="B1518" t="str">
        <f>"13797507668"</f>
        <v>13797507668</v>
      </c>
      <c r="C1518" t="s">
        <v>0</v>
      </c>
      <c r="D1518" t="s">
        <v>0</v>
      </c>
      <c r="E1518" t="s">
        <v>0</v>
      </c>
      <c r="F1518" t="str">
        <f>"2018-11-28 21:33:51"</f>
        <v>2018-11-28 21:33:51</v>
      </c>
    </row>
    <row r="1519" spans="1:6" x14ac:dyDescent="0.3">
      <c r="A1519" t="s">
        <v>2564</v>
      </c>
      <c r="B1519" t="str">
        <f>"13342549960"</f>
        <v>13342549960</v>
      </c>
      <c r="C1519" t="str">
        <f>"430419198005247095"</f>
        <v>430419198005247095</v>
      </c>
      <c r="D1519" t="s">
        <v>0</v>
      </c>
      <c r="E1519" t="s">
        <v>0</v>
      </c>
      <c r="F1519" t="str">
        <f>"2018-11-28 21:33:18"</f>
        <v>2018-11-28 21:33:18</v>
      </c>
    </row>
    <row r="1520" spans="1:6" x14ac:dyDescent="0.3">
      <c r="A1520" t="s">
        <v>2565</v>
      </c>
      <c r="B1520" t="str">
        <f>"15823218984"</f>
        <v>15823218984</v>
      </c>
      <c r="C1520" t="str">
        <f>"37090219901210332X"</f>
        <v>37090219901210332X</v>
      </c>
      <c r="D1520" t="s">
        <v>2566</v>
      </c>
      <c r="E1520" t="s">
        <v>2567</v>
      </c>
      <c r="F1520" t="str">
        <f>"2018-11-28 21:32:35"</f>
        <v>2018-11-28 21:32:35</v>
      </c>
    </row>
    <row r="1521" spans="1:6" x14ac:dyDescent="0.3">
      <c r="A1521" t="s">
        <v>2568</v>
      </c>
      <c r="B1521" t="str">
        <f>"18682037207"</f>
        <v>18682037207</v>
      </c>
      <c r="C1521" t="str">
        <f>"440582198101066915"</f>
        <v>440582198101066915</v>
      </c>
      <c r="D1521" t="s">
        <v>2569</v>
      </c>
      <c r="E1521" t="s">
        <v>2570</v>
      </c>
      <c r="F1521" t="str">
        <f>"2018-11-28 21:28:51"</f>
        <v>2018-11-28 21:28:51</v>
      </c>
    </row>
    <row r="1522" spans="1:6" x14ac:dyDescent="0.3">
      <c r="A1522" t="s">
        <v>2571</v>
      </c>
      <c r="B1522" t="str">
        <f>"15105961673"</f>
        <v>15105961673</v>
      </c>
      <c r="C1522" t="str">
        <f>"500384199608166627"</f>
        <v>500384199608166627</v>
      </c>
      <c r="D1522" t="s">
        <v>2572</v>
      </c>
      <c r="E1522" t="s">
        <v>2573</v>
      </c>
      <c r="F1522" t="str">
        <f>"2018-11-28 21:28:34"</f>
        <v>2018-11-28 21:28:34</v>
      </c>
    </row>
    <row r="1523" spans="1:6" x14ac:dyDescent="0.3">
      <c r="A1523" t="s">
        <v>2574</v>
      </c>
      <c r="B1523" t="str">
        <f>"18839339532"</f>
        <v>18839339532</v>
      </c>
      <c r="C1523" t="str">
        <f>"410926199704151692"</f>
        <v>410926199704151692</v>
      </c>
      <c r="D1523" t="s">
        <v>0</v>
      </c>
      <c r="E1523" t="s">
        <v>0</v>
      </c>
      <c r="F1523" t="str">
        <f>"2018-11-28 21:26:46"</f>
        <v>2018-11-28 21:26:46</v>
      </c>
    </row>
    <row r="1524" spans="1:6" x14ac:dyDescent="0.3">
      <c r="A1524" t="s">
        <v>2575</v>
      </c>
      <c r="B1524" t="str">
        <f>"15825901009"</f>
        <v>15825901009</v>
      </c>
      <c r="C1524" t="str">
        <f>"500222199707067427"</f>
        <v>500222199707067427</v>
      </c>
      <c r="D1524" t="s">
        <v>2576</v>
      </c>
      <c r="E1524" t="s">
        <v>2577</v>
      </c>
      <c r="F1524" t="str">
        <f>"2018-11-28 21:23:01"</f>
        <v>2018-11-28 21:23:01</v>
      </c>
    </row>
    <row r="1525" spans="1:6" x14ac:dyDescent="0.3">
      <c r="A1525" t="s">
        <v>2578</v>
      </c>
      <c r="B1525" t="str">
        <f>"15951224723"</f>
        <v>15951224723</v>
      </c>
      <c r="C1525" t="str">
        <f>"320481199208110010"</f>
        <v>320481199208110010</v>
      </c>
      <c r="D1525" t="s">
        <v>2579</v>
      </c>
      <c r="E1525" t="s">
        <v>2580</v>
      </c>
      <c r="F1525" t="str">
        <f>"2018-11-28 21:22:46"</f>
        <v>2018-11-28 21:22:46</v>
      </c>
    </row>
    <row r="1526" spans="1:6" x14ac:dyDescent="0.3">
      <c r="A1526" t="s">
        <v>2581</v>
      </c>
      <c r="B1526" t="str">
        <f>"15008732831"</f>
        <v>15008732831</v>
      </c>
      <c r="C1526" t="str">
        <f>"532726199612080610"</f>
        <v>532726199612080610</v>
      </c>
      <c r="D1526" t="s">
        <v>2582</v>
      </c>
      <c r="E1526" t="s">
        <v>2583</v>
      </c>
      <c r="F1526" t="str">
        <f>"2018-11-28 21:21:06"</f>
        <v>2018-11-28 21:21:06</v>
      </c>
    </row>
    <row r="1527" spans="1:6" x14ac:dyDescent="0.3">
      <c r="A1527" t="s">
        <v>2584</v>
      </c>
      <c r="B1527" t="str">
        <f>"18552141764"</f>
        <v>18552141764</v>
      </c>
      <c r="C1527" t="str">
        <f>"320922199909136835"</f>
        <v>320922199909136835</v>
      </c>
      <c r="D1527" t="s">
        <v>2585</v>
      </c>
      <c r="E1527" t="s">
        <v>2586</v>
      </c>
      <c r="F1527" t="str">
        <f>"2018-11-28 21:16:43"</f>
        <v>2018-11-28 21:16:43</v>
      </c>
    </row>
    <row r="1528" spans="1:6" x14ac:dyDescent="0.3">
      <c r="A1528" t="s">
        <v>2587</v>
      </c>
      <c r="B1528" t="str">
        <f>"13318309852"</f>
        <v>13318309852</v>
      </c>
      <c r="C1528" t="str">
        <f>"452502198108071217"</f>
        <v>452502198108071217</v>
      </c>
      <c r="D1528" t="s">
        <v>2588</v>
      </c>
      <c r="E1528" t="s">
        <v>2589</v>
      </c>
      <c r="F1528" t="str">
        <f>"2018-11-28 21:16:06"</f>
        <v>2018-11-28 21:16:06</v>
      </c>
    </row>
    <row r="1529" spans="1:6" x14ac:dyDescent="0.3">
      <c r="A1529" t="s">
        <v>2590</v>
      </c>
      <c r="B1529" t="str">
        <f>"13724927334"</f>
        <v>13724927334</v>
      </c>
      <c r="C1529" t="str">
        <f>"452128200009223010"</f>
        <v>452128200009223010</v>
      </c>
      <c r="D1529" t="s">
        <v>2591</v>
      </c>
      <c r="E1529" t="s">
        <v>2592</v>
      </c>
      <c r="F1529" t="str">
        <f>"2018-11-28 21:13:58"</f>
        <v>2018-11-28 21:13:58</v>
      </c>
    </row>
    <row r="1530" spans="1:6" x14ac:dyDescent="0.3">
      <c r="A1530" t="s">
        <v>2593</v>
      </c>
      <c r="B1530" t="str">
        <f>"13481929978"</f>
        <v>13481929978</v>
      </c>
      <c r="C1530" t="str">
        <f>"450222199011240311"</f>
        <v>450222199011240311</v>
      </c>
      <c r="D1530" t="s">
        <v>2594</v>
      </c>
      <c r="E1530" t="s">
        <v>2595</v>
      </c>
      <c r="F1530" t="str">
        <f>"2018-11-28 21:13:29"</f>
        <v>2018-11-28 21:13:29</v>
      </c>
    </row>
    <row r="1531" spans="1:6" x14ac:dyDescent="0.3">
      <c r="A1531" t="s">
        <v>2596</v>
      </c>
      <c r="B1531" t="str">
        <f>"15173323607"</f>
        <v>15173323607</v>
      </c>
      <c r="C1531" t="str">
        <f>"430211197707282219"</f>
        <v>430211197707282219</v>
      </c>
      <c r="D1531" t="s">
        <v>2597</v>
      </c>
      <c r="E1531" t="s">
        <v>2598</v>
      </c>
      <c r="F1531" t="str">
        <f>"2018-11-28 21:13:26"</f>
        <v>2018-11-28 21:13:26</v>
      </c>
    </row>
    <row r="1532" spans="1:6" x14ac:dyDescent="0.3">
      <c r="A1532" t="s">
        <v>2599</v>
      </c>
      <c r="B1532" t="str">
        <f>"15915186320"</f>
        <v>15915186320</v>
      </c>
      <c r="C1532" t="str">
        <f>"441827198911227453"</f>
        <v>441827198911227453</v>
      </c>
      <c r="D1532" t="s">
        <v>2600</v>
      </c>
      <c r="E1532" t="s">
        <v>2601</v>
      </c>
      <c r="F1532" t="str">
        <f>"2018-11-28 21:12:05"</f>
        <v>2018-11-28 21:12:05</v>
      </c>
    </row>
    <row r="1533" spans="1:6" x14ac:dyDescent="0.3">
      <c r="A1533" t="s">
        <v>0</v>
      </c>
      <c r="B1533" t="str">
        <f>"18681672363"</f>
        <v>18681672363</v>
      </c>
      <c r="C1533" t="s">
        <v>0</v>
      </c>
      <c r="D1533" t="s">
        <v>0</v>
      </c>
      <c r="E1533" t="s">
        <v>0</v>
      </c>
      <c r="F1533" t="str">
        <f>"2018-11-28 21:11:41"</f>
        <v>2018-11-28 21:11:41</v>
      </c>
    </row>
    <row r="1534" spans="1:6" x14ac:dyDescent="0.3">
      <c r="A1534" t="s">
        <v>0</v>
      </c>
      <c r="B1534" t="str">
        <f>"17684833034"</f>
        <v>17684833034</v>
      </c>
      <c r="C1534" t="s">
        <v>0</v>
      </c>
      <c r="D1534" t="s">
        <v>0</v>
      </c>
      <c r="E1534" t="s">
        <v>0</v>
      </c>
      <c r="F1534" t="str">
        <f>"2018-11-28 21:10:18"</f>
        <v>2018-11-28 21:10:18</v>
      </c>
    </row>
    <row r="1535" spans="1:6" x14ac:dyDescent="0.3">
      <c r="A1535" t="s">
        <v>2602</v>
      </c>
      <c r="B1535" t="str">
        <f>"18257348600"</f>
        <v>18257348600</v>
      </c>
      <c r="C1535" t="str">
        <f>"330483198703250037"</f>
        <v>330483198703250037</v>
      </c>
      <c r="D1535" t="s">
        <v>2603</v>
      </c>
      <c r="E1535" t="s">
        <v>2604</v>
      </c>
      <c r="F1535" t="str">
        <f>"2018-11-28 21:09:40"</f>
        <v>2018-11-28 21:09:40</v>
      </c>
    </row>
    <row r="1536" spans="1:6" x14ac:dyDescent="0.3">
      <c r="A1536" t="s">
        <v>0</v>
      </c>
      <c r="B1536" t="str">
        <f>"17623007824"</f>
        <v>17623007824</v>
      </c>
      <c r="C1536" t="s">
        <v>0</v>
      </c>
      <c r="D1536" t="s">
        <v>0</v>
      </c>
      <c r="E1536" t="s">
        <v>0</v>
      </c>
      <c r="F1536" t="str">
        <f>"2018-11-28 21:07:29"</f>
        <v>2018-11-28 21:07:29</v>
      </c>
    </row>
    <row r="1537" spans="1:6" x14ac:dyDescent="0.3">
      <c r="A1537" t="s">
        <v>2605</v>
      </c>
      <c r="B1537" t="str">
        <f>"15177184014"</f>
        <v>15177184014</v>
      </c>
      <c r="C1537" t="str">
        <f>"450121199504163930"</f>
        <v>450121199504163930</v>
      </c>
      <c r="D1537" t="s">
        <v>2606</v>
      </c>
      <c r="E1537" t="s">
        <v>2607</v>
      </c>
      <c r="F1537" t="str">
        <f>"2018-11-28 21:06:50"</f>
        <v>2018-11-28 21:06:50</v>
      </c>
    </row>
    <row r="1538" spans="1:6" x14ac:dyDescent="0.3">
      <c r="A1538" t="s">
        <v>0</v>
      </c>
      <c r="B1538" t="str">
        <f>"13039464630"</f>
        <v>13039464630</v>
      </c>
      <c r="C1538" t="s">
        <v>0</v>
      </c>
      <c r="D1538" t="s">
        <v>0</v>
      </c>
      <c r="E1538" t="s">
        <v>0</v>
      </c>
      <c r="F1538" t="str">
        <f>"2018-11-28 21:06:38"</f>
        <v>2018-11-28 21:06:38</v>
      </c>
    </row>
    <row r="1539" spans="1:6" x14ac:dyDescent="0.3">
      <c r="A1539" t="s">
        <v>0</v>
      </c>
      <c r="B1539" t="str">
        <f>"18507786953"</f>
        <v>18507786953</v>
      </c>
      <c r="C1539" t="s">
        <v>0</v>
      </c>
      <c r="D1539" t="s">
        <v>0</v>
      </c>
      <c r="E1539" t="s">
        <v>0</v>
      </c>
      <c r="F1539" t="str">
        <f>"2018-11-28 21:06:17"</f>
        <v>2018-11-28 21:06:17</v>
      </c>
    </row>
    <row r="1540" spans="1:6" x14ac:dyDescent="0.3">
      <c r="A1540" t="s">
        <v>0</v>
      </c>
      <c r="B1540" t="str">
        <f>"13932398233"</f>
        <v>13932398233</v>
      </c>
      <c r="C1540" t="s">
        <v>0</v>
      </c>
      <c r="D1540" t="s">
        <v>0</v>
      </c>
      <c r="E1540" t="s">
        <v>0</v>
      </c>
      <c r="F1540" t="str">
        <f>"2018-11-28 21:03:59"</f>
        <v>2018-11-28 21:03:59</v>
      </c>
    </row>
    <row r="1541" spans="1:6" x14ac:dyDescent="0.3">
      <c r="A1541" t="s">
        <v>2608</v>
      </c>
      <c r="B1541" t="str">
        <f>"15851985572"</f>
        <v>15851985572</v>
      </c>
      <c r="C1541" t="str">
        <f>"320404198609262536"</f>
        <v>320404198609262536</v>
      </c>
      <c r="D1541" t="s">
        <v>2609</v>
      </c>
      <c r="E1541" t="s">
        <v>2610</v>
      </c>
      <c r="F1541" t="str">
        <f>"2018-11-28 21:03:50"</f>
        <v>2018-11-28 21:03:50</v>
      </c>
    </row>
    <row r="1542" spans="1:6" x14ac:dyDescent="0.3">
      <c r="A1542" t="s">
        <v>2611</v>
      </c>
      <c r="B1542" t="str">
        <f>"18607067752"</f>
        <v>18607067752</v>
      </c>
      <c r="C1542" t="str">
        <f>"362401199201203211"</f>
        <v>362401199201203211</v>
      </c>
      <c r="D1542" t="s">
        <v>2612</v>
      </c>
      <c r="E1542" t="s">
        <v>2613</v>
      </c>
      <c r="F1542" t="str">
        <f>"2018-11-28 20:59:42"</f>
        <v>2018-11-28 20:59:42</v>
      </c>
    </row>
    <row r="1543" spans="1:6" x14ac:dyDescent="0.3">
      <c r="A1543" t="s">
        <v>2614</v>
      </c>
      <c r="B1543" t="str">
        <f>"18343560879"</f>
        <v>18343560879</v>
      </c>
      <c r="C1543" t="str">
        <f>"220421198501273519"</f>
        <v>220421198501273519</v>
      </c>
      <c r="D1543" t="s">
        <v>2615</v>
      </c>
      <c r="E1543" t="s">
        <v>2616</v>
      </c>
      <c r="F1543" t="str">
        <f>"2018-11-28 20:59:11"</f>
        <v>2018-11-28 20:59:11</v>
      </c>
    </row>
    <row r="1544" spans="1:6" x14ac:dyDescent="0.3">
      <c r="A1544" t="s">
        <v>2617</v>
      </c>
      <c r="B1544" t="str">
        <f>"13644490000"</f>
        <v>13644490000</v>
      </c>
      <c r="C1544" t="str">
        <f>"220625199202041428"</f>
        <v>220625199202041428</v>
      </c>
      <c r="D1544" t="s">
        <v>2618</v>
      </c>
      <c r="E1544" t="s">
        <v>2619</v>
      </c>
      <c r="F1544" t="str">
        <f>"2018-11-28 20:58:55"</f>
        <v>2018-11-28 20:58:55</v>
      </c>
    </row>
    <row r="1545" spans="1:6" x14ac:dyDescent="0.3">
      <c r="A1545" t="s">
        <v>2620</v>
      </c>
      <c r="B1545" t="str">
        <f>"13587585054"</f>
        <v>13587585054</v>
      </c>
      <c r="C1545" t="str">
        <f>"360521198502038015"</f>
        <v>360521198502038015</v>
      </c>
      <c r="D1545" t="s">
        <v>2621</v>
      </c>
      <c r="E1545" t="s">
        <v>2621</v>
      </c>
      <c r="F1545" t="str">
        <f>"2018-11-28 20:58:38"</f>
        <v>2018-11-28 20:58:38</v>
      </c>
    </row>
    <row r="1546" spans="1:6" x14ac:dyDescent="0.3">
      <c r="A1546" t="s">
        <v>2622</v>
      </c>
      <c r="B1546" t="str">
        <f>"18385616120"</f>
        <v>18385616120</v>
      </c>
      <c r="C1546" t="str">
        <f>"522728199101062710"</f>
        <v>522728199101062710</v>
      </c>
      <c r="D1546" t="s">
        <v>2623</v>
      </c>
      <c r="E1546" t="s">
        <v>2624</v>
      </c>
      <c r="F1546" t="str">
        <f>"2018-11-28 20:58:12"</f>
        <v>2018-11-28 20:58:12</v>
      </c>
    </row>
    <row r="1547" spans="1:6" x14ac:dyDescent="0.3">
      <c r="A1547" t="s">
        <v>2625</v>
      </c>
      <c r="B1547" t="str">
        <f>"15622950553"</f>
        <v>15622950553</v>
      </c>
      <c r="C1547" t="str">
        <f>"422827198505130012"</f>
        <v>422827198505130012</v>
      </c>
      <c r="D1547" t="s">
        <v>0</v>
      </c>
      <c r="E1547" t="s">
        <v>0</v>
      </c>
      <c r="F1547" t="str">
        <f>"2018-11-28 20:58:03"</f>
        <v>2018-11-28 20:58:03</v>
      </c>
    </row>
    <row r="1548" spans="1:6" x14ac:dyDescent="0.3">
      <c r="A1548" t="s">
        <v>0</v>
      </c>
      <c r="B1548" t="str">
        <f>"13454058257"</f>
        <v>13454058257</v>
      </c>
      <c r="C1548" t="s">
        <v>0</v>
      </c>
      <c r="D1548" t="s">
        <v>0</v>
      </c>
      <c r="E1548" t="s">
        <v>0</v>
      </c>
      <c r="F1548" t="str">
        <f>"2018-11-28 20:57:04"</f>
        <v>2018-11-28 20:57:04</v>
      </c>
    </row>
    <row r="1549" spans="1:6" x14ac:dyDescent="0.3">
      <c r="A1549" t="s">
        <v>0</v>
      </c>
      <c r="B1549" t="str">
        <f>"13282529946"</f>
        <v>13282529946</v>
      </c>
      <c r="C1549" t="s">
        <v>0</v>
      </c>
      <c r="D1549" t="s">
        <v>0</v>
      </c>
      <c r="E1549" t="s">
        <v>0</v>
      </c>
      <c r="F1549" t="str">
        <f>"2018-11-28 20:53:00"</f>
        <v>2018-11-28 20:53:00</v>
      </c>
    </row>
    <row r="1550" spans="1:6" x14ac:dyDescent="0.3">
      <c r="A1550" t="s">
        <v>2626</v>
      </c>
      <c r="B1550" t="str">
        <f>"17705996747"</f>
        <v>17705996747</v>
      </c>
      <c r="C1550" t="str">
        <f>"350702199404227415"</f>
        <v>350702199404227415</v>
      </c>
      <c r="D1550" t="s">
        <v>2627</v>
      </c>
      <c r="E1550" t="s">
        <v>2628</v>
      </c>
      <c r="F1550" t="str">
        <f>"2018-11-28 20:51:10"</f>
        <v>2018-11-28 20:51:10</v>
      </c>
    </row>
    <row r="1551" spans="1:6" x14ac:dyDescent="0.3">
      <c r="A1551" t="s">
        <v>0</v>
      </c>
      <c r="B1551" t="str">
        <f>"13209935967"</f>
        <v>13209935967</v>
      </c>
      <c r="C1551" t="s">
        <v>0</v>
      </c>
      <c r="D1551" t="s">
        <v>0</v>
      </c>
      <c r="E1551" t="s">
        <v>0</v>
      </c>
      <c r="F1551" t="str">
        <f>"2018-11-28 20:50:58"</f>
        <v>2018-11-28 20:50:58</v>
      </c>
    </row>
    <row r="1552" spans="1:6" x14ac:dyDescent="0.3">
      <c r="A1552" t="s">
        <v>0</v>
      </c>
      <c r="B1552" t="str">
        <f>"18776517038"</f>
        <v>18776517038</v>
      </c>
      <c r="C1552" t="s">
        <v>0</v>
      </c>
      <c r="D1552" t="s">
        <v>0</v>
      </c>
      <c r="E1552" t="s">
        <v>0</v>
      </c>
      <c r="F1552" t="str">
        <f>"2018-11-28 20:49:41"</f>
        <v>2018-11-28 20:49:41</v>
      </c>
    </row>
    <row r="1553" spans="1:6" x14ac:dyDescent="0.3">
      <c r="A1553" t="s">
        <v>2629</v>
      </c>
      <c r="B1553" t="str">
        <f>"18608157141"</f>
        <v>18608157141</v>
      </c>
      <c r="C1553" t="str">
        <f>"510902197401079033"</f>
        <v>510902197401079033</v>
      </c>
      <c r="D1553" t="s">
        <v>2630</v>
      </c>
      <c r="E1553" t="s">
        <v>2631</v>
      </c>
      <c r="F1553" t="str">
        <f>"2018-11-28 20:49:31"</f>
        <v>2018-11-28 20:49:31</v>
      </c>
    </row>
    <row r="1554" spans="1:6" x14ac:dyDescent="0.3">
      <c r="A1554" t="s">
        <v>2632</v>
      </c>
      <c r="B1554" t="str">
        <f>"17687310849"</f>
        <v>17687310849</v>
      </c>
      <c r="C1554" t="str">
        <f>"452131199208110038"</f>
        <v>452131199208110038</v>
      </c>
      <c r="D1554" t="s">
        <v>2633</v>
      </c>
      <c r="E1554" t="s">
        <v>2634</v>
      </c>
      <c r="F1554" t="str">
        <f>"2018-11-28 20:48:14"</f>
        <v>2018-11-28 20:48:14</v>
      </c>
    </row>
    <row r="1555" spans="1:6" x14ac:dyDescent="0.3">
      <c r="A1555" t="s">
        <v>2635</v>
      </c>
      <c r="B1555" t="str">
        <f>"15882017362"</f>
        <v>15882017362</v>
      </c>
      <c r="C1555" t="str">
        <f>"513902199604103031"</f>
        <v>513902199604103031</v>
      </c>
      <c r="D1555" t="s">
        <v>2636</v>
      </c>
      <c r="E1555" t="s">
        <v>2637</v>
      </c>
      <c r="F1555" t="str">
        <f>"2018-11-28 20:47:42"</f>
        <v>2018-11-28 20:47:42</v>
      </c>
    </row>
    <row r="1556" spans="1:6" x14ac:dyDescent="0.3">
      <c r="A1556" t="s">
        <v>2075</v>
      </c>
      <c r="B1556" t="str">
        <f>"13993466982"</f>
        <v>13993466982</v>
      </c>
      <c r="C1556" t="str">
        <f>"62280119860628062X"</f>
        <v>62280119860628062X</v>
      </c>
      <c r="D1556" t="s">
        <v>2638</v>
      </c>
      <c r="E1556" t="s">
        <v>2639</v>
      </c>
      <c r="F1556" t="str">
        <f>"2018-11-28 20:46:06"</f>
        <v>2018-11-28 20:46:06</v>
      </c>
    </row>
    <row r="1557" spans="1:6" x14ac:dyDescent="0.3">
      <c r="A1557" t="s">
        <v>0</v>
      </c>
      <c r="B1557" t="str">
        <f>"13259927948"</f>
        <v>13259927948</v>
      </c>
      <c r="C1557" t="s">
        <v>0</v>
      </c>
      <c r="D1557" t="s">
        <v>0</v>
      </c>
      <c r="E1557" t="s">
        <v>0</v>
      </c>
      <c r="F1557" t="str">
        <f>"2018-11-28 20:46:05"</f>
        <v>2018-11-28 20:46:05</v>
      </c>
    </row>
    <row r="1558" spans="1:6" x14ac:dyDescent="0.3">
      <c r="A1558" t="s">
        <v>2640</v>
      </c>
      <c r="B1558" t="str">
        <f>"13518321092"</f>
        <v>13518321092</v>
      </c>
      <c r="C1558" t="str">
        <f>"510802198606110419"</f>
        <v>510802198606110419</v>
      </c>
      <c r="D1558" t="s">
        <v>2641</v>
      </c>
      <c r="E1558" t="s">
        <v>2642</v>
      </c>
      <c r="F1558" t="str">
        <f>"2018-11-28 20:43:39"</f>
        <v>2018-11-28 20:43:39</v>
      </c>
    </row>
    <row r="1559" spans="1:6" x14ac:dyDescent="0.3">
      <c r="A1559" t="s">
        <v>2643</v>
      </c>
      <c r="B1559" t="str">
        <f>"13699781449"</f>
        <v>13699781449</v>
      </c>
      <c r="C1559" t="str">
        <f>"431226198112052449"</f>
        <v>431226198112052449</v>
      </c>
      <c r="D1559" t="s">
        <v>2644</v>
      </c>
      <c r="E1559" t="s">
        <v>2645</v>
      </c>
      <c r="F1559" t="str">
        <f>"2018-11-28 20:43:33"</f>
        <v>2018-11-28 20:43:33</v>
      </c>
    </row>
    <row r="1560" spans="1:6" x14ac:dyDescent="0.3">
      <c r="A1560" t="s">
        <v>2646</v>
      </c>
      <c r="B1560" t="str">
        <f>"17616245676"</f>
        <v>17616245676</v>
      </c>
      <c r="C1560" t="str">
        <f>"370923199403280616"</f>
        <v>370923199403280616</v>
      </c>
      <c r="D1560" t="s">
        <v>2647</v>
      </c>
      <c r="E1560" t="s">
        <v>2648</v>
      </c>
      <c r="F1560" t="str">
        <f>"2018-11-28 20:43:23"</f>
        <v>2018-11-28 20:43:23</v>
      </c>
    </row>
    <row r="1561" spans="1:6" x14ac:dyDescent="0.3">
      <c r="A1561" t="s">
        <v>2649</v>
      </c>
      <c r="B1561" t="str">
        <f>"18911596270"</f>
        <v>18911596270</v>
      </c>
      <c r="C1561" t="str">
        <f>"330822199507026613"</f>
        <v>330822199507026613</v>
      </c>
      <c r="D1561" t="s">
        <v>2650</v>
      </c>
      <c r="E1561" t="s">
        <v>2651</v>
      </c>
      <c r="F1561" t="str">
        <f>"2018-11-28 20:43:17"</f>
        <v>2018-11-28 20:43:17</v>
      </c>
    </row>
    <row r="1562" spans="1:6" x14ac:dyDescent="0.3">
      <c r="A1562" t="s">
        <v>2652</v>
      </c>
      <c r="B1562" t="str">
        <f>"13663810729"</f>
        <v>13663810729</v>
      </c>
      <c r="C1562" t="str">
        <f>"410726199209160830"</f>
        <v>410726199209160830</v>
      </c>
      <c r="D1562" t="s">
        <v>2653</v>
      </c>
      <c r="E1562" t="s">
        <v>2654</v>
      </c>
      <c r="F1562" t="str">
        <f>"2018-11-28 20:42:47"</f>
        <v>2018-11-28 20:42:47</v>
      </c>
    </row>
    <row r="1563" spans="1:6" x14ac:dyDescent="0.3">
      <c r="A1563" t="s">
        <v>2655</v>
      </c>
      <c r="B1563" t="str">
        <f>"15960849080"</f>
        <v>15960849080</v>
      </c>
      <c r="C1563" t="str">
        <f>"362523199411290812"</f>
        <v>362523199411290812</v>
      </c>
      <c r="D1563" t="s">
        <v>2656</v>
      </c>
      <c r="E1563" t="s">
        <v>2657</v>
      </c>
      <c r="F1563" t="str">
        <f>"2018-11-28 20:40:17"</f>
        <v>2018-11-28 20:40:17</v>
      </c>
    </row>
    <row r="1564" spans="1:6" x14ac:dyDescent="0.3">
      <c r="A1564" t="s">
        <v>2658</v>
      </c>
      <c r="B1564" t="str">
        <f>"18777102307"</f>
        <v>18777102307</v>
      </c>
      <c r="C1564" t="str">
        <f>"450121199311266917"</f>
        <v>450121199311266917</v>
      </c>
      <c r="D1564" t="s">
        <v>0</v>
      </c>
      <c r="E1564" t="s">
        <v>0</v>
      </c>
      <c r="F1564" t="str">
        <f>"2018-11-28 20:39:43"</f>
        <v>2018-11-28 20:39:43</v>
      </c>
    </row>
    <row r="1565" spans="1:6" x14ac:dyDescent="0.3">
      <c r="A1565" t="s">
        <v>2659</v>
      </c>
      <c r="B1565" t="str">
        <f>"15171134212"</f>
        <v>15171134212</v>
      </c>
      <c r="C1565" t="str">
        <f>"421087199011134212"</f>
        <v>421087199011134212</v>
      </c>
      <c r="D1565" t="s">
        <v>2660</v>
      </c>
      <c r="E1565" t="s">
        <v>2661</v>
      </c>
      <c r="F1565" t="str">
        <f>"2018-11-28 20:38:59"</f>
        <v>2018-11-28 20:38:59</v>
      </c>
    </row>
    <row r="1566" spans="1:6" x14ac:dyDescent="0.3">
      <c r="A1566" t="s">
        <v>2662</v>
      </c>
      <c r="B1566" t="str">
        <f>"17677173744"</f>
        <v>17677173744</v>
      </c>
      <c r="C1566" t="str">
        <f>"452132200009133319"</f>
        <v>452132200009133319</v>
      </c>
      <c r="D1566" t="s">
        <v>2663</v>
      </c>
      <c r="E1566" t="s">
        <v>2663</v>
      </c>
      <c r="F1566" t="str">
        <f>"2018-11-28 20:38:55"</f>
        <v>2018-11-28 20:38:55</v>
      </c>
    </row>
    <row r="1567" spans="1:6" x14ac:dyDescent="0.3">
      <c r="A1567" t="s">
        <v>0</v>
      </c>
      <c r="B1567" t="str">
        <f>"18238063311"</f>
        <v>18238063311</v>
      </c>
      <c r="C1567" t="s">
        <v>0</v>
      </c>
      <c r="D1567" t="s">
        <v>0</v>
      </c>
      <c r="E1567" t="s">
        <v>0</v>
      </c>
      <c r="F1567" t="str">
        <f>"2018-11-28 20:38:52"</f>
        <v>2018-11-28 20:38:52</v>
      </c>
    </row>
    <row r="1568" spans="1:6" x14ac:dyDescent="0.3">
      <c r="A1568" t="s">
        <v>2664</v>
      </c>
      <c r="B1568" t="str">
        <f>"15569975666"</f>
        <v>15569975666</v>
      </c>
      <c r="C1568" t="str">
        <f>"622901198311224028"</f>
        <v>622901198311224028</v>
      </c>
      <c r="D1568" t="s">
        <v>2665</v>
      </c>
      <c r="E1568" t="s">
        <v>2666</v>
      </c>
      <c r="F1568" t="str">
        <f>"2018-11-28 20:38:03"</f>
        <v>2018-11-28 20:38:03</v>
      </c>
    </row>
    <row r="1569" spans="1:6" x14ac:dyDescent="0.3">
      <c r="A1569" t="s">
        <v>2667</v>
      </c>
      <c r="B1569" t="str">
        <f>"15031157239"</f>
        <v>15031157239</v>
      </c>
      <c r="C1569" t="str">
        <f>"130132199804151637"</f>
        <v>130132199804151637</v>
      </c>
      <c r="D1569" t="s">
        <v>2668</v>
      </c>
      <c r="E1569" t="s">
        <v>2669</v>
      </c>
      <c r="F1569" t="str">
        <f>"2018-11-28 20:37:47"</f>
        <v>2018-11-28 20:37:47</v>
      </c>
    </row>
    <row r="1570" spans="1:6" x14ac:dyDescent="0.3">
      <c r="A1570" t="s">
        <v>2670</v>
      </c>
      <c r="B1570" t="str">
        <f>"13635298376"</f>
        <v>13635298376</v>
      </c>
      <c r="C1570" t="str">
        <f>"352225199105170059"</f>
        <v>352225199105170059</v>
      </c>
      <c r="D1570" t="s">
        <v>2671</v>
      </c>
      <c r="E1570" t="s">
        <v>2672</v>
      </c>
      <c r="F1570" t="str">
        <f>"2018-11-28 20:36:46"</f>
        <v>2018-11-28 20:36:46</v>
      </c>
    </row>
    <row r="1571" spans="1:6" x14ac:dyDescent="0.3">
      <c r="A1571" t="s">
        <v>2673</v>
      </c>
      <c r="B1571" t="str">
        <f>"13059214396"</f>
        <v>13059214396</v>
      </c>
      <c r="C1571" t="str">
        <f>"440781199309133514"</f>
        <v>440781199309133514</v>
      </c>
      <c r="D1571" t="s">
        <v>2674</v>
      </c>
      <c r="E1571" t="s">
        <v>2675</v>
      </c>
      <c r="F1571" t="str">
        <f>"2018-11-28 20:36:44"</f>
        <v>2018-11-28 20:36:44</v>
      </c>
    </row>
    <row r="1572" spans="1:6" x14ac:dyDescent="0.3">
      <c r="A1572" t="s">
        <v>2676</v>
      </c>
      <c r="B1572" t="str">
        <f>"17688565169"</f>
        <v>17688565169</v>
      </c>
      <c r="C1572" t="str">
        <f>"450421199005263538"</f>
        <v>450421199005263538</v>
      </c>
      <c r="D1572" t="s">
        <v>0</v>
      </c>
      <c r="E1572" t="s">
        <v>0</v>
      </c>
      <c r="F1572" t="str">
        <f>"2018-11-28 20:36:20"</f>
        <v>2018-11-28 20:36:20</v>
      </c>
    </row>
    <row r="1573" spans="1:6" x14ac:dyDescent="0.3">
      <c r="A1573" t="s">
        <v>2677</v>
      </c>
      <c r="B1573" t="str">
        <f>"13792434566"</f>
        <v>13792434566</v>
      </c>
      <c r="C1573" t="str">
        <f>"220521198706088718"</f>
        <v>220521198706088718</v>
      </c>
      <c r="D1573" t="s">
        <v>2678</v>
      </c>
      <c r="E1573" t="s">
        <v>2679</v>
      </c>
      <c r="F1573" t="str">
        <f>"2018-11-28 20:36:15"</f>
        <v>2018-11-28 20:36:15</v>
      </c>
    </row>
    <row r="1574" spans="1:6" x14ac:dyDescent="0.3">
      <c r="A1574" t="s">
        <v>2680</v>
      </c>
      <c r="B1574" t="str">
        <f>"15874100087"</f>
        <v>15874100087</v>
      </c>
      <c r="C1574" t="str">
        <f>"23213119890408259X"</f>
        <v>23213119890408259X</v>
      </c>
      <c r="D1574" t="s">
        <v>2681</v>
      </c>
      <c r="E1574" t="s">
        <v>2682</v>
      </c>
      <c r="F1574" t="str">
        <f>"2018-11-28 20:35:59"</f>
        <v>2018-11-28 20:35:59</v>
      </c>
    </row>
    <row r="1575" spans="1:6" x14ac:dyDescent="0.3">
      <c r="A1575" t="s">
        <v>2683</v>
      </c>
      <c r="B1575" t="str">
        <f>"15831104520"</f>
        <v>15831104520</v>
      </c>
      <c r="C1575" t="str">
        <f>"13018219860213001X"</f>
        <v>13018219860213001X</v>
      </c>
      <c r="D1575" t="s">
        <v>2684</v>
      </c>
      <c r="E1575" t="s">
        <v>2685</v>
      </c>
      <c r="F1575" t="str">
        <f>"2018-11-28 20:35:43"</f>
        <v>2018-11-28 20:35:43</v>
      </c>
    </row>
    <row r="1576" spans="1:6" x14ac:dyDescent="0.3">
      <c r="A1576" t="s">
        <v>0</v>
      </c>
      <c r="B1576" t="str">
        <f>"15677414639"</f>
        <v>15677414639</v>
      </c>
      <c r="C1576" t="s">
        <v>0</v>
      </c>
      <c r="D1576" t="s">
        <v>0</v>
      </c>
      <c r="E1576" t="s">
        <v>0</v>
      </c>
      <c r="F1576" t="str">
        <f>"2018-11-28 20:35:20"</f>
        <v>2018-11-28 20:35:20</v>
      </c>
    </row>
    <row r="1577" spans="1:6" x14ac:dyDescent="0.3">
      <c r="A1577" t="s">
        <v>2686</v>
      </c>
      <c r="B1577" t="str">
        <f>"18249113210"</f>
        <v>18249113210</v>
      </c>
      <c r="C1577" t="str">
        <f>"23062219990305585X"</f>
        <v>23062219990305585X</v>
      </c>
      <c r="D1577" t="s">
        <v>2687</v>
      </c>
      <c r="E1577" t="s">
        <v>2688</v>
      </c>
      <c r="F1577" t="str">
        <f>"2018-11-28 20:35:16"</f>
        <v>2018-11-28 20:35:16</v>
      </c>
    </row>
    <row r="1578" spans="1:6" x14ac:dyDescent="0.3">
      <c r="A1578" t="s">
        <v>2689</v>
      </c>
      <c r="B1578" t="str">
        <f>"18740939510"</f>
        <v>18740939510</v>
      </c>
      <c r="C1578" t="str">
        <f>"622421199102135216"</f>
        <v>622421199102135216</v>
      </c>
      <c r="D1578" t="s">
        <v>2690</v>
      </c>
      <c r="E1578" t="s">
        <v>2691</v>
      </c>
      <c r="F1578" t="str">
        <f>"2018-11-28 20:33:43"</f>
        <v>2018-11-28 20:33:43</v>
      </c>
    </row>
    <row r="1579" spans="1:6" x14ac:dyDescent="0.3">
      <c r="A1579" t="s">
        <v>2692</v>
      </c>
      <c r="B1579" t="str">
        <f>"18878663465"</f>
        <v>18878663465</v>
      </c>
      <c r="C1579" t="str">
        <f>"452126199112042412"</f>
        <v>452126199112042412</v>
      </c>
      <c r="D1579" t="s">
        <v>0</v>
      </c>
      <c r="E1579" t="s">
        <v>0</v>
      </c>
      <c r="F1579" t="str">
        <f>"2018-11-28 20:33:39"</f>
        <v>2018-11-28 20:33:39</v>
      </c>
    </row>
    <row r="1580" spans="1:6" x14ac:dyDescent="0.3">
      <c r="A1580" t="s">
        <v>0</v>
      </c>
      <c r="B1580" t="str">
        <f>"13706049045"</f>
        <v>13706049045</v>
      </c>
      <c r="C1580" t="s">
        <v>0</v>
      </c>
      <c r="D1580" t="s">
        <v>0</v>
      </c>
      <c r="E1580" t="s">
        <v>0</v>
      </c>
      <c r="F1580" t="str">
        <f>"2018-11-28 20:31:42"</f>
        <v>2018-11-28 20:31:42</v>
      </c>
    </row>
    <row r="1581" spans="1:6" x14ac:dyDescent="0.3">
      <c r="A1581" t="s">
        <v>2693</v>
      </c>
      <c r="B1581" t="str">
        <f>"13990436538"</f>
        <v>13990436538</v>
      </c>
      <c r="C1581" t="str">
        <f>"51322419940915196X"</f>
        <v>51322419940915196X</v>
      </c>
      <c r="D1581" t="s">
        <v>2694</v>
      </c>
      <c r="E1581" t="s">
        <v>2695</v>
      </c>
      <c r="F1581" t="str">
        <f>"2018-11-28 20:31:21"</f>
        <v>2018-11-28 20:31:21</v>
      </c>
    </row>
    <row r="1582" spans="1:6" x14ac:dyDescent="0.3">
      <c r="A1582" t="s">
        <v>2696</v>
      </c>
      <c r="B1582" t="str">
        <f>"15238203181"</f>
        <v>15238203181</v>
      </c>
      <c r="C1582" t="str">
        <f>"410403199502185534"</f>
        <v>410403199502185534</v>
      </c>
      <c r="D1582" t="s">
        <v>2697</v>
      </c>
      <c r="E1582" t="s">
        <v>2698</v>
      </c>
      <c r="F1582" t="str">
        <f>"2018-11-28 20:30:05"</f>
        <v>2018-11-28 20:30:05</v>
      </c>
    </row>
    <row r="1583" spans="1:6" x14ac:dyDescent="0.3">
      <c r="A1583" t="s">
        <v>2699</v>
      </c>
      <c r="B1583" t="str">
        <f>"18858226935"</f>
        <v>18858226935</v>
      </c>
      <c r="C1583" t="str">
        <f>"330822199209060311"</f>
        <v>330822199209060311</v>
      </c>
      <c r="D1583" t="s">
        <v>2700</v>
      </c>
      <c r="E1583" t="s">
        <v>2701</v>
      </c>
      <c r="F1583" t="str">
        <f>"2018-11-28 20:29:54"</f>
        <v>2018-11-28 20:29:54</v>
      </c>
    </row>
    <row r="1584" spans="1:6" x14ac:dyDescent="0.3">
      <c r="A1584" t="s">
        <v>0</v>
      </c>
      <c r="B1584" t="str">
        <f>"18235687441"</f>
        <v>18235687441</v>
      </c>
      <c r="C1584" t="s">
        <v>0</v>
      </c>
      <c r="D1584" t="s">
        <v>0</v>
      </c>
      <c r="E1584" t="s">
        <v>0</v>
      </c>
      <c r="F1584" t="str">
        <f>"2018-11-28 20:26:38"</f>
        <v>2018-11-28 20:26:38</v>
      </c>
    </row>
    <row r="1585" spans="1:6" x14ac:dyDescent="0.3">
      <c r="A1585" t="s">
        <v>2702</v>
      </c>
      <c r="B1585" t="str">
        <f>"18452532364"</f>
        <v>18452532364</v>
      </c>
      <c r="C1585" t="str">
        <f>"32132219990701201X"</f>
        <v>32132219990701201X</v>
      </c>
      <c r="D1585" t="s">
        <v>0</v>
      </c>
      <c r="E1585" t="s">
        <v>0</v>
      </c>
      <c r="F1585" t="str">
        <f>"2018-11-28 20:25:22"</f>
        <v>2018-11-28 20:25:22</v>
      </c>
    </row>
    <row r="1586" spans="1:6" x14ac:dyDescent="0.3">
      <c r="A1586" t="s">
        <v>2703</v>
      </c>
      <c r="B1586" t="str">
        <f>"15236601751"</f>
        <v>15236601751</v>
      </c>
      <c r="C1586" t="str">
        <f>"410721198602215010"</f>
        <v>410721198602215010</v>
      </c>
      <c r="D1586" t="s">
        <v>0</v>
      </c>
      <c r="E1586" t="s">
        <v>0</v>
      </c>
      <c r="F1586" t="str">
        <f>"2018-11-28 20:24:37"</f>
        <v>2018-11-28 20:24:37</v>
      </c>
    </row>
    <row r="1587" spans="1:6" x14ac:dyDescent="0.3">
      <c r="A1587" t="s">
        <v>0</v>
      </c>
      <c r="B1587" t="str">
        <f>"15240659862"</f>
        <v>15240659862</v>
      </c>
      <c r="C1587" t="s">
        <v>0</v>
      </c>
      <c r="D1587" t="s">
        <v>0</v>
      </c>
      <c r="E1587" t="s">
        <v>0</v>
      </c>
      <c r="F1587" t="str">
        <f>"2018-11-28 20:22:56"</f>
        <v>2018-11-28 20:22:56</v>
      </c>
    </row>
    <row r="1588" spans="1:6" x14ac:dyDescent="0.3">
      <c r="A1588" t="s">
        <v>2704</v>
      </c>
      <c r="B1588" t="str">
        <f>"13753270026"</f>
        <v>13753270026</v>
      </c>
      <c r="C1588" t="str">
        <f>"140211199406131337"</f>
        <v>140211199406131337</v>
      </c>
      <c r="D1588" t="s">
        <v>2705</v>
      </c>
      <c r="E1588" t="s">
        <v>2706</v>
      </c>
      <c r="F1588" t="str">
        <f>"2018-11-28 20:22:43"</f>
        <v>2018-11-28 20:22:43</v>
      </c>
    </row>
    <row r="1589" spans="1:6" x14ac:dyDescent="0.3">
      <c r="A1589" t="s">
        <v>2707</v>
      </c>
      <c r="B1589" t="str">
        <f>"18295526677"</f>
        <v>18295526677</v>
      </c>
      <c r="C1589" t="str">
        <f>"640203199106190026"</f>
        <v>640203199106190026</v>
      </c>
      <c r="D1589" t="s">
        <v>2708</v>
      </c>
      <c r="E1589" t="s">
        <v>2709</v>
      </c>
      <c r="F1589" t="str">
        <f>"2018-11-28 20:22:41"</f>
        <v>2018-11-28 20:22:41</v>
      </c>
    </row>
    <row r="1590" spans="1:6" x14ac:dyDescent="0.3">
      <c r="A1590" t="s">
        <v>2710</v>
      </c>
      <c r="B1590" t="str">
        <f>"18092334374"</f>
        <v>18092334374</v>
      </c>
      <c r="C1590" t="str">
        <f>"610112198904053035"</f>
        <v>610112198904053035</v>
      </c>
      <c r="D1590" t="s">
        <v>2711</v>
      </c>
      <c r="E1590" t="s">
        <v>2712</v>
      </c>
      <c r="F1590" t="str">
        <f>"2018-11-28 20:22:35"</f>
        <v>2018-11-28 20:22:35</v>
      </c>
    </row>
    <row r="1591" spans="1:6" x14ac:dyDescent="0.3">
      <c r="A1591" t="s">
        <v>0</v>
      </c>
      <c r="B1591" t="str">
        <f>"18859330692"</f>
        <v>18859330692</v>
      </c>
      <c r="C1591" t="s">
        <v>0</v>
      </c>
      <c r="D1591" t="s">
        <v>0</v>
      </c>
      <c r="E1591" t="s">
        <v>0</v>
      </c>
      <c r="F1591" t="str">
        <f>"2018-11-28 20:22:09"</f>
        <v>2018-11-28 20:22:09</v>
      </c>
    </row>
    <row r="1592" spans="1:6" x14ac:dyDescent="0.3">
      <c r="A1592" t="s">
        <v>2713</v>
      </c>
      <c r="B1592" t="str">
        <f>"18663500779"</f>
        <v>18663500779</v>
      </c>
      <c r="C1592" t="str">
        <f>"372522198303112657"</f>
        <v>372522198303112657</v>
      </c>
      <c r="D1592" t="s">
        <v>2714</v>
      </c>
      <c r="E1592" t="s">
        <v>2715</v>
      </c>
      <c r="F1592" t="str">
        <f>"2018-11-28 20:20:05"</f>
        <v>2018-11-28 20:20:05</v>
      </c>
    </row>
    <row r="1593" spans="1:6" x14ac:dyDescent="0.3">
      <c r="A1593" t="s">
        <v>0</v>
      </c>
      <c r="B1593" t="str">
        <f>"13588871860"</f>
        <v>13588871860</v>
      </c>
      <c r="C1593" t="s">
        <v>0</v>
      </c>
      <c r="D1593" t="s">
        <v>0</v>
      </c>
      <c r="E1593" t="s">
        <v>0</v>
      </c>
      <c r="F1593" t="str">
        <f>"2018-11-28 20:19:51"</f>
        <v>2018-11-28 20:19:51</v>
      </c>
    </row>
    <row r="1594" spans="1:6" x14ac:dyDescent="0.3">
      <c r="A1594" t="s">
        <v>2716</v>
      </c>
      <c r="B1594" t="str">
        <f>"13107988379"</f>
        <v>13107988379</v>
      </c>
      <c r="C1594" t="str">
        <f>"35092119930628001X"</f>
        <v>35092119930628001X</v>
      </c>
      <c r="D1594" t="s">
        <v>2717</v>
      </c>
      <c r="E1594" t="s">
        <v>2718</v>
      </c>
      <c r="F1594" t="str">
        <f>"2018-11-28 20:19:12"</f>
        <v>2018-11-28 20:19:12</v>
      </c>
    </row>
    <row r="1595" spans="1:6" x14ac:dyDescent="0.3">
      <c r="A1595" t="s">
        <v>2719</v>
      </c>
      <c r="B1595" t="str">
        <f>"18010901910"</f>
        <v>18010901910</v>
      </c>
      <c r="C1595" t="str">
        <f>"341103198909214036"</f>
        <v>341103198909214036</v>
      </c>
      <c r="D1595" t="s">
        <v>0</v>
      </c>
      <c r="E1595" t="s">
        <v>0</v>
      </c>
      <c r="F1595" t="str">
        <f>"2018-11-28 20:18:36"</f>
        <v>2018-11-28 20:18:36</v>
      </c>
    </row>
    <row r="1596" spans="1:6" x14ac:dyDescent="0.3">
      <c r="A1596" t="s">
        <v>2720</v>
      </c>
      <c r="B1596" t="str">
        <f>"17727848286"</f>
        <v>17727848286</v>
      </c>
      <c r="C1596" t="str">
        <f>"430525198111142732"</f>
        <v>430525198111142732</v>
      </c>
      <c r="D1596" t="s">
        <v>0</v>
      </c>
      <c r="E1596" t="s">
        <v>0</v>
      </c>
      <c r="F1596" t="str">
        <f>"2018-11-28 20:18:22"</f>
        <v>2018-11-28 20:18:22</v>
      </c>
    </row>
    <row r="1597" spans="1:6" x14ac:dyDescent="0.3">
      <c r="A1597" t="s">
        <v>2721</v>
      </c>
      <c r="B1597" t="str">
        <f>"18260247798"</f>
        <v>18260247798</v>
      </c>
      <c r="C1597" t="str">
        <f>"341021199311254350"</f>
        <v>341021199311254350</v>
      </c>
      <c r="D1597" t="s">
        <v>2722</v>
      </c>
      <c r="E1597" t="s">
        <v>2723</v>
      </c>
      <c r="F1597" t="str">
        <f>"2018-11-28 20:14:24"</f>
        <v>2018-11-28 20:14:24</v>
      </c>
    </row>
    <row r="1598" spans="1:6" x14ac:dyDescent="0.3">
      <c r="A1598" t="s">
        <v>0</v>
      </c>
      <c r="B1598" t="str">
        <f>"13250706045"</f>
        <v>13250706045</v>
      </c>
      <c r="C1598" t="s">
        <v>0</v>
      </c>
      <c r="D1598" t="s">
        <v>0</v>
      </c>
      <c r="E1598" t="s">
        <v>0</v>
      </c>
      <c r="F1598" t="str">
        <f>"2018-11-28 20:13:21"</f>
        <v>2018-11-28 20:13:21</v>
      </c>
    </row>
    <row r="1599" spans="1:6" x14ac:dyDescent="0.3">
      <c r="A1599" t="s">
        <v>0</v>
      </c>
      <c r="B1599" t="str">
        <f>"13731098833"</f>
        <v>13731098833</v>
      </c>
      <c r="C1599" t="s">
        <v>0</v>
      </c>
      <c r="D1599" t="s">
        <v>0</v>
      </c>
      <c r="E1599" t="s">
        <v>0</v>
      </c>
      <c r="F1599" t="str">
        <f>"2018-11-28 20:13:11"</f>
        <v>2018-11-28 20:13:11</v>
      </c>
    </row>
    <row r="1600" spans="1:6" x14ac:dyDescent="0.3">
      <c r="A1600" t="s">
        <v>2724</v>
      </c>
      <c r="B1600" t="str">
        <f>"15089822895"</f>
        <v>15089822895</v>
      </c>
      <c r="C1600" t="str">
        <f>"440105197406215716"</f>
        <v>440105197406215716</v>
      </c>
      <c r="D1600" t="s">
        <v>0</v>
      </c>
      <c r="E1600" t="s">
        <v>0</v>
      </c>
      <c r="F1600" t="str">
        <f>"2018-11-28 20:12:52"</f>
        <v>2018-11-28 20:12:52</v>
      </c>
    </row>
    <row r="1601" spans="1:6" x14ac:dyDescent="0.3">
      <c r="A1601" t="s">
        <v>2725</v>
      </c>
      <c r="B1601" t="str">
        <f>"18906445072"</f>
        <v>18906445072</v>
      </c>
      <c r="C1601" t="str">
        <f>"142301199607310539"</f>
        <v>142301199607310539</v>
      </c>
      <c r="D1601" t="s">
        <v>0</v>
      </c>
      <c r="E1601" t="s">
        <v>0</v>
      </c>
      <c r="F1601" t="str">
        <f>"2018-11-28 20:12:38"</f>
        <v>2018-11-28 20:12:38</v>
      </c>
    </row>
    <row r="1602" spans="1:6" x14ac:dyDescent="0.3">
      <c r="A1602" t="s">
        <v>2726</v>
      </c>
      <c r="B1602" t="str">
        <f>"13224131205"</f>
        <v>13224131205</v>
      </c>
      <c r="C1602" t="str">
        <f>"210421199510281011"</f>
        <v>210421199510281011</v>
      </c>
      <c r="D1602" t="s">
        <v>0</v>
      </c>
      <c r="E1602" t="s">
        <v>0</v>
      </c>
      <c r="F1602" t="str">
        <f>"2018-11-28 20:11:55"</f>
        <v>2018-11-28 20:11:55</v>
      </c>
    </row>
    <row r="1603" spans="1:6" x14ac:dyDescent="0.3">
      <c r="A1603" t="s">
        <v>0</v>
      </c>
      <c r="B1603" t="str">
        <f>"15661111419"</f>
        <v>15661111419</v>
      </c>
      <c r="C1603" t="s">
        <v>0</v>
      </c>
      <c r="D1603" t="s">
        <v>0</v>
      </c>
      <c r="E1603" t="s">
        <v>0</v>
      </c>
      <c r="F1603" t="str">
        <f>"2018-11-28 20:11:49"</f>
        <v>2018-11-28 20:11:49</v>
      </c>
    </row>
    <row r="1604" spans="1:6" x14ac:dyDescent="0.3">
      <c r="A1604" t="s">
        <v>0</v>
      </c>
      <c r="B1604" t="str">
        <f>"15931396135"</f>
        <v>15931396135</v>
      </c>
      <c r="C1604" t="s">
        <v>0</v>
      </c>
      <c r="D1604" t="s">
        <v>0</v>
      </c>
      <c r="E1604" t="s">
        <v>0</v>
      </c>
      <c r="F1604" t="str">
        <f>"2018-11-28 20:11:46"</f>
        <v>2018-11-28 20:11:46</v>
      </c>
    </row>
    <row r="1605" spans="1:6" x14ac:dyDescent="0.3">
      <c r="A1605" t="s">
        <v>0</v>
      </c>
      <c r="B1605" t="str">
        <f>"13722613988"</f>
        <v>13722613988</v>
      </c>
      <c r="C1605" t="s">
        <v>0</v>
      </c>
      <c r="D1605" t="s">
        <v>0</v>
      </c>
      <c r="E1605" t="s">
        <v>0</v>
      </c>
      <c r="F1605" t="str">
        <f>"2018-11-28 20:11:20"</f>
        <v>2018-11-28 20:11:20</v>
      </c>
    </row>
    <row r="1606" spans="1:6" x14ac:dyDescent="0.3">
      <c r="A1606" t="s">
        <v>0</v>
      </c>
      <c r="B1606" t="str">
        <f>"17680340516"</f>
        <v>17680340516</v>
      </c>
      <c r="C1606" t="s">
        <v>0</v>
      </c>
      <c r="D1606" t="s">
        <v>0</v>
      </c>
      <c r="E1606" t="s">
        <v>0</v>
      </c>
      <c r="F1606" t="str">
        <f>"2018-11-28 20:09:28"</f>
        <v>2018-11-28 20:09:28</v>
      </c>
    </row>
    <row r="1607" spans="1:6" x14ac:dyDescent="0.3">
      <c r="A1607" t="s">
        <v>0</v>
      </c>
      <c r="B1607" t="str">
        <f>"18709686535"</f>
        <v>18709686535</v>
      </c>
      <c r="C1607" t="s">
        <v>0</v>
      </c>
      <c r="D1607" t="s">
        <v>0</v>
      </c>
      <c r="E1607" t="s">
        <v>0</v>
      </c>
      <c r="F1607" t="str">
        <f>"2018-11-28 20:09:10"</f>
        <v>2018-11-28 20:09:10</v>
      </c>
    </row>
    <row r="1608" spans="1:6" x14ac:dyDescent="0.3">
      <c r="A1608" t="s">
        <v>0</v>
      </c>
      <c r="B1608" t="str">
        <f>"18856276523"</f>
        <v>18856276523</v>
      </c>
      <c r="C1608" t="s">
        <v>0</v>
      </c>
      <c r="D1608" t="s">
        <v>0</v>
      </c>
      <c r="E1608" t="s">
        <v>0</v>
      </c>
      <c r="F1608" t="str">
        <f>"2018-11-28 20:08:34"</f>
        <v>2018-11-28 20:08:34</v>
      </c>
    </row>
    <row r="1609" spans="1:6" x14ac:dyDescent="0.3">
      <c r="A1609" t="s">
        <v>2727</v>
      </c>
      <c r="B1609" t="str">
        <f>"17695073877"</f>
        <v>17695073877</v>
      </c>
      <c r="C1609" t="str">
        <f>"642223199608153935"</f>
        <v>642223199608153935</v>
      </c>
      <c r="D1609" t="s">
        <v>2728</v>
      </c>
      <c r="E1609" t="s">
        <v>2729</v>
      </c>
      <c r="F1609" t="str">
        <f>"2018-11-28 20:07:50"</f>
        <v>2018-11-28 20:07:50</v>
      </c>
    </row>
    <row r="1610" spans="1:6" x14ac:dyDescent="0.3">
      <c r="A1610" t="s">
        <v>0</v>
      </c>
      <c r="B1610" t="str">
        <f>"18598819279"</f>
        <v>18598819279</v>
      </c>
      <c r="C1610" t="s">
        <v>0</v>
      </c>
      <c r="D1610" t="s">
        <v>0</v>
      </c>
      <c r="E1610" t="s">
        <v>0</v>
      </c>
      <c r="F1610" t="str">
        <f>"2018-11-28 20:06:15"</f>
        <v>2018-11-28 20:06:15</v>
      </c>
    </row>
    <row r="1611" spans="1:6" x14ac:dyDescent="0.3">
      <c r="A1611" t="s">
        <v>0</v>
      </c>
      <c r="B1611" t="str">
        <f>"17602264969"</f>
        <v>17602264969</v>
      </c>
      <c r="C1611" t="s">
        <v>0</v>
      </c>
      <c r="D1611" t="s">
        <v>0</v>
      </c>
      <c r="E1611" t="s">
        <v>0</v>
      </c>
      <c r="F1611" t="str">
        <f>"2018-11-28 20:05:19"</f>
        <v>2018-11-28 20:05:19</v>
      </c>
    </row>
    <row r="1612" spans="1:6" x14ac:dyDescent="0.3">
      <c r="A1612" t="s">
        <v>2730</v>
      </c>
      <c r="B1612" t="str">
        <f>"17635037024"</f>
        <v>17635037024</v>
      </c>
      <c r="C1612" t="str">
        <f>"142201199909026458"</f>
        <v>142201199909026458</v>
      </c>
      <c r="D1612" t="s">
        <v>0</v>
      </c>
      <c r="E1612" t="s">
        <v>0</v>
      </c>
      <c r="F1612" t="str">
        <f>"2018-11-28 20:04:40"</f>
        <v>2018-11-28 20:04:40</v>
      </c>
    </row>
    <row r="1613" spans="1:6" x14ac:dyDescent="0.3">
      <c r="A1613" t="s">
        <v>0</v>
      </c>
      <c r="B1613" t="str">
        <f>"18831757489"</f>
        <v>18831757489</v>
      </c>
      <c r="C1613" t="s">
        <v>0</v>
      </c>
      <c r="D1613" t="s">
        <v>0</v>
      </c>
      <c r="E1613" t="s">
        <v>0</v>
      </c>
      <c r="F1613" t="str">
        <f>"2018-11-28 20:04:23"</f>
        <v>2018-11-28 20:04:23</v>
      </c>
    </row>
    <row r="1614" spans="1:6" x14ac:dyDescent="0.3">
      <c r="A1614" t="s">
        <v>0</v>
      </c>
      <c r="B1614" t="str">
        <f>"13770380500"</f>
        <v>13770380500</v>
      </c>
      <c r="C1614" t="s">
        <v>0</v>
      </c>
      <c r="D1614" t="s">
        <v>0</v>
      </c>
      <c r="E1614" t="s">
        <v>0</v>
      </c>
      <c r="F1614" t="str">
        <f>"2018-11-28 20:03:53"</f>
        <v>2018-11-28 20:03:53</v>
      </c>
    </row>
    <row r="1615" spans="1:6" x14ac:dyDescent="0.3">
      <c r="A1615" t="s">
        <v>2731</v>
      </c>
      <c r="B1615" t="str">
        <f>"17157335225"</f>
        <v>17157335225</v>
      </c>
      <c r="C1615" t="str">
        <f>"210403199601280329"</f>
        <v>210403199601280329</v>
      </c>
      <c r="D1615" t="s">
        <v>0</v>
      </c>
      <c r="E1615" t="s">
        <v>0</v>
      </c>
      <c r="F1615" t="str">
        <f>"2018-11-28 20:03:52"</f>
        <v>2018-11-28 20:03:52</v>
      </c>
    </row>
    <row r="1616" spans="1:6" x14ac:dyDescent="0.3">
      <c r="A1616" t="s">
        <v>0</v>
      </c>
      <c r="B1616" t="str">
        <f>"18689888152"</f>
        <v>18689888152</v>
      </c>
      <c r="C1616" t="s">
        <v>0</v>
      </c>
      <c r="D1616" t="s">
        <v>0</v>
      </c>
      <c r="E1616" t="s">
        <v>0</v>
      </c>
      <c r="F1616" t="str">
        <f>"2018-11-28 20:03:18"</f>
        <v>2018-11-28 20:03:18</v>
      </c>
    </row>
    <row r="1617" spans="1:6" x14ac:dyDescent="0.3">
      <c r="A1617" t="s">
        <v>2732</v>
      </c>
      <c r="B1617" t="str">
        <f>"18258089386"</f>
        <v>18258089386</v>
      </c>
      <c r="C1617" t="str">
        <f>"341623199010205235"</f>
        <v>341623199010205235</v>
      </c>
      <c r="D1617" t="s">
        <v>0</v>
      </c>
      <c r="E1617" t="s">
        <v>0</v>
      </c>
      <c r="F1617" t="str">
        <f>"2018-11-28 20:01:24"</f>
        <v>2018-11-28 20:01:24</v>
      </c>
    </row>
    <row r="1618" spans="1:6" x14ac:dyDescent="0.3">
      <c r="A1618" t="s">
        <v>2733</v>
      </c>
      <c r="B1618" t="str">
        <f>"15838338858"</f>
        <v>15838338858</v>
      </c>
      <c r="C1618" t="str">
        <f>"410103198010210632"</f>
        <v>410103198010210632</v>
      </c>
      <c r="D1618" t="s">
        <v>2734</v>
      </c>
      <c r="E1618" t="s">
        <v>2735</v>
      </c>
      <c r="F1618" t="str">
        <f>"2018-11-28 20:01:08"</f>
        <v>2018-11-28 20:01:08</v>
      </c>
    </row>
    <row r="1619" spans="1:6" x14ac:dyDescent="0.3">
      <c r="A1619" t="s">
        <v>2736</v>
      </c>
      <c r="B1619" t="str">
        <f>"15947159591"</f>
        <v>15947159591</v>
      </c>
      <c r="C1619" t="str">
        <f>"152323199511236039"</f>
        <v>152323199511236039</v>
      </c>
      <c r="D1619" t="s">
        <v>0</v>
      </c>
      <c r="E1619" t="s">
        <v>0</v>
      </c>
      <c r="F1619" t="str">
        <f>"2018-11-28 20:00:46"</f>
        <v>2018-11-28 20:00:46</v>
      </c>
    </row>
    <row r="1620" spans="1:6" x14ac:dyDescent="0.3">
      <c r="A1620" t="s">
        <v>0</v>
      </c>
      <c r="B1620" t="str">
        <f>"18993197474"</f>
        <v>18993197474</v>
      </c>
      <c r="C1620" t="s">
        <v>0</v>
      </c>
      <c r="D1620" t="s">
        <v>0</v>
      </c>
      <c r="E1620" t="s">
        <v>0</v>
      </c>
      <c r="F1620" t="str">
        <f>"2018-11-28 20:00:44"</f>
        <v>2018-11-28 20:00:44</v>
      </c>
    </row>
    <row r="1621" spans="1:6" x14ac:dyDescent="0.3">
      <c r="A1621" t="s">
        <v>0</v>
      </c>
      <c r="B1621" t="str">
        <f>"13984939945"</f>
        <v>13984939945</v>
      </c>
      <c r="C1621" t="s">
        <v>0</v>
      </c>
      <c r="D1621" t="s">
        <v>0</v>
      </c>
      <c r="E1621" t="s">
        <v>0</v>
      </c>
      <c r="F1621" t="str">
        <f>"2018-11-28 20:00:31"</f>
        <v>2018-11-28 20:00:31</v>
      </c>
    </row>
    <row r="1622" spans="1:6" x14ac:dyDescent="0.3">
      <c r="A1622" t="s">
        <v>0</v>
      </c>
      <c r="B1622" t="str">
        <f>"18025296794"</f>
        <v>18025296794</v>
      </c>
      <c r="C1622" t="s">
        <v>0</v>
      </c>
      <c r="D1622" t="s">
        <v>0</v>
      </c>
      <c r="E1622" t="s">
        <v>0</v>
      </c>
      <c r="F1622" t="str">
        <f>"2018-11-28 19:59:34"</f>
        <v>2018-11-28 19:59:34</v>
      </c>
    </row>
    <row r="1623" spans="1:6" x14ac:dyDescent="0.3">
      <c r="A1623" t="s">
        <v>2737</v>
      </c>
      <c r="B1623" t="str">
        <f>"15113652045"</f>
        <v>15113652045</v>
      </c>
      <c r="C1623" t="str">
        <f>"440923199309074910"</f>
        <v>440923199309074910</v>
      </c>
      <c r="D1623" t="s">
        <v>2738</v>
      </c>
      <c r="E1623" t="s">
        <v>2738</v>
      </c>
      <c r="F1623" t="str">
        <f>"2018-11-28 19:59:20"</f>
        <v>2018-11-28 19:59:20</v>
      </c>
    </row>
    <row r="1624" spans="1:6" x14ac:dyDescent="0.3">
      <c r="A1624" t="s">
        <v>2739</v>
      </c>
      <c r="B1624" t="str">
        <f>"15896949888"</f>
        <v>15896949888</v>
      </c>
      <c r="C1624" t="str">
        <f>"411402199205182518"</f>
        <v>411402199205182518</v>
      </c>
      <c r="D1624" t="s">
        <v>2740</v>
      </c>
      <c r="E1624" t="s">
        <v>2741</v>
      </c>
      <c r="F1624" t="str">
        <f>"2018-11-28 19:59:12"</f>
        <v>2018-11-28 19:59:12</v>
      </c>
    </row>
    <row r="1625" spans="1:6" x14ac:dyDescent="0.3">
      <c r="A1625" t="s">
        <v>0</v>
      </c>
      <c r="B1625" t="str">
        <f>"13985450906"</f>
        <v>13985450906</v>
      </c>
      <c r="C1625" t="s">
        <v>0</v>
      </c>
      <c r="D1625" t="s">
        <v>0</v>
      </c>
      <c r="E1625" t="s">
        <v>0</v>
      </c>
      <c r="F1625" t="str">
        <f>"2018-11-28 19:57:24"</f>
        <v>2018-11-28 19:57:24</v>
      </c>
    </row>
    <row r="1626" spans="1:6" x14ac:dyDescent="0.3">
      <c r="A1626" t="s">
        <v>2742</v>
      </c>
      <c r="B1626" t="str">
        <f>"18443381112"</f>
        <v>18443381112</v>
      </c>
      <c r="C1626" t="str">
        <f>"222401199006014510"</f>
        <v>222401199006014510</v>
      </c>
      <c r="D1626" t="s">
        <v>2743</v>
      </c>
      <c r="E1626" t="s">
        <v>2744</v>
      </c>
      <c r="F1626" t="str">
        <f>"2018-11-28 19:57:21"</f>
        <v>2018-11-28 19:57:21</v>
      </c>
    </row>
    <row r="1627" spans="1:6" x14ac:dyDescent="0.3">
      <c r="A1627" t="s">
        <v>2745</v>
      </c>
      <c r="B1627" t="str">
        <f>"17696879548"</f>
        <v>17696879548</v>
      </c>
      <c r="C1627" t="str">
        <f>"320724199912234833"</f>
        <v>320724199912234833</v>
      </c>
      <c r="D1627" t="s">
        <v>2746</v>
      </c>
      <c r="E1627" t="s">
        <v>2747</v>
      </c>
      <c r="F1627" t="str">
        <f>"2018-11-28 19:54:38"</f>
        <v>2018-11-28 19:54:38</v>
      </c>
    </row>
    <row r="1628" spans="1:6" x14ac:dyDescent="0.3">
      <c r="A1628" t="s">
        <v>2748</v>
      </c>
      <c r="B1628" t="str">
        <f>"13404575552"</f>
        <v>13404575552</v>
      </c>
      <c r="C1628" t="str">
        <f>"22072319850125304X"</f>
        <v>22072319850125304X</v>
      </c>
      <c r="D1628" t="s">
        <v>0</v>
      </c>
      <c r="E1628" t="s">
        <v>0</v>
      </c>
      <c r="F1628" t="str">
        <f>"2018-11-28 19:54:21"</f>
        <v>2018-11-28 19:54:21</v>
      </c>
    </row>
    <row r="1629" spans="1:6" x14ac:dyDescent="0.3">
      <c r="A1629" t="s">
        <v>2749</v>
      </c>
      <c r="B1629" t="str">
        <f>"18111776069"</f>
        <v>18111776069</v>
      </c>
      <c r="C1629" t="str">
        <f>"510821199912047415"</f>
        <v>510821199912047415</v>
      </c>
      <c r="D1629" t="s">
        <v>2750</v>
      </c>
      <c r="E1629" t="s">
        <v>2751</v>
      </c>
      <c r="F1629" t="str">
        <f>"2018-11-28 19:53:19"</f>
        <v>2018-11-28 19:53:19</v>
      </c>
    </row>
    <row r="1630" spans="1:6" x14ac:dyDescent="0.3">
      <c r="A1630" t="s">
        <v>0</v>
      </c>
      <c r="B1630" t="str">
        <f>"13789952274"</f>
        <v>13789952274</v>
      </c>
      <c r="C1630" t="s">
        <v>0</v>
      </c>
      <c r="D1630" t="s">
        <v>0</v>
      </c>
      <c r="E1630" t="s">
        <v>0</v>
      </c>
      <c r="F1630" t="str">
        <f>"2018-11-28 19:53:17"</f>
        <v>2018-11-28 19:53:17</v>
      </c>
    </row>
    <row r="1631" spans="1:6" x14ac:dyDescent="0.3">
      <c r="A1631" t="s">
        <v>0</v>
      </c>
      <c r="B1631" t="str">
        <f>"17639633545"</f>
        <v>17639633545</v>
      </c>
      <c r="C1631" t="s">
        <v>0</v>
      </c>
      <c r="D1631" t="s">
        <v>0</v>
      </c>
      <c r="E1631" t="s">
        <v>0</v>
      </c>
      <c r="F1631" t="str">
        <f>"2018-11-28 19:51:57"</f>
        <v>2018-11-28 19:51:57</v>
      </c>
    </row>
    <row r="1632" spans="1:6" x14ac:dyDescent="0.3">
      <c r="A1632" t="s">
        <v>2752</v>
      </c>
      <c r="B1632" t="str">
        <f>"18032139123"</f>
        <v>18032139123</v>
      </c>
      <c r="C1632" t="str">
        <f>"130132199610052577"</f>
        <v>130132199610052577</v>
      </c>
      <c r="D1632" t="s">
        <v>2753</v>
      </c>
      <c r="E1632" t="s">
        <v>2754</v>
      </c>
      <c r="F1632" t="str">
        <f>"2018-11-28 19:50:42"</f>
        <v>2018-11-28 19:50:42</v>
      </c>
    </row>
    <row r="1633" spans="1:6" x14ac:dyDescent="0.3">
      <c r="A1633" t="s">
        <v>2755</v>
      </c>
      <c r="B1633" t="str">
        <f>"13216277180"</f>
        <v>13216277180</v>
      </c>
      <c r="C1633" t="str">
        <f>"332528200007070043"</f>
        <v>332528200007070043</v>
      </c>
      <c r="D1633" t="s">
        <v>0</v>
      </c>
      <c r="E1633" t="s">
        <v>0</v>
      </c>
      <c r="F1633" t="str">
        <f>"2018-11-28 19:50:06"</f>
        <v>2018-11-28 19:50:06</v>
      </c>
    </row>
    <row r="1634" spans="1:6" x14ac:dyDescent="0.3">
      <c r="A1634" t="s">
        <v>2756</v>
      </c>
      <c r="B1634" t="str">
        <f>"15167170523"</f>
        <v>15167170523</v>
      </c>
      <c r="C1634" t="str">
        <f>"330124199503240027"</f>
        <v>330124199503240027</v>
      </c>
      <c r="D1634" t="s">
        <v>2757</v>
      </c>
      <c r="E1634" t="s">
        <v>2758</v>
      </c>
      <c r="F1634" t="str">
        <f>"2018-11-28 19:49:48"</f>
        <v>2018-11-28 19:49:48</v>
      </c>
    </row>
    <row r="1635" spans="1:6" x14ac:dyDescent="0.3">
      <c r="A1635" t="s">
        <v>0</v>
      </c>
      <c r="B1635" t="str">
        <f>"15145802263"</f>
        <v>15145802263</v>
      </c>
      <c r="C1635" t="s">
        <v>0</v>
      </c>
      <c r="D1635" t="s">
        <v>0</v>
      </c>
      <c r="E1635" t="s">
        <v>0</v>
      </c>
      <c r="F1635" t="str">
        <f>"2018-11-28 19:48:52"</f>
        <v>2018-11-28 19:48:52</v>
      </c>
    </row>
    <row r="1636" spans="1:6" x14ac:dyDescent="0.3">
      <c r="A1636" t="s">
        <v>2759</v>
      </c>
      <c r="B1636" t="str">
        <f>"13332500951"</f>
        <v>13332500951</v>
      </c>
      <c r="C1636" t="str">
        <f>"421281199208022938"</f>
        <v>421281199208022938</v>
      </c>
      <c r="D1636" t="s">
        <v>2760</v>
      </c>
      <c r="E1636" t="s">
        <v>2761</v>
      </c>
      <c r="F1636" t="str">
        <f>"2018-11-28 19:48:12"</f>
        <v>2018-11-28 19:48:12</v>
      </c>
    </row>
    <row r="1637" spans="1:6" x14ac:dyDescent="0.3">
      <c r="A1637" t="s">
        <v>0</v>
      </c>
      <c r="B1637" t="str">
        <f>"18246463294"</f>
        <v>18246463294</v>
      </c>
      <c r="C1637" t="s">
        <v>0</v>
      </c>
      <c r="D1637" t="s">
        <v>0</v>
      </c>
      <c r="E1637" t="s">
        <v>0</v>
      </c>
      <c r="F1637" t="str">
        <f>"2018-11-28 19:48:05"</f>
        <v>2018-11-28 19:48:05</v>
      </c>
    </row>
    <row r="1638" spans="1:6" x14ac:dyDescent="0.3">
      <c r="A1638" t="s">
        <v>0</v>
      </c>
      <c r="B1638" t="str">
        <f>"15558540390"</f>
        <v>15558540390</v>
      </c>
      <c r="C1638" t="s">
        <v>0</v>
      </c>
      <c r="D1638" t="s">
        <v>0</v>
      </c>
      <c r="E1638" t="s">
        <v>0</v>
      </c>
      <c r="F1638" t="str">
        <f>"2018-11-28 19:47:15"</f>
        <v>2018-11-28 19:47:15</v>
      </c>
    </row>
    <row r="1639" spans="1:6" x14ac:dyDescent="0.3">
      <c r="A1639" t="s">
        <v>2762</v>
      </c>
      <c r="B1639" t="str">
        <f>"13192787533"</f>
        <v>13192787533</v>
      </c>
      <c r="C1639" t="str">
        <f>"44182319970118591X"</f>
        <v>44182319970118591X</v>
      </c>
      <c r="D1639" t="s">
        <v>2763</v>
      </c>
      <c r="E1639" t="s">
        <v>2764</v>
      </c>
      <c r="F1639" t="str">
        <f>"2018-11-28 19:46:46"</f>
        <v>2018-11-28 19:46:46</v>
      </c>
    </row>
    <row r="1640" spans="1:6" x14ac:dyDescent="0.3">
      <c r="A1640" t="s">
        <v>2765</v>
      </c>
      <c r="B1640" t="str">
        <f>"17852765130"</f>
        <v>17852765130</v>
      </c>
      <c r="C1640" t="str">
        <f>"371326199601236410"</f>
        <v>371326199601236410</v>
      </c>
      <c r="D1640" t="s">
        <v>2766</v>
      </c>
      <c r="E1640" t="s">
        <v>2767</v>
      </c>
      <c r="F1640" t="str">
        <f>"2018-11-28 19:46:31"</f>
        <v>2018-11-28 19:46:31</v>
      </c>
    </row>
    <row r="1641" spans="1:6" x14ac:dyDescent="0.3">
      <c r="A1641" t="s">
        <v>1117</v>
      </c>
      <c r="B1641" t="str">
        <f>"17639833627"</f>
        <v>17639833627</v>
      </c>
      <c r="C1641" t="str">
        <f>"411282198605288078"</f>
        <v>411282198605288078</v>
      </c>
      <c r="D1641" t="s">
        <v>2768</v>
      </c>
      <c r="E1641" t="s">
        <v>2769</v>
      </c>
      <c r="F1641" t="str">
        <f>"2018-11-28 19:46:21"</f>
        <v>2018-11-28 19:46:21</v>
      </c>
    </row>
    <row r="1642" spans="1:6" x14ac:dyDescent="0.3">
      <c r="A1642" t="s">
        <v>0</v>
      </c>
      <c r="B1642" t="str">
        <f>"18075126848"</f>
        <v>18075126848</v>
      </c>
      <c r="C1642" t="s">
        <v>0</v>
      </c>
      <c r="D1642" t="s">
        <v>0</v>
      </c>
      <c r="E1642" t="s">
        <v>0</v>
      </c>
      <c r="F1642" t="str">
        <f>"2018-11-28 19:46:15"</f>
        <v>2018-11-28 19:46:15</v>
      </c>
    </row>
    <row r="1643" spans="1:6" x14ac:dyDescent="0.3">
      <c r="A1643" t="s">
        <v>2770</v>
      </c>
      <c r="B1643" t="str">
        <f>"13790532853"</f>
        <v>13790532853</v>
      </c>
      <c r="C1643" t="str">
        <f>"440982199410142973"</f>
        <v>440982199410142973</v>
      </c>
      <c r="D1643" t="s">
        <v>0</v>
      </c>
      <c r="E1643" t="s">
        <v>0</v>
      </c>
      <c r="F1643" t="str">
        <f>"2018-11-28 19:45:08"</f>
        <v>2018-11-28 19:45:08</v>
      </c>
    </row>
    <row r="1644" spans="1:6" x14ac:dyDescent="0.3">
      <c r="A1644" t="s">
        <v>0</v>
      </c>
      <c r="B1644" t="str">
        <f>"13459477849"</f>
        <v>13459477849</v>
      </c>
      <c r="C1644" t="s">
        <v>0</v>
      </c>
      <c r="D1644" t="s">
        <v>0</v>
      </c>
      <c r="E1644" t="s">
        <v>0</v>
      </c>
      <c r="F1644" t="str">
        <f>"2018-11-28 19:40:53"</f>
        <v>2018-11-28 19:40:53</v>
      </c>
    </row>
    <row r="1645" spans="1:6" x14ac:dyDescent="0.3">
      <c r="A1645" t="s">
        <v>2771</v>
      </c>
      <c r="B1645" t="str">
        <f>"17681015706"</f>
        <v>17681015706</v>
      </c>
      <c r="C1645" t="str">
        <f>"34220119991216543X"</f>
        <v>34220119991216543X</v>
      </c>
      <c r="D1645" t="s">
        <v>0</v>
      </c>
      <c r="E1645" t="s">
        <v>0</v>
      </c>
      <c r="F1645" t="str">
        <f>"2018-11-28 19:40:45"</f>
        <v>2018-11-28 19:40:45</v>
      </c>
    </row>
    <row r="1646" spans="1:6" x14ac:dyDescent="0.3">
      <c r="A1646" t="s">
        <v>2772</v>
      </c>
      <c r="B1646" t="str">
        <f>"13787296605"</f>
        <v>13787296605</v>
      </c>
      <c r="C1646" t="str">
        <f>"430121198108114813"</f>
        <v>430121198108114813</v>
      </c>
      <c r="D1646" t="s">
        <v>2773</v>
      </c>
      <c r="E1646" t="s">
        <v>2774</v>
      </c>
      <c r="F1646" t="str">
        <f>"2018-11-28 19:39:07"</f>
        <v>2018-11-28 19:39:07</v>
      </c>
    </row>
    <row r="1647" spans="1:6" x14ac:dyDescent="0.3">
      <c r="A1647" t="s">
        <v>2775</v>
      </c>
      <c r="B1647" t="str">
        <f>"18288601972"</f>
        <v>18288601972</v>
      </c>
      <c r="C1647" t="str">
        <f>"360424198207035499"</f>
        <v>360424198207035499</v>
      </c>
      <c r="D1647" t="s">
        <v>2776</v>
      </c>
      <c r="E1647" t="s">
        <v>2777</v>
      </c>
      <c r="F1647" t="str">
        <f>"2018-11-28 19:37:42"</f>
        <v>2018-11-28 19:37:42</v>
      </c>
    </row>
    <row r="1648" spans="1:6" x14ac:dyDescent="0.3">
      <c r="A1648" t="s">
        <v>2778</v>
      </c>
      <c r="B1648" t="str">
        <f>"13853737339"</f>
        <v>13853737339</v>
      </c>
      <c r="C1648" t="str">
        <f>"370882200003112015"</f>
        <v>370882200003112015</v>
      </c>
      <c r="D1648" t="s">
        <v>2779</v>
      </c>
      <c r="E1648" t="s">
        <v>2780</v>
      </c>
      <c r="F1648" t="str">
        <f>"2018-11-28 19:37:27"</f>
        <v>2018-11-28 19:37:27</v>
      </c>
    </row>
    <row r="1649" spans="1:6" x14ac:dyDescent="0.3">
      <c r="A1649" t="s">
        <v>2781</v>
      </c>
      <c r="B1649" t="str">
        <f>"13132845715"</f>
        <v>13132845715</v>
      </c>
      <c r="C1649" t="str">
        <f>"450821200207110852"</f>
        <v>450821200207110852</v>
      </c>
      <c r="D1649" t="s">
        <v>2782</v>
      </c>
      <c r="E1649" t="s">
        <v>2783</v>
      </c>
      <c r="F1649" t="str">
        <f>"2018-11-28 19:36:35"</f>
        <v>2018-11-28 19:36:35</v>
      </c>
    </row>
    <row r="1650" spans="1:6" x14ac:dyDescent="0.3">
      <c r="A1650" t="s">
        <v>0</v>
      </c>
      <c r="B1650" t="str">
        <f>"18893691211"</f>
        <v>18893691211</v>
      </c>
      <c r="C1650" t="s">
        <v>0</v>
      </c>
      <c r="D1650" t="s">
        <v>0</v>
      </c>
      <c r="E1650" t="s">
        <v>0</v>
      </c>
      <c r="F1650" t="str">
        <f>"2018-11-28 19:36:29"</f>
        <v>2018-11-28 19:36:29</v>
      </c>
    </row>
    <row r="1651" spans="1:6" x14ac:dyDescent="0.3">
      <c r="A1651" t="s">
        <v>0</v>
      </c>
      <c r="B1651" t="str">
        <f>"13084680287"</f>
        <v>13084680287</v>
      </c>
      <c r="C1651" t="s">
        <v>0</v>
      </c>
      <c r="D1651" t="s">
        <v>0</v>
      </c>
      <c r="E1651" t="s">
        <v>0</v>
      </c>
      <c r="F1651" t="str">
        <f>"2018-11-28 19:35:39"</f>
        <v>2018-11-28 19:35:39</v>
      </c>
    </row>
    <row r="1652" spans="1:6" x14ac:dyDescent="0.3">
      <c r="A1652" t="s">
        <v>0</v>
      </c>
      <c r="B1652" t="str">
        <f>"13433749272"</f>
        <v>13433749272</v>
      </c>
      <c r="C1652" t="s">
        <v>0</v>
      </c>
      <c r="D1652" t="s">
        <v>0</v>
      </c>
      <c r="E1652" t="s">
        <v>0</v>
      </c>
      <c r="F1652" t="str">
        <f>"2018-11-28 19:35:34"</f>
        <v>2018-11-28 19:35:34</v>
      </c>
    </row>
    <row r="1653" spans="1:6" x14ac:dyDescent="0.3">
      <c r="A1653" t="s">
        <v>2784</v>
      </c>
      <c r="B1653" t="str">
        <f>"15778114360"</f>
        <v>15778114360</v>
      </c>
      <c r="C1653" t="str">
        <f>"450981199402151453"</f>
        <v>450981199402151453</v>
      </c>
      <c r="D1653" t="s">
        <v>0</v>
      </c>
      <c r="E1653" t="s">
        <v>0</v>
      </c>
      <c r="F1653" t="str">
        <f>"2018-11-28 19:32:59"</f>
        <v>2018-11-28 19:32:59</v>
      </c>
    </row>
    <row r="1654" spans="1:6" x14ac:dyDescent="0.3">
      <c r="A1654" t="s">
        <v>2785</v>
      </c>
      <c r="B1654" t="str">
        <f>"13768391419"</f>
        <v>13768391419</v>
      </c>
      <c r="C1654" t="str">
        <f>"452122198308165844"</f>
        <v>452122198308165844</v>
      </c>
      <c r="D1654" t="s">
        <v>2786</v>
      </c>
      <c r="E1654" t="s">
        <v>2787</v>
      </c>
      <c r="F1654" t="str">
        <f>"2018-11-28 19:30:54"</f>
        <v>2018-11-28 19:30:54</v>
      </c>
    </row>
    <row r="1655" spans="1:6" x14ac:dyDescent="0.3">
      <c r="A1655" t="s">
        <v>2788</v>
      </c>
      <c r="B1655" t="str">
        <f>"15275588239"</f>
        <v>15275588239</v>
      </c>
      <c r="C1655" t="str">
        <f>"371312199411105753"</f>
        <v>371312199411105753</v>
      </c>
      <c r="D1655" t="s">
        <v>2789</v>
      </c>
      <c r="E1655" t="s">
        <v>2790</v>
      </c>
      <c r="F1655" t="str">
        <f>"2018-11-28 19:28:57"</f>
        <v>2018-11-28 19:28:57</v>
      </c>
    </row>
    <row r="1656" spans="1:6" x14ac:dyDescent="0.3">
      <c r="A1656" t="s">
        <v>2791</v>
      </c>
      <c r="B1656" t="str">
        <f>"17310248570"</f>
        <v>17310248570</v>
      </c>
      <c r="C1656" t="str">
        <f>"110229199408181811"</f>
        <v>110229199408181811</v>
      </c>
      <c r="D1656" t="s">
        <v>0</v>
      </c>
      <c r="E1656" t="s">
        <v>0</v>
      </c>
      <c r="F1656" t="str">
        <f>"2018-11-28 19:28:55"</f>
        <v>2018-11-28 19:28:55</v>
      </c>
    </row>
    <row r="1657" spans="1:6" x14ac:dyDescent="0.3">
      <c r="A1657" t="s">
        <v>2792</v>
      </c>
      <c r="B1657" t="str">
        <f>"18121761279"</f>
        <v>18121761279</v>
      </c>
      <c r="C1657" t="str">
        <f>"320882199306174024"</f>
        <v>320882199306174024</v>
      </c>
      <c r="D1657" t="s">
        <v>0</v>
      </c>
      <c r="E1657" t="s">
        <v>0</v>
      </c>
      <c r="F1657" t="str">
        <f>"2018-11-28 19:28:04"</f>
        <v>2018-11-28 19:28:04</v>
      </c>
    </row>
    <row r="1658" spans="1:6" x14ac:dyDescent="0.3">
      <c r="A1658" t="s">
        <v>2793</v>
      </c>
      <c r="B1658" t="str">
        <f>"15930799023"</f>
        <v>15930799023</v>
      </c>
      <c r="C1658" t="str">
        <f>"130981199102065698"</f>
        <v>130981199102065698</v>
      </c>
      <c r="D1658" t="s">
        <v>2794</v>
      </c>
      <c r="E1658" t="s">
        <v>2795</v>
      </c>
      <c r="F1658" t="str">
        <f>"2018-11-28 19:27:02"</f>
        <v>2018-11-28 19:27:02</v>
      </c>
    </row>
    <row r="1659" spans="1:6" x14ac:dyDescent="0.3">
      <c r="A1659" t="s">
        <v>2796</v>
      </c>
      <c r="B1659" t="str">
        <f>"18655678840"</f>
        <v>18655678840</v>
      </c>
      <c r="C1659" t="str">
        <f>"340826199510110071"</f>
        <v>340826199510110071</v>
      </c>
      <c r="D1659" t="s">
        <v>2797</v>
      </c>
      <c r="E1659" t="s">
        <v>2798</v>
      </c>
      <c r="F1659" t="str">
        <f>"2018-11-28 19:26:15"</f>
        <v>2018-11-28 19:26:15</v>
      </c>
    </row>
    <row r="1660" spans="1:6" x14ac:dyDescent="0.3">
      <c r="A1660" t="s">
        <v>0</v>
      </c>
      <c r="B1660" t="str">
        <f>"13047820714"</f>
        <v>13047820714</v>
      </c>
      <c r="C1660" t="s">
        <v>0</v>
      </c>
      <c r="D1660" t="s">
        <v>0</v>
      </c>
      <c r="E1660" t="s">
        <v>0</v>
      </c>
      <c r="F1660" t="str">
        <f>"2018-11-28 19:25:18"</f>
        <v>2018-11-28 19:25:18</v>
      </c>
    </row>
    <row r="1661" spans="1:6" x14ac:dyDescent="0.3">
      <c r="A1661" t="s">
        <v>0</v>
      </c>
      <c r="B1661" t="str">
        <f>"13094734281"</f>
        <v>13094734281</v>
      </c>
      <c r="C1661" t="s">
        <v>0</v>
      </c>
      <c r="D1661" t="s">
        <v>0</v>
      </c>
      <c r="E1661" t="s">
        <v>0</v>
      </c>
      <c r="F1661" t="str">
        <f>"2018-11-28 19:22:27"</f>
        <v>2018-11-28 19:22:27</v>
      </c>
    </row>
    <row r="1662" spans="1:6" x14ac:dyDescent="0.3">
      <c r="A1662" t="s">
        <v>2799</v>
      </c>
      <c r="B1662" t="str">
        <f>"17614740371"</f>
        <v>17614740371</v>
      </c>
      <c r="C1662" t="str">
        <f>"142226199912196711"</f>
        <v>142226199912196711</v>
      </c>
      <c r="D1662" t="s">
        <v>0</v>
      </c>
      <c r="E1662" t="s">
        <v>0</v>
      </c>
      <c r="F1662" t="str">
        <f>"2018-11-28 19:21:47"</f>
        <v>2018-11-28 19:21:47</v>
      </c>
    </row>
    <row r="1663" spans="1:6" x14ac:dyDescent="0.3">
      <c r="A1663" t="s">
        <v>0</v>
      </c>
      <c r="B1663" t="str">
        <f>"15513983025"</f>
        <v>15513983025</v>
      </c>
      <c r="C1663" t="s">
        <v>0</v>
      </c>
      <c r="D1663" t="s">
        <v>0</v>
      </c>
      <c r="E1663" t="s">
        <v>0</v>
      </c>
      <c r="F1663" t="str">
        <f>"2018-11-28 19:21:24"</f>
        <v>2018-11-28 19:21:24</v>
      </c>
    </row>
    <row r="1664" spans="1:6" x14ac:dyDescent="0.3">
      <c r="A1664" t="s">
        <v>0</v>
      </c>
      <c r="B1664" t="str">
        <f>"15994392749"</f>
        <v>15994392749</v>
      </c>
      <c r="C1664" t="s">
        <v>0</v>
      </c>
      <c r="D1664" t="s">
        <v>0</v>
      </c>
      <c r="E1664" t="s">
        <v>0</v>
      </c>
      <c r="F1664" t="str">
        <f>"2018-11-28 19:20:01"</f>
        <v>2018-11-28 19:20:01</v>
      </c>
    </row>
    <row r="1665" spans="1:6" x14ac:dyDescent="0.3">
      <c r="A1665" t="s">
        <v>0</v>
      </c>
      <c r="B1665" t="str">
        <f>"15228139867"</f>
        <v>15228139867</v>
      </c>
      <c r="C1665" t="s">
        <v>0</v>
      </c>
      <c r="D1665" t="s">
        <v>0</v>
      </c>
      <c r="E1665" t="s">
        <v>0</v>
      </c>
      <c r="F1665" t="str">
        <f>"2018-11-28 19:18:27"</f>
        <v>2018-11-28 19:18:27</v>
      </c>
    </row>
    <row r="1666" spans="1:6" x14ac:dyDescent="0.3">
      <c r="A1666" t="s">
        <v>0</v>
      </c>
      <c r="B1666" t="str">
        <f>"15053891070"</f>
        <v>15053891070</v>
      </c>
      <c r="C1666" t="s">
        <v>0</v>
      </c>
      <c r="D1666" t="s">
        <v>0</v>
      </c>
      <c r="E1666" t="s">
        <v>0</v>
      </c>
      <c r="F1666" t="str">
        <f>"2018-11-28 19:18:17"</f>
        <v>2018-11-28 19:18:17</v>
      </c>
    </row>
    <row r="1667" spans="1:6" x14ac:dyDescent="0.3">
      <c r="A1667" t="s">
        <v>0</v>
      </c>
      <c r="B1667" t="str">
        <f>"15049695747"</f>
        <v>15049695747</v>
      </c>
      <c r="C1667" t="s">
        <v>0</v>
      </c>
      <c r="D1667" t="s">
        <v>0</v>
      </c>
      <c r="E1667" t="s">
        <v>0</v>
      </c>
      <c r="F1667" t="str">
        <f>"2018-11-28 19:17:59"</f>
        <v>2018-11-28 19:17:59</v>
      </c>
    </row>
    <row r="1668" spans="1:6" x14ac:dyDescent="0.3">
      <c r="A1668" t="s">
        <v>0</v>
      </c>
      <c r="B1668" t="str">
        <f>"15349030500"</f>
        <v>15349030500</v>
      </c>
      <c r="C1668" t="s">
        <v>0</v>
      </c>
      <c r="D1668" t="s">
        <v>0</v>
      </c>
      <c r="E1668" t="s">
        <v>0</v>
      </c>
      <c r="F1668" t="str">
        <f>"2018-11-28 19:17:59"</f>
        <v>2018-11-28 19:17:59</v>
      </c>
    </row>
    <row r="1669" spans="1:6" x14ac:dyDescent="0.3">
      <c r="A1669" t="s">
        <v>2800</v>
      </c>
      <c r="B1669" t="str">
        <f>"15690046017"</f>
        <v>15690046017</v>
      </c>
      <c r="C1669" t="str">
        <f>"13040619870123093X"</f>
        <v>13040619870123093X</v>
      </c>
      <c r="D1669" t="s">
        <v>0</v>
      </c>
      <c r="E1669" t="s">
        <v>0</v>
      </c>
      <c r="F1669" t="str">
        <f>"2018-11-28 19:14:47"</f>
        <v>2018-11-28 19:14:47</v>
      </c>
    </row>
    <row r="1670" spans="1:6" x14ac:dyDescent="0.3">
      <c r="A1670" t="s">
        <v>0</v>
      </c>
      <c r="B1670" t="str">
        <f>"15677407493"</f>
        <v>15677407493</v>
      </c>
      <c r="C1670" t="s">
        <v>0</v>
      </c>
      <c r="D1670" t="s">
        <v>0</v>
      </c>
      <c r="E1670" t="s">
        <v>0</v>
      </c>
      <c r="F1670" t="str">
        <f>"2018-11-28 19:13:08"</f>
        <v>2018-11-28 19:13:08</v>
      </c>
    </row>
    <row r="1671" spans="1:6" x14ac:dyDescent="0.3">
      <c r="A1671" t="s">
        <v>2801</v>
      </c>
      <c r="B1671" t="str">
        <f>"13839967631"</f>
        <v>13839967631</v>
      </c>
      <c r="C1671" t="str">
        <f>"410211199912255012"</f>
        <v>410211199912255012</v>
      </c>
      <c r="D1671" t="s">
        <v>2802</v>
      </c>
      <c r="E1671" t="s">
        <v>2803</v>
      </c>
      <c r="F1671" t="str">
        <f>"2018-11-28 19:12:02"</f>
        <v>2018-11-28 19:12:02</v>
      </c>
    </row>
    <row r="1672" spans="1:6" x14ac:dyDescent="0.3">
      <c r="A1672" t="s">
        <v>2804</v>
      </c>
      <c r="B1672" t="str">
        <f>"15071718625"</f>
        <v>15071718625</v>
      </c>
      <c r="C1672" t="str">
        <f>"422103197703070424"</f>
        <v>422103197703070424</v>
      </c>
      <c r="D1672" t="s">
        <v>0</v>
      </c>
      <c r="E1672" t="s">
        <v>0</v>
      </c>
      <c r="F1672" t="str">
        <f>"2018-11-28 19:11:52"</f>
        <v>2018-11-28 19:11:52</v>
      </c>
    </row>
    <row r="1673" spans="1:6" x14ac:dyDescent="0.3">
      <c r="A1673" t="s">
        <v>0</v>
      </c>
      <c r="B1673" t="str">
        <f>"13311309626"</f>
        <v>13311309626</v>
      </c>
      <c r="C1673" t="s">
        <v>0</v>
      </c>
      <c r="D1673" t="s">
        <v>0</v>
      </c>
      <c r="E1673" t="s">
        <v>0</v>
      </c>
      <c r="F1673" t="str">
        <f>"2018-11-28 19:11:05"</f>
        <v>2018-11-28 19:11:05</v>
      </c>
    </row>
    <row r="1674" spans="1:6" x14ac:dyDescent="0.3">
      <c r="A1674" t="s">
        <v>2805</v>
      </c>
      <c r="B1674" t="str">
        <f>"13959996455"</f>
        <v>13959996455</v>
      </c>
      <c r="C1674" t="str">
        <f>"342423198109282877"</f>
        <v>342423198109282877</v>
      </c>
      <c r="D1674" t="s">
        <v>2806</v>
      </c>
      <c r="E1674" t="s">
        <v>2807</v>
      </c>
      <c r="F1674" t="str">
        <f>"2018-11-28 19:10:31"</f>
        <v>2018-11-28 19:10:31</v>
      </c>
    </row>
    <row r="1675" spans="1:6" x14ac:dyDescent="0.3">
      <c r="A1675" t="s">
        <v>2808</v>
      </c>
      <c r="B1675" t="str">
        <f>"18314048493"</f>
        <v>18314048493</v>
      </c>
      <c r="C1675" t="str">
        <f>"500226199701252766"</f>
        <v>500226199701252766</v>
      </c>
      <c r="D1675" t="s">
        <v>0</v>
      </c>
      <c r="E1675" t="s">
        <v>0</v>
      </c>
      <c r="F1675" t="str">
        <f>"2018-11-28 19:10:27"</f>
        <v>2018-11-28 19:10:27</v>
      </c>
    </row>
    <row r="1676" spans="1:6" x14ac:dyDescent="0.3">
      <c r="A1676" t="s">
        <v>2809</v>
      </c>
      <c r="B1676" t="str">
        <f>"13610680992"</f>
        <v>13610680992</v>
      </c>
      <c r="C1676" t="str">
        <f>"142622197010061022"</f>
        <v>142622197010061022</v>
      </c>
      <c r="D1676" t="s">
        <v>2810</v>
      </c>
      <c r="E1676" t="s">
        <v>2811</v>
      </c>
      <c r="F1676" t="str">
        <f>"2018-11-28 19:08:33"</f>
        <v>2018-11-28 19:08:33</v>
      </c>
    </row>
    <row r="1677" spans="1:6" x14ac:dyDescent="0.3">
      <c r="A1677" t="s">
        <v>2812</v>
      </c>
      <c r="B1677" t="str">
        <f>"13875889335"</f>
        <v>13875889335</v>
      </c>
      <c r="C1677" t="str">
        <f>"430723198107135212"</f>
        <v>430723198107135212</v>
      </c>
      <c r="D1677" t="s">
        <v>0</v>
      </c>
      <c r="E1677" t="s">
        <v>0</v>
      </c>
      <c r="F1677" t="str">
        <f>"2018-11-28 19:06:33"</f>
        <v>2018-11-28 19:06:33</v>
      </c>
    </row>
    <row r="1678" spans="1:6" x14ac:dyDescent="0.3">
      <c r="A1678" t="s">
        <v>2813</v>
      </c>
      <c r="B1678" t="str">
        <f>"15889565367"</f>
        <v>15889565367</v>
      </c>
      <c r="C1678" t="str">
        <f>"411627199007144877"</f>
        <v>411627199007144877</v>
      </c>
      <c r="D1678" t="s">
        <v>2814</v>
      </c>
      <c r="E1678" t="s">
        <v>2814</v>
      </c>
      <c r="F1678" t="str">
        <f>"2018-11-28 19:06:03"</f>
        <v>2018-11-28 19:06:03</v>
      </c>
    </row>
    <row r="1679" spans="1:6" x14ac:dyDescent="0.3">
      <c r="A1679" t="s">
        <v>2815</v>
      </c>
      <c r="B1679" t="str">
        <f>"18667868930"</f>
        <v>18667868930</v>
      </c>
      <c r="C1679" t="str">
        <f>"422827199503280919"</f>
        <v>422827199503280919</v>
      </c>
      <c r="D1679" t="s">
        <v>0</v>
      </c>
      <c r="E1679" t="s">
        <v>0</v>
      </c>
      <c r="F1679" t="str">
        <f>"2018-11-28 19:05:45"</f>
        <v>2018-11-28 19:05:45</v>
      </c>
    </row>
    <row r="1680" spans="1:6" x14ac:dyDescent="0.3">
      <c r="A1680" t="s">
        <v>2816</v>
      </c>
      <c r="B1680" t="str">
        <f>"15972341557"</f>
        <v>15972341557</v>
      </c>
      <c r="C1680" t="str">
        <f>"422201199102160012"</f>
        <v>422201199102160012</v>
      </c>
      <c r="D1680" t="s">
        <v>2817</v>
      </c>
      <c r="E1680" t="s">
        <v>2818</v>
      </c>
      <c r="F1680" t="str">
        <f>"2018-11-28 19:05:04"</f>
        <v>2018-11-28 19:05:04</v>
      </c>
    </row>
    <row r="1681" spans="1:6" x14ac:dyDescent="0.3">
      <c r="A1681" t="s">
        <v>0</v>
      </c>
      <c r="B1681" t="str">
        <f>"18363578099"</f>
        <v>18363578099</v>
      </c>
      <c r="C1681" t="s">
        <v>0</v>
      </c>
      <c r="D1681" t="s">
        <v>0</v>
      </c>
      <c r="E1681" t="s">
        <v>0</v>
      </c>
      <c r="F1681" t="str">
        <f>"2018-11-28 19:04:33"</f>
        <v>2018-11-28 19:04:33</v>
      </c>
    </row>
    <row r="1682" spans="1:6" x14ac:dyDescent="0.3">
      <c r="A1682" t="s">
        <v>2819</v>
      </c>
      <c r="B1682" t="str">
        <f>"18802035047"</f>
        <v>18802035047</v>
      </c>
      <c r="C1682" t="str">
        <f>"44010619930115182X"</f>
        <v>44010619930115182X</v>
      </c>
      <c r="D1682" t="s">
        <v>2820</v>
      </c>
      <c r="E1682" t="s">
        <v>2821</v>
      </c>
      <c r="F1682" t="str">
        <f>"2018-11-28 19:04:16"</f>
        <v>2018-11-28 19:04:16</v>
      </c>
    </row>
    <row r="1683" spans="1:6" x14ac:dyDescent="0.3">
      <c r="A1683" t="s">
        <v>0</v>
      </c>
      <c r="B1683" t="str">
        <f>"15286202505"</f>
        <v>15286202505</v>
      </c>
      <c r="C1683" t="s">
        <v>0</v>
      </c>
      <c r="D1683" t="s">
        <v>0</v>
      </c>
      <c r="E1683" t="s">
        <v>0</v>
      </c>
      <c r="F1683" t="str">
        <f>"2018-11-28 19:03:42"</f>
        <v>2018-11-28 19:03:42</v>
      </c>
    </row>
    <row r="1684" spans="1:6" x14ac:dyDescent="0.3">
      <c r="A1684" t="s">
        <v>0</v>
      </c>
      <c r="B1684" t="str">
        <f>"13157309838"</f>
        <v>13157309838</v>
      </c>
      <c r="C1684" t="s">
        <v>0</v>
      </c>
      <c r="D1684" t="s">
        <v>0</v>
      </c>
      <c r="E1684" t="s">
        <v>0</v>
      </c>
      <c r="F1684" t="str">
        <f>"2018-11-28 19:02:57"</f>
        <v>2018-11-28 19:02:57</v>
      </c>
    </row>
    <row r="1685" spans="1:6" x14ac:dyDescent="0.3">
      <c r="A1685" t="s">
        <v>0</v>
      </c>
      <c r="B1685" t="str">
        <f>"13047826760"</f>
        <v>13047826760</v>
      </c>
      <c r="C1685" t="s">
        <v>0</v>
      </c>
      <c r="D1685" t="s">
        <v>0</v>
      </c>
      <c r="E1685" t="s">
        <v>0</v>
      </c>
      <c r="F1685" t="str">
        <f>"2018-11-28 18:58:14"</f>
        <v>2018-11-28 18:58:14</v>
      </c>
    </row>
    <row r="1686" spans="1:6" x14ac:dyDescent="0.3">
      <c r="A1686" t="s">
        <v>0</v>
      </c>
      <c r="B1686" t="str">
        <f>"13859301101"</f>
        <v>13859301101</v>
      </c>
      <c r="C1686" t="s">
        <v>0</v>
      </c>
      <c r="D1686" t="s">
        <v>0</v>
      </c>
      <c r="E1686" t="s">
        <v>0</v>
      </c>
      <c r="F1686" t="str">
        <f>"2018-11-28 18:56:31"</f>
        <v>2018-11-28 18:56:31</v>
      </c>
    </row>
    <row r="1687" spans="1:6" x14ac:dyDescent="0.3">
      <c r="A1687" t="s">
        <v>0</v>
      </c>
      <c r="B1687" t="str">
        <f>"18682418500"</f>
        <v>18682418500</v>
      </c>
      <c r="C1687" t="s">
        <v>0</v>
      </c>
      <c r="D1687" t="s">
        <v>0</v>
      </c>
      <c r="E1687" t="s">
        <v>0</v>
      </c>
      <c r="F1687" t="str">
        <f>"2018-11-28 18:55:59"</f>
        <v>2018-11-28 18:55:59</v>
      </c>
    </row>
    <row r="1688" spans="1:6" x14ac:dyDescent="0.3">
      <c r="A1688" t="s">
        <v>2822</v>
      </c>
      <c r="B1688" t="str">
        <f>"18080254671"</f>
        <v>18080254671</v>
      </c>
      <c r="C1688" t="str">
        <f>"510722199207292854"</f>
        <v>510722199207292854</v>
      </c>
      <c r="D1688" t="s">
        <v>0</v>
      </c>
      <c r="E1688" t="s">
        <v>0</v>
      </c>
      <c r="F1688" t="str">
        <f>"2018-11-28 18:55:06"</f>
        <v>2018-11-28 18:55:06</v>
      </c>
    </row>
    <row r="1689" spans="1:6" x14ac:dyDescent="0.3">
      <c r="A1689" t="s">
        <v>2823</v>
      </c>
      <c r="B1689" t="str">
        <f>"13905998308"</f>
        <v>13905998308</v>
      </c>
      <c r="C1689" t="str">
        <f>"330326196712250715"</f>
        <v>330326196712250715</v>
      </c>
      <c r="D1689" t="s">
        <v>2824</v>
      </c>
      <c r="E1689" t="s">
        <v>2824</v>
      </c>
      <c r="F1689" t="str">
        <f>"2018-11-28 18:54:51"</f>
        <v>2018-11-28 18:54:51</v>
      </c>
    </row>
    <row r="1690" spans="1:6" x14ac:dyDescent="0.3">
      <c r="A1690" t="s">
        <v>0</v>
      </c>
      <c r="B1690" t="str">
        <f>"18774735871"</f>
        <v>18774735871</v>
      </c>
      <c r="C1690" t="s">
        <v>0</v>
      </c>
      <c r="D1690" t="s">
        <v>0</v>
      </c>
      <c r="E1690" t="s">
        <v>0</v>
      </c>
      <c r="F1690" t="str">
        <f>"2018-11-28 18:53:44"</f>
        <v>2018-11-28 18:53:44</v>
      </c>
    </row>
    <row r="1691" spans="1:6" x14ac:dyDescent="0.3">
      <c r="A1691" t="s">
        <v>0</v>
      </c>
      <c r="B1691" t="str">
        <f>"15802053133"</f>
        <v>15802053133</v>
      </c>
      <c r="C1691" t="s">
        <v>0</v>
      </c>
      <c r="D1691" t="s">
        <v>0</v>
      </c>
      <c r="E1691" t="s">
        <v>0</v>
      </c>
      <c r="F1691" t="str">
        <f>"2018-11-28 18:53:07"</f>
        <v>2018-11-28 18:53:07</v>
      </c>
    </row>
    <row r="1692" spans="1:6" x14ac:dyDescent="0.3">
      <c r="A1692" t="s">
        <v>2825</v>
      </c>
      <c r="B1692" t="str">
        <f>"18953560897"</f>
        <v>18953560897</v>
      </c>
      <c r="C1692" t="str">
        <f>"370285199608256223"</f>
        <v>370285199608256223</v>
      </c>
      <c r="D1692" t="s">
        <v>2826</v>
      </c>
      <c r="E1692" t="s">
        <v>2827</v>
      </c>
      <c r="F1692" t="str">
        <f>"2018-11-28 18:52:35"</f>
        <v>2018-11-28 18:52:35</v>
      </c>
    </row>
    <row r="1693" spans="1:6" x14ac:dyDescent="0.3">
      <c r="A1693" t="s">
        <v>0</v>
      </c>
      <c r="B1693" t="str">
        <f>"13244455252"</f>
        <v>13244455252</v>
      </c>
      <c r="C1693" t="s">
        <v>0</v>
      </c>
      <c r="D1693" t="s">
        <v>0</v>
      </c>
      <c r="E1693" t="s">
        <v>0</v>
      </c>
      <c r="F1693" t="str">
        <f>"2018-11-28 18:51:56"</f>
        <v>2018-11-28 18:51:56</v>
      </c>
    </row>
    <row r="1694" spans="1:6" x14ac:dyDescent="0.3">
      <c r="A1694" t="s">
        <v>2828</v>
      </c>
      <c r="B1694" t="str">
        <f>"13894762527"</f>
        <v>13894762527</v>
      </c>
      <c r="C1694" t="str">
        <f>"220183199104255699"</f>
        <v>220183199104255699</v>
      </c>
      <c r="D1694" t="s">
        <v>2829</v>
      </c>
      <c r="E1694" t="s">
        <v>2830</v>
      </c>
      <c r="F1694" t="str">
        <f>"2018-11-28 18:51:29"</f>
        <v>2018-11-28 18:51:29</v>
      </c>
    </row>
    <row r="1695" spans="1:6" x14ac:dyDescent="0.3">
      <c r="A1695" t="s">
        <v>2831</v>
      </c>
      <c r="B1695" t="str">
        <f>"13117668371"</f>
        <v>13117668371</v>
      </c>
      <c r="C1695" t="str">
        <f>"450881199609271430"</f>
        <v>450881199609271430</v>
      </c>
      <c r="D1695" t="s">
        <v>0</v>
      </c>
      <c r="E1695" t="s">
        <v>0</v>
      </c>
      <c r="F1695" t="str">
        <f>"2018-11-28 18:50:52"</f>
        <v>2018-11-28 18:50:52</v>
      </c>
    </row>
    <row r="1696" spans="1:6" x14ac:dyDescent="0.3">
      <c r="A1696" t="s">
        <v>0</v>
      </c>
      <c r="B1696" t="str">
        <f>"13699744566"</f>
        <v>13699744566</v>
      </c>
      <c r="C1696" t="s">
        <v>0</v>
      </c>
      <c r="D1696" t="s">
        <v>0</v>
      </c>
      <c r="E1696" t="s">
        <v>0</v>
      </c>
      <c r="F1696" t="str">
        <f>"2018-11-28 18:49:39"</f>
        <v>2018-11-28 18:49:39</v>
      </c>
    </row>
    <row r="1697" spans="1:6" x14ac:dyDescent="0.3">
      <c r="A1697" t="s">
        <v>0</v>
      </c>
      <c r="B1697" t="str">
        <f>"13024075758"</f>
        <v>13024075758</v>
      </c>
      <c r="C1697" t="s">
        <v>0</v>
      </c>
      <c r="D1697" t="s">
        <v>0</v>
      </c>
      <c r="E1697" t="s">
        <v>0</v>
      </c>
      <c r="F1697" t="str">
        <f>"2018-11-28 18:49:33"</f>
        <v>2018-11-28 18:49:33</v>
      </c>
    </row>
    <row r="1698" spans="1:6" x14ac:dyDescent="0.3">
      <c r="A1698" t="s">
        <v>2832</v>
      </c>
      <c r="B1698" t="str">
        <f>"15233065405"</f>
        <v>15233065405</v>
      </c>
      <c r="C1698" t="str">
        <f>"130929199409151448"</f>
        <v>130929199409151448</v>
      </c>
      <c r="D1698" t="s">
        <v>0</v>
      </c>
      <c r="E1698" t="s">
        <v>0</v>
      </c>
      <c r="F1698" t="str">
        <f>"2018-11-28 18:47:36"</f>
        <v>2018-11-28 18:47:36</v>
      </c>
    </row>
    <row r="1699" spans="1:6" x14ac:dyDescent="0.3">
      <c r="A1699" t="s">
        <v>0</v>
      </c>
      <c r="B1699" t="str">
        <f>"15761398565"</f>
        <v>15761398565</v>
      </c>
      <c r="C1699" t="s">
        <v>0</v>
      </c>
      <c r="D1699" t="s">
        <v>0</v>
      </c>
      <c r="E1699" t="s">
        <v>0</v>
      </c>
      <c r="F1699" t="str">
        <f>"2018-11-28 18:46:45"</f>
        <v>2018-11-28 18:46:45</v>
      </c>
    </row>
    <row r="1700" spans="1:6" x14ac:dyDescent="0.3">
      <c r="A1700" t="s">
        <v>0</v>
      </c>
      <c r="B1700" t="str">
        <f>"15281056642"</f>
        <v>15281056642</v>
      </c>
      <c r="C1700" t="s">
        <v>0</v>
      </c>
      <c r="D1700" t="s">
        <v>0</v>
      </c>
      <c r="E1700" t="s">
        <v>0</v>
      </c>
      <c r="F1700" t="str">
        <f>"2018-11-28 18:45:04"</f>
        <v>2018-11-28 18:45:04</v>
      </c>
    </row>
    <row r="1701" spans="1:6" x14ac:dyDescent="0.3">
      <c r="A1701" t="s">
        <v>2833</v>
      </c>
      <c r="B1701" t="str">
        <f>"18230970359"</f>
        <v>18230970359</v>
      </c>
      <c r="C1701" t="str">
        <f>"522401199706292547"</f>
        <v>522401199706292547</v>
      </c>
      <c r="D1701" t="s">
        <v>0</v>
      </c>
      <c r="E1701" t="s">
        <v>0</v>
      </c>
      <c r="F1701" t="str">
        <f>"2018-11-28 18:44:42"</f>
        <v>2018-11-28 18:44:42</v>
      </c>
    </row>
    <row r="1702" spans="1:6" x14ac:dyDescent="0.3">
      <c r="A1702" t="s">
        <v>0</v>
      </c>
      <c r="B1702" t="str">
        <f>"18288985286"</f>
        <v>18288985286</v>
      </c>
      <c r="C1702" t="s">
        <v>0</v>
      </c>
      <c r="D1702" t="s">
        <v>0</v>
      </c>
      <c r="E1702" t="s">
        <v>0</v>
      </c>
      <c r="F1702" t="str">
        <f>"2018-11-28 18:43:50"</f>
        <v>2018-11-28 18:43:50</v>
      </c>
    </row>
    <row r="1703" spans="1:6" x14ac:dyDescent="0.3">
      <c r="A1703" t="s">
        <v>2834</v>
      </c>
      <c r="B1703" t="str">
        <f>"13792371500"</f>
        <v>13792371500</v>
      </c>
      <c r="C1703" t="str">
        <f>"370826199003204060"</f>
        <v>370826199003204060</v>
      </c>
      <c r="D1703" t="s">
        <v>0</v>
      </c>
      <c r="E1703" t="s">
        <v>0</v>
      </c>
      <c r="F1703" t="str">
        <f>"2018-11-28 18:42:27"</f>
        <v>2018-11-28 18:42:27</v>
      </c>
    </row>
    <row r="1704" spans="1:6" x14ac:dyDescent="0.3">
      <c r="A1704" t="s">
        <v>2835</v>
      </c>
      <c r="B1704" t="str">
        <f>"17640569328"</f>
        <v>17640569328</v>
      </c>
      <c r="C1704" t="str">
        <f>"211302200012263226"</f>
        <v>211302200012263226</v>
      </c>
      <c r="D1704" t="s">
        <v>0</v>
      </c>
      <c r="E1704" t="s">
        <v>0</v>
      </c>
      <c r="F1704" t="str">
        <f>"2018-11-28 18:36:06"</f>
        <v>2018-11-28 18:36:06</v>
      </c>
    </row>
    <row r="1705" spans="1:6" x14ac:dyDescent="0.3">
      <c r="A1705" t="s">
        <v>2836</v>
      </c>
      <c r="B1705" t="str">
        <f>"13545596030"</f>
        <v>13545596030</v>
      </c>
      <c r="C1705" t="str">
        <f>"422324198108130012"</f>
        <v>422324198108130012</v>
      </c>
      <c r="D1705" t="s">
        <v>2837</v>
      </c>
      <c r="E1705" t="s">
        <v>2838</v>
      </c>
      <c r="F1705" t="str">
        <f>"2018-11-28 18:35:19"</f>
        <v>2018-11-28 18:35:19</v>
      </c>
    </row>
    <row r="1706" spans="1:6" x14ac:dyDescent="0.3">
      <c r="A1706" t="s">
        <v>2839</v>
      </c>
      <c r="B1706" t="str">
        <f>"13878808690"</f>
        <v>13878808690</v>
      </c>
      <c r="C1706" t="str">
        <f>"450121199007013990"</f>
        <v>450121199007013990</v>
      </c>
      <c r="D1706" t="s">
        <v>2840</v>
      </c>
      <c r="E1706" t="s">
        <v>2841</v>
      </c>
      <c r="F1706" t="str">
        <f>"2018-11-28 18:33:38"</f>
        <v>2018-11-28 18:33:38</v>
      </c>
    </row>
    <row r="1707" spans="1:6" x14ac:dyDescent="0.3">
      <c r="A1707" t="s">
        <v>2842</v>
      </c>
      <c r="B1707" t="str">
        <f>"17761585440"</f>
        <v>17761585440</v>
      </c>
      <c r="C1707" t="str">
        <f>"130984199611254226"</f>
        <v>130984199611254226</v>
      </c>
      <c r="D1707" t="s">
        <v>0</v>
      </c>
      <c r="E1707" t="s">
        <v>0</v>
      </c>
      <c r="F1707" t="str">
        <f>"2018-11-28 18:33:35"</f>
        <v>2018-11-28 18:33:35</v>
      </c>
    </row>
    <row r="1708" spans="1:6" x14ac:dyDescent="0.3">
      <c r="A1708" t="s">
        <v>2843</v>
      </c>
      <c r="B1708" t="str">
        <f>"18636322441"</f>
        <v>18636322441</v>
      </c>
      <c r="C1708" t="str">
        <f>"14273119830707631X"</f>
        <v>14273119830707631X</v>
      </c>
      <c r="D1708" t="s">
        <v>2844</v>
      </c>
      <c r="E1708" t="s">
        <v>2845</v>
      </c>
      <c r="F1708" t="str">
        <f>"2018-11-28 18:33:21"</f>
        <v>2018-11-28 18:33:21</v>
      </c>
    </row>
    <row r="1709" spans="1:6" x14ac:dyDescent="0.3">
      <c r="A1709" t="s">
        <v>0</v>
      </c>
      <c r="B1709" t="str">
        <f>"18222670654"</f>
        <v>18222670654</v>
      </c>
      <c r="C1709" t="s">
        <v>0</v>
      </c>
      <c r="D1709" t="s">
        <v>0</v>
      </c>
      <c r="E1709" t="s">
        <v>0</v>
      </c>
      <c r="F1709" t="str">
        <f>"2018-11-28 18:31:29"</f>
        <v>2018-11-28 18:31:29</v>
      </c>
    </row>
    <row r="1710" spans="1:6" x14ac:dyDescent="0.3">
      <c r="A1710" t="s">
        <v>2846</v>
      </c>
      <c r="B1710" t="str">
        <f>"15976311435"</f>
        <v>15976311435</v>
      </c>
      <c r="C1710" t="str">
        <f>"445121198608232871"</f>
        <v>445121198608232871</v>
      </c>
      <c r="D1710" t="s">
        <v>2847</v>
      </c>
      <c r="E1710" t="s">
        <v>2848</v>
      </c>
      <c r="F1710" t="str">
        <f>"2018-11-28 18:30:23"</f>
        <v>2018-11-28 18:30:23</v>
      </c>
    </row>
    <row r="1711" spans="1:6" x14ac:dyDescent="0.3">
      <c r="A1711" t="s">
        <v>2849</v>
      </c>
      <c r="B1711" t="str">
        <f>"13239364284"</f>
        <v>13239364284</v>
      </c>
      <c r="C1711" t="str">
        <f>"622224198403126018"</f>
        <v>622224198403126018</v>
      </c>
      <c r="D1711" t="s">
        <v>2850</v>
      </c>
      <c r="E1711" t="s">
        <v>2851</v>
      </c>
      <c r="F1711" t="str">
        <f>"2018-11-28 18:30:06"</f>
        <v>2018-11-28 18:30:06</v>
      </c>
    </row>
    <row r="1712" spans="1:6" x14ac:dyDescent="0.3">
      <c r="A1712" t="s">
        <v>2852</v>
      </c>
      <c r="B1712" t="str">
        <f>"13285620911"</f>
        <v>13285620911</v>
      </c>
      <c r="C1712" t="str">
        <f>"350121199601155218"</f>
        <v>350121199601155218</v>
      </c>
      <c r="D1712" t="s">
        <v>2853</v>
      </c>
      <c r="E1712" t="s">
        <v>2854</v>
      </c>
      <c r="F1712" t="str">
        <f>"2018-11-28 18:29:04"</f>
        <v>2018-11-28 18:29:04</v>
      </c>
    </row>
    <row r="1713" spans="1:6" x14ac:dyDescent="0.3">
      <c r="A1713" t="s">
        <v>2855</v>
      </c>
      <c r="B1713" t="str">
        <f>"15064390631"</f>
        <v>15064390631</v>
      </c>
      <c r="C1713" t="str">
        <f>"370306199207084723"</f>
        <v>370306199207084723</v>
      </c>
      <c r="D1713" t="s">
        <v>0</v>
      </c>
      <c r="E1713" t="s">
        <v>0</v>
      </c>
      <c r="F1713" t="str">
        <f>"2018-11-28 18:28:39"</f>
        <v>2018-11-28 18:28:39</v>
      </c>
    </row>
    <row r="1714" spans="1:6" x14ac:dyDescent="0.3">
      <c r="A1714" t="s">
        <v>2856</v>
      </c>
      <c r="B1714" t="str">
        <f>"17640321842"</f>
        <v>17640321842</v>
      </c>
      <c r="C1714" t="str">
        <f>"232324200011023637"</f>
        <v>232324200011023637</v>
      </c>
      <c r="D1714" t="s">
        <v>2857</v>
      </c>
      <c r="E1714" t="s">
        <v>2858</v>
      </c>
      <c r="F1714" t="str">
        <f>"2018-11-28 18:27:58"</f>
        <v>2018-11-28 18:27:58</v>
      </c>
    </row>
    <row r="1715" spans="1:6" x14ac:dyDescent="0.3">
      <c r="A1715" t="s">
        <v>2859</v>
      </c>
      <c r="B1715" t="str">
        <f>"13180160591"</f>
        <v>13180160591</v>
      </c>
      <c r="C1715" t="str">
        <f>"130181199011153621"</f>
        <v>130181199011153621</v>
      </c>
      <c r="D1715" t="s">
        <v>0</v>
      </c>
      <c r="E1715" t="s">
        <v>0</v>
      </c>
      <c r="F1715" t="str">
        <f>"2018-11-28 18:27:41"</f>
        <v>2018-11-28 18:27:41</v>
      </c>
    </row>
    <row r="1716" spans="1:6" x14ac:dyDescent="0.3">
      <c r="A1716" t="s">
        <v>2860</v>
      </c>
      <c r="B1716" t="str">
        <f>"13967203434"</f>
        <v>13967203434</v>
      </c>
      <c r="C1716" t="str">
        <f>"330921196812221023"</f>
        <v>330921196812221023</v>
      </c>
      <c r="D1716" t="s">
        <v>2861</v>
      </c>
      <c r="E1716" t="s">
        <v>2862</v>
      </c>
      <c r="F1716" t="str">
        <f>"2018-11-28 18:27:33"</f>
        <v>2018-11-28 18:27:33</v>
      </c>
    </row>
    <row r="1717" spans="1:6" x14ac:dyDescent="0.3">
      <c r="A1717" t="s">
        <v>2863</v>
      </c>
      <c r="B1717" t="str">
        <f>"18754957519"</f>
        <v>18754957519</v>
      </c>
      <c r="C1717" t="str">
        <f>"371322199906230719"</f>
        <v>371322199906230719</v>
      </c>
      <c r="D1717" t="s">
        <v>2864</v>
      </c>
      <c r="E1717" t="s">
        <v>2865</v>
      </c>
      <c r="F1717" t="str">
        <f>"2018-11-28 18:26:55"</f>
        <v>2018-11-28 18:26:55</v>
      </c>
    </row>
    <row r="1718" spans="1:6" x14ac:dyDescent="0.3">
      <c r="A1718" t="s">
        <v>2866</v>
      </c>
      <c r="B1718" t="str">
        <f>"18403198998"</f>
        <v>18403198998</v>
      </c>
      <c r="C1718" t="str">
        <f>"130528199511036616"</f>
        <v>130528199511036616</v>
      </c>
      <c r="D1718" t="s">
        <v>2867</v>
      </c>
      <c r="E1718" t="s">
        <v>2868</v>
      </c>
      <c r="F1718" t="str">
        <f>"2018-11-28 18:26:40"</f>
        <v>2018-11-28 18:26:40</v>
      </c>
    </row>
    <row r="1719" spans="1:6" x14ac:dyDescent="0.3">
      <c r="A1719" t="s">
        <v>2869</v>
      </c>
      <c r="B1719" t="str">
        <f>"15682672212"</f>
        <v>15682672212</v>
      </c>
      <c r="C1719" t="str">
        <f>"622322198904280219"</f>
        <v>622322198904280219</v>
      </c>
      <c r="D1719" t="s">
        <v>0</v>
      </c>
      <c r="E1719" t="s">
        <v>0</v>
      </c>
      <c r="F1719" t="str">
        <f>"2018-11-28 18:26:12"</f>
        <v>2018-11-28 18:26:12</v>
      </c>
    </row>
    <row r="1720" spans="1:6" x14ac:dyDescent="0.3">
      <c r="A1720" t="s">
        <v>2870</v>
      </c>
      <c r="B1720" t="str">
        <f>"13486667086"</f>
        <v>13486667086</v>
      </c>
      <c r="C1720" t="str">
        <f>"410423198710202520"</f>
        <v>410423198710202520</v>
      </c>
      <c r="D1720" t="s">
        <v>2871</v>
      </c>
      <c r="E1720" t="s">
        <v>2872</v>
      </c>
      <c r="F1720" t="str">
        <f>"2018-11-28 18:25:06"</f>
        <v>2018-11-28 18:25:06</v>
      </c>
    </row>
    <row r="1721" spans="1:6" x14ac:dyDescent="0.3">
      <c r="A1721" t="s">
        <v>0</v>
      </c>
      <c r="B1721" t="str">
        <f>"18392679785"</f>
        <v>18392679785</v>
      </c>
      <c r="C1721" t="s">
        <v>0</v>
      </c>
      <c r="D1721" t="s">
        <v>0</v>
      </c>
      <c r="E1721" t="s">
        <v>0</v>
      </c>
      <c r="F1721" t="str">
        <f>"2018-11-28 18:21:54"</f>
        <v>2018-11-28 18:21:54</v>
      </c>
    </row>
    <row r="1722" spans="1:6" x14ac:dyDescent="0.3">
      <c r="A1722" t="s">
        <v>0</v>
      </c>
      <c r="B1722" t="str">
        <f>"15227371016"</f>
        <v>15227371016</v>
      </c>
      <c r="C1722" t="s">
        <v>0</v>
      </c>
      <c r="D1722" t="s">
        <v>0</v>
      </c>
      <c r="E1722" t="s">
        <v>0</v>
      </c>
      <c r="F1722" t="str">
        <f>"2018-11-28 18:21:05"</f>
        <v>2018-11-28 18:21:05</v>
      </c>
    </row>
    <row r="1723" spans="1:6" x14ac:dyDescent="0.3">
      <c r="A1723" t="s">
        <v>0</v>
      </c>
      <c r="B1723" t="str">
        <f>"18408874919"</f>
        <v>18408874919</v>
      </c>
      <c r="C1723" t="s">
        <v>0</v>
      </c>
      <c r="D1723" t="s">
        <v>0</v>
      </c>
      <c r="E1723" t="s">
        <v>0</v>
      </c>
      <c r="F1723" t="str">
        <f>"2018-11-28 18:20:31"</f>
        <v>2018-11-28 18:20:31</v>
      </c>
    </row>
    <row r="1724" spans="1:6" x14ac:dyDescent="0.3">
      <c r="A1724" t="s">
        <v>2873</v>
      </c>
      <c r="B1724" t="str">
        <f>"17614844179"</f>
        <v>17614844179</v>
      </c>
      <c r="C1724" t="str">
        <f>"152625199911280513"</f>
        <v>152625199911280513</v>
      </c>
      <c r="D1724" t="s">
        <v>0</v>
      </c>
      <c r="E1724" t="s">
        <v>0</v>
      </c>
      <c r="F1724" t="str">
        <f>"2018-11-28 18:20:12"</f>
        <v>2018-11-28 18:20:12</v>
      </c>
    </row>
    <row r="1725" spans="1:6" x14ac:dyDescent="0.3">
      <c r="A1725" t="s">
        <v>2874</v>
      </c>
      <c r="B1725" t="str">
        <f>"18659619288"</f>
        <v>18659619288</v>
      </c>
      <c r="C1725" t="str">
        <f>"350627199403200079"</f>
        <v>350627199403200079</v>
      </c>
      <c r="D1725" t="s">
        <v>2875</v>
      </c>
      <c r="E1725" t="s">
        <v>2876</v>
      </c>
      <c r="F1725" t="str">
        <f>"2018-11-28 18:18:16"</f>
        <v>2018-11-28 18:18:16</v>
      </c>
    </row>
    <row r="1726" spans="1:6" x14ac:dyDescent="0.3">
      <c r="A1726" t="s">
        <v>2877</v>
      </c>
      <c r="B1726" t="str">
        <f>"17605603053"</f>
        <v>17605603053</v>
      </c>
      <c r="C1726" t="str">
        <f>"340122200007151230"</f>
        <v>340122200007151230</v>
      </c>
      <c r="D1726" t="s">
        <v>0</v>
      </c>
      <c r="E1726" t="s">
        <v>0</v>
      </c>
      <c r="F1726" t="str">
        <f>"2018-11-28 18:17:17"</f>
        <v>2018-11-28 18:17:17</v>
      </c>
    </row>
    <row r="1727" spans="1:6" x14ac:dyDescent="0.3">
      <c r="A1727" t="s">
        <v>2878</v>
      </c>
      <c r="B1727" t="str">
        <f>"13807801065"</f>
        <v>13807801065</v>
      </c>
      <c r="C1727" t="str">
        <f>"452729198510120057"</f>
        <v>452729198510120057</v>
      </c>
      <c r="D1727" t="s">
        <v>0</v>
      </c>
      <c r="E1727" t="s">
        <v>0</v>
      </c>
      <c r="F1727" t="str">
        <f>"2018-11-28 18:17:03"</f>
        <v>2018-11-28 18:17:03</v>
      </c>
    </row>
    <row r="1728" spans="1:6" x14ac:dyDescent="0.3">
      <c r="A1728" t="s">
        <v>2879</v>
      </c>
      <c r="B1728" t="str">
        <f>"15990135173"</f>
        <v>15990135173</v>
      </c>
      <c r="C1728" t="str">
        <f>"532233197911293437"</f>
        <v>532233197911293437</v>
      </c>
      <c r="D1728" t="s">
        <v>2880</v>
      </c>
      <c r="E1728" t="s">
        <v>2881</v>
      </c>
      <c r="F1728" t="str">
        <f>"2018-11-28 18:16:48"</f>
        <v>2018-11-28 18:16:48</v>
      </c>
    </row>
    <row r="1729" spans="1:6" x14ac:dyDescent="0.3">
      <c r="A1729" t="s">
        <v>2882</v>
      </c>
      <c r="B1729" t="str">
        <f>"18728620847"</f>
        <v>18728620847</v>
      </c>
      <c r="C1729" t="str">
        <f>"511621199508137195"</f>
        <v>511621199508137195</v>
      </c>
      <c r="D1729" t="s">
        <v>2883</v>
      </c>
      <c r="E1729" t="s">
        <v>2884</v>
      </c>
      <c r="F1729" t="str">
        <f>"2018-11-28 18:16:12"</f>
        <v>2018-11-28 18:16:12</v>
      </c>
    </row>
    <row r="1730" spans="1:6" x14ac:dyDescent="0.3">
      <c r="A1730" t="s">
        <v>0</v>
      </c>
      <c r="B1730" t="str">
        <f>"15145227270"</f>
        <v>15145227270</v>
      </c>
      <c r="C1730" t="s">
        <v>0</v>
      </c>
      <c r="D1730" t="s">
        <v>0</v>
      </c>
      <c r="E1730" t="s">
        <v>0</v>
      </c>
      <c r="F1730" t="str">
        <f>"2018-11-28 18:16:04"</f>
        <v>2018-11-28 18:16:04</v>
      </c>
    </row>
    <row r="1731" spans="1:6" x14ac:dyDescent="0.3">
      <c r="A1731" t="s">
        <v>2885</v>
      </c>
      <c r="B1731" t="str">
        <f>"18759453992"</f>
        <v>18759453992</v>
      </c>
      <c r="C1731" t="str">
        <f>"350583199507153110"</f>
        <v>350583199507153110</v>
      </c>
      <c r="D1731" t="s">
        <v>2886</v>
      </c>
      <c r="E1731" t="s">
        <v>2887</v>
      </c>
      <c r="F1731" t="str">
        <f>"2018-11-28 18:13:19"</f>
        <v>2018-11-28 18:13:19</v>
      </c>
    </row>
    <row r="1732" spans="1:6" x14ac:dyDescent="0.3">
      <c r="A1732" t="s">
        <v>2888</v>
      </c>
      <c r="B1732" t="str">
        <f>"15674707015"</f>
        <v>15674707015</v>
      </c>
      <c r="C1732" t="str">
        <f>"430422199305043011"</f>
        <v>430422199305043011</v>
      </c>
      <c r="D1732" t="s">
        <v>2889</v>
      </c>
      <c r="E1732" t="s">
        <v>2890</v>
      </c>
      <c r="F1732" t="str">
        <f>"2018-11-28 18:13:14"</f>
        <v>2018-11-28 18:13:14</v>
      </c>
    </row>
    <row r="1733" spans="1:6" x14ac:dyDescent="0.3">
      <c r="A1733" t="s">
        <v>2891</v>
      </c>
      <c r="B1733" t="str">
        <f>"15813953677"</f>
        <v>15813953677</v>
      </c>
      <c r="C1733" t="str">
        <f>"44120319890713121X"</f>
        <v>44120319890713121X</v>
      </c>
      <c r="D1733" t="s">
        <v>2892</v>
      </c>
      <c r="E1733" t="s">
        <v>2893</v>
      </c>
      <c r="F1733" t="str">
        <f>"2018-11-28 18:12:17"</f>
        <v>2018-11-28 18:12:17</v>
      </c>
    </row>
    <row r="1734" spans="1:6" x14ac:dyDescent="0.3">
      <c r="A1734" t="s">
        <v>0</v>
      </c>
      <c r="B1734" t="str">
        <f>"18061332025"</f>
        <v>18061332025</v>
      </c>
      <c r="C1734" t="s">
        <v>0</v>
      </c>
      <c r="D1734" t="s">
        <v>0</v>
      </c>
      <c r="E1734" t="s">
        <v>0</v>
      </c>
      <c r="F1734" t="str">
        <f>"2018-11-28 18:11:46"</f>
        <v>2018-11-28 18:11:46</v>
      </c>
    </row>
    <row r="1735" spans="1:6" x14ac:dyDescent="0.3">
      <c r="A1735" t="s">
        <v>0</v>
      </c>
      <c r="B1735" t="str">
        <f>"13481696717"</f>
        <v>13481696717</v>
      </c>
      <c r="C1735" t="s">
        <v>0</v>
      </c>
      <c r="D1735" t="s">
        <v>0</v>
      </c>
      <c r="E1735" t="s">
        <v>0</v>
      </c>
      <c r="F1735" t="str">
        <f>"2018-11-28 18:11:35"</f>
        <v>2018-11-28 18:11:35</v>
      </c>
    </row>
    <row r="1736" spans="1:6" x14ac:dyDescent="0.3">
      <c r="A1736" t="s">
        <v>2894</v>
      </c>
      <c r="B1736" t="str">
        <f>"15269530680"</f>
        <v>15269530680</v>
      </c>
      <c r="C1736" t="str">
        <f>"370687198109161588"</f>
        <v>370687198109161588</v>
      </c>
      <c r="D1736" t="s">
        <v>0</v>
      </c>
      <c r="E1736" t="s">
        <v>0</v>
      </c>
      <c r="F1736" t="str">
        <f>"2018-11-28 18:09:42"</f>
        <v>2018-11-28 18:09:42</v>
      </c>
    </row>
    <row r="1737" spans="1:6" x14ac:dyDescent="0.3">
      <c r="A1737" t="s">
        <v>2895</v>
      </c>
      <c r="B1737" t="str">
        <f>"18827242440"</f>
        <v>18827242440</v>
      </c>
      <c r="C1737" t="str">
        <f>"42052119920210291X"</f>
        <v>42052119920210291X</v>
      </c>
      <c r="D1737" t="s">
        <v>2896</v>
      </c>
      <c r="E1737" t="s">
        <v>2897</v>
      </c>
      <c r="F1737" t="str">
        <f>"2018-11-28 18:09:34"</f>
        <v>2018-11-28 18:09:34</v>
      </c>
    </row>
    <row r="1738" spans="1:6" x14ac:dyDescent="0.3">
      <c r="A1738" t="s">
        <v>2898</v>
      </c>
      <c r="B1738" t="str">
        <f>"15977355304"</f>
        <v>15977355304</v>
      </c>
      <c r="C1738" t="str">
        <f>"341227198902064545"</f>
        <v>341227198902064545</v>
      </c>
      <c r="D1738" t="s">
        <v>0</v>
      </c>
      <c r="E1738" t="s">
        <v>0</v>
      </c>
      <c r="F1738" t="str">
        <f>"2018-11-28 18:09:14"</f>
        <v>2018-11-28 18:09:14</v>
      </c>
    </row>
    <row r="1739" spans="1:6" x14ac:dyDescent="0.3">
      <c r="A1739" t="s">
        <v>0</v>
      </c>
      <c r="B1739" t="str">
        <f>"15250931934"</f>
        <v>15250931934</v>
      </c>
      <c r="C1739" t="s">
        <v>0</v>
      </c>
      <c r="D1739" t="s">
        <v>0</v>
      </c>
      <c r="E1739" t="s">
        <v>0</v>
      </c>
      <c r="F1739" t="str">
        <f>"2018-11-28 18:08:13"</f>
        <v>2018-11-28 18:08:13</v>
      </c>
    </row>
    <row r="1740" spans="1:6" x14ac:dyDescent="0.3">
      <c r="A1740" t="s">
        <v>0</v>
      </c>
      <c r="B1740" t="str">
        <f>"13682062224"</f>
        <v>13682062224</v>
      </c>
      <c r="C1740" t="s">
        <v>0</v>
      </c>
      <c r="D1740" t="s">
        <v>0</v>
      </c>
      <c r="E1740" t="s">
        <v>0</v>
      </c>
      <c r="F1740" t="str">
        <f>"2018-11-28 18:07:16"</f>
        <v>2018-11-28 18:07:16</v>
      </c>
    </row>
    <row r="1741" spans="1:6" x14ac:dyDescent="0.3">
      <c r="A1741" t="s">
        <v>0</v>
      </c>
      <c r="B1741" t="str">
        <f>"13093093279"</f>
        <v>13093093279</v>
      </c>
      <c r="C1741" t="s">
        <v>0</v>
      </c>
      <c r="D1741" t="s">
        <v>0</v>
      </c>
      <c r="E1741" t="s">
        <v>0</v>
      </c>
      <c r="F1741" t="str">
        <f>"2018-11-28 18:05:51"</f>
        <v>2018-11-28 18:05:51</v>
      </c>
    </row>
    <row r="1742" spans="1:6" x14ac:dyDescent="0.3">
      <c r="A1742" t="s">
        <v>0</v>
      </c>
      <c r="B1742" t="str">
        <f>"13415166263"</f>
        <v>13415166263</v>
      </c>
      <c r="C1742" t="s">
        <v>0</v>
      </c>
      <c r="D1742" t="s">
        <v>0</v>
      </c>
      <c r="E1742" t="s">
        <v>0</v>
      </c>
      <c r="F1742" t="str">
        <f>"2018-11-28 18:03:58"</f>
        <v>2018-11-28 18:03:58</v>
      </c>
    </row>
    <row r="1743" spans="1:6" x14ac:dyDescent="0.3">
      <c r="A1743" t="s">
        <v>2899</v>
      </c>
      <c r="B1743" t="str">
        <f>"13771027011"</f>
        <v>13771027011</v>
      </c>
      <c r="C1743" t="str">
        <f>"320204198201193046"</f>
        <v>320204198201193046</v>
      </c>
      <c r="D1743" t="s">
        <v>2900</v>
      </c>
      <c r="E1743" t="s">
        <v>2901</v>
      </c>
      <c r="F1743" t="str">
        <f>"2018-11-28 17:59:20"</f>
        <v>2018-11-28 17:59:20</v>
      </c>
    </row>
    <row r="1744" spans="1:6" x14ac:dyDescent="0.3">
      <c r="A1744" t="s">
        <v>2902</v>
      </c>
      <c r="B1744" t="str">
        <f>"13430777582"</f>
        <v>13430777582</v>
      </c>
      <c r="C1744" t="str">
        <f>"421022197802264876"</f>
        <v>421022197802264876</v>
      </c>
      <c r="D1744" t="s">
        <v>2903</v>
      </c>
      <c r="E1744" t="s">
        <v>2904</v>
      </c>
      <c r="F1744" t="str">
        <f>"2018-11-28 17:57:47"</f>
        <v>2018-11-28 17:57:47</v>
      </c>
    </row>
    <row r="1745" spans="1:6" x14ac:dyDescent="0.3">
      <c r="A1745" t="s">
        <v>2905</v>
      </c>
      <c r="B1745" t="str">
        <f>"13020417251"</f>
        <v>13020417251</v>
      </c>
      <c r="C1745" t="str">
        <f>"152321199511090022"</f>
        <v>152321199511090022</v>
      </c>
      <c r="D1745" t="s">
        <v>0</v>
      </c>
      <c r="E1745" t="s">
        <v>0</v>
      </c>
      <c r="F1745" t="str">
        <f>"2018-11-28 17:57:17"</f>
        <v>2018-11-28 17:57:17</v>
      </c>
    </row>
    <row r="1746" spans="1:6" x14ac:dyDescent="0.3">
      <c r="A1746" t="s">
        <v>2906</v>
      </c>
      <c r="B1746" t="str">
        <f>"15255989212"</f>
        <v>15255989212</v>
      </c>
      <c r="C1746" t="str">
        <f>"341022198903040913"</f>
        <v>341022198903040913</v>
      </c>
      <c r="D1746" t="s">
        <v>0</v>
      </c>
      <c r="E1746" t="s">
        <v>0</v>
      </c>
      <c r="F1746" t="str">
        <f>"2018-11-28 17:55:16"</f>
        <v>2018-11-28 17:55:16</v>
      </c>
    </row>
    <row r="1747" spans="1:6" x14ac:dyDescent="0.3">
      <c r="A1747" t="s">
        <v>0</v>
      </c>
      <c r="B1747" t="str">
        <f>"18995413616"</f>
        <v>18995413616</v>
      </c>
      <c r="C1747" t="s">
        <v>0</v>
      </c>
      <c r="D1747" t="s">
        <v>0</v>
      </c>
      <c r="E1747" t="s">
        <v>0</v>
      </c>
      <c r="F1747" t="str">
        <f>"2018-11-28 17:54:27"</f>
        <v>2018-11-28 17:54:27</v>
      </c>
    </row>
    <row r="1748" spans="1:6" x14ac:dyDescent="0.3">
      <c r="A1748" t="s">
        <v>2907</v>
      </c>
      <c r="B1748" t="str">
        <f>"15621253570"</f>
        <v>15621253570</v>
      </c>
      <c r="C1748" t="str">
        <f>"371428199704152015"</f>
        <v>371428199704152015</v>
      </c>
      <c r="D1748" t="s">
        <v>2908</v>
      </c>
      <c r="E1748" t="s">
        <v>2909</v>
      </c>
      <c r="F1748" t="str">
        <f>"2018-11-28 17:54:24"</f>
        <v>2018-11-28 17:54:24</v>
      </c>
    </row>
    <row r="1749" spans="1:6" x14ac:dyDescent="0.3">
      <c r="A1749" t="s">
        <v>2910</v>
      </c>
      <c r="B1749" t="str">
        <f>"18317728678"</f>
        <v>18317728678</v>
      </c>
      <c r="C1749" t="str">
        <f>"41052619851122297X"</f>
        <v>41052619851122297X</v>
      </c>
      <c r="D1749" t="s">
        <v>0</v>
      </c>
      <c r="E1749" t="s">
        <v>0</v>
      </c>
      <c r="F1749" t="str">
        <f>"2018-11-28 17:53:40"</f>
        <v>2018-11-28 17:53:40</v>
      </c>
    </row>
    <row r="1750" spans="1:6" x14ac:dyDescent="0.3">
      <c r="A1750" t="s">
        <v>0</v>
      </c>
      <c r="B1750" t="str">
        <f>"13263824406"</f>
        <v>13263824406</v>
      </c>
      <c r="C1750" t="s">
        <v>0</v>
      </c>
      <c r="D1750" t="s">
        <v>0</v>
      </c>
      <c r="E1750" t="s">
        <v>0</v>
      </c>
      <c r="F1750" t="str">
        <f>"2018-11-28 17:53:28"</f>
        <v>2018-11-28 17:53:28</v>
      </c>
    </row>
    <row r="1751" spans="1:6" x14ac:dyDescent="0.3">
      <c r="A1751" t="s">
        <v>2911</v>
      </c>
      <c r="B1751" t="str">
        <f>"15342297949"</f>
        <v>15342297949</v>
      </c>
      <c r="C1751" t="str">
        <f>"420102197508102859"</f>
        <v>420102197508102859</v>
      </c>
      <c r="D1751" t="s">
        <v>2912</v>
      </c>
      <c r="E1751" t="s">
        <v>2913</v>
      </c>
      <c r="F1751" t="str">
        <f>"2018-11-28 17:52:52"</f>
        <v>2018-11-28 17:52:52</v>
      </c>
    </row>
    <row r="1752" spans="1:6" x14ac:dyDescent="0.3">
      <c r="A1752" t="s">
        <v>2914</v>
      </c>
      <c r="B1752" t="str">
        <f>"15942483616"</f>
        <v>15942483616</v>
      </c>
      <c r="C1752" t="str">
        <f>"210282198910011720"</f>
        <v>210282198910011720</v>
      </c>
      <c r="D1752" t="s">
        <v>0</v>
      </c>
      <c r="E1752" t="s">
        <v>0</v>
      </c>
      <c r="F1752" t="str">
        <f>"2018-11-28 17:52:50"</f>
        <v>2018-11-28 17:52:50</v>
      </c>
    </row>
    <row r="1753" spans="1:6" x14ac:dyDescent="0.3">
      <c r="A1753" t="s">
        <v>2915</v>
      </c>
      <c r="B1753" t="str">
        <f>"13133832532"</f>
        <v>13133832532</v>
      </c>
      <c r="C1753" t="str">
        <f>"51032219921220583X"</f>
        <v>51032219921220583X</v>
      </c>
      <c r="D1753" t="s">
        <v>0</v>
      </c>
      <c r="E1753" t="s">
        <v>0</v>
      </c>
      <c r="F1753" t="str">
        <f>"2018-11-28 17:52:13"</f>
        <v>2018-11-28 17:52:13</v>
      </c>
    </row>
    <row r="1754" spans="1:6" x14ac:dyDescent="0.3">
      <c r="A1754" t="s">
        <v>2916</v>
      </c>
      <c r="B1754" t="str">
        <f>"17688114365"</f>
        <v>17688114365</v>
      </c>
      <c r="C1754" t="str">
        <f>"522227200004280419"</f>
        <v>522227200004280419</v>
      </c>
      <c r="D1754" t="s">
        <v>2917</v>
      </c>
      <c r="E1754" t="s">
        <v>2918</v>
      </c>
      <c r="F1754" t="str">
        <f>"2018-11-28 17:51:33"</f>
        <v>2018-11-28 17:51:33</v>
      </c>
    </row>
    <row r="1755" spans="1:6" x14ac:dyDescent="0.3">
      <c r="A1755" t="s">
        <v>0</v>
      </c>
      <c r="B1755" t="str">
        <f>"18676903024"</f>
        <v>18676903024</v>
      </c>
      <c r="C1755" t="s">
        <v>0</v>
      </c>
      <c r="D1755" t="s">
        <v>0</v>
      </c>
      <c r="E1755" t="s">
        <v>0</v>
      </c>
      <c r="F1755" t="str">
        <f>"2018-11-28 17:51:19"</f>
        <v>2018-11-28 17:51:19</v>
      </c>
    </row>
    <row r="1756" spans="1:6" x14ac:dyDescent="0.3">
      <c r="A1756" t="s">
        <v>2919</v>
      </c>
      <c r="B1756" t="str">
        <f>"15828706891"</f>
        <v>15828706891</v>
      </c>
      <c r="C1756" t="str">
        <f>"511024198702094047"</f>
        <v>511024198702094047</v>
      </c>
      <c r="D1756" t="s">
        <v>0</v>
      </c>
      <c r="E1756" t="s">
        <v>0</v>
      </c>
      <c r="F1756" t="str">
        <f>"2018-11-28 17:50:25"</f>
        <v>2018-11-28 17:50:25</v>
      </c>
    </row>
    <row r="1757" spans="1:6" x14ac:dyDescent="0.3">
      <c r="A1757" t="s">
        <v>2920</v>
      </c>
      <c r="B1757" t="str">
        <f>"13563994440"</f>
        <v>13563994440</v>
      </c>
      <c r="C1757" t="str">
        <f>"371327197905015737"</f>
        <v>371327197905015737</v>
      </c>
      <c r="D1757" t="s">
        <v>2921</v>
      </c>
      <c r="E1757" t="s">
        <v>2922</v>
      </c>
      <c r="F1757" t="str">
        <f>"2018-11-28 17:49:02"</f>
        <v>2018-11-28 17:49:02</v>
      </c>
    </row>
    <row r="1758" spans="1:6" x14ac:dyDescent="0.3">
      <c r="A1758" t="s">
        <v>0</v>
      </c>
      <c r="B1758" t="str">
        <f>"18545519008"</f>
        <v>18545519008</v>
      </c>
      <c r="C1758" t="s">
        <v>0</v>
      </c>
      <c r="D1758" t="s">
        <v>0</v>
      </c>
      <c r="E1758" t="s">
        <v>0</v>
      </c>
      <c r="F1758" t="str">
        <f>"2018-11-28 17:47:32"</f>
        <v>2018-11-28 17:47:32</v>
      </c>
    </row>
    <row r="1759" spans="1:6" x14ac:dyDescent="0.3">
      <c r="A1759" t="s">
        <v>2923</v>
      </c>
      <c r="B1759" t="str">
        <f>"15885831487"</f>
        <v>15885831487</v>
      </c>
      <c r="C1759" t="str">
        <f>"522631199606021781"</f>
        <v>522631199606021781</v>
      </c>
      <c r="D1759" t="s">
        <v>0</v>
      </c>
      <c r="E1759" t="s">
        <v>0</v>
      </c>
      <c r="F1759" t="str">
        <f>"2018-11-28 17:46:46"</f>
        <v>2018-11-28 17:46:46</v>
      </c>
    </row>
    <row r="1760" spans="1:6" x14ac:dyDescent="0.3">
      <c r="A1760" t="s">
        <v>2924</v>
      </c>
      <c r="B1760" t="str">
        <f>"13912578261"</f>
        <v>13912578261</v>
      </c>
      <c r="C1760" t="str">
        <f>"320925198501020614"</f>
        <v>320925198501020614</v>
      </c>
      <c r="D1760" t="s">
        <v>2925</v>
      </c>
      <c r="E1760" t="s">
        <v>2926</v>
      </c>
      <c r="F1760" t="str">
        <f>"2018-11-28 17:46:27"</f>
        <v>2018-11-28 17:46:27</v>
      </c>
    </row>
    <row r="1761" spans="1:6" x14ac:dyDescent="0.3">
      <c r="A1761" t="s">
        <v>0</v>
      </c>
      <c r="B1761" t="str">
        <f>"18123015517"</f>
        <v>18123015517</v>
      </c>
      <c r="C1761" t="s">
        <v>0</v>
      </c>
      <c r="D1761" t="s">
        <v>0</v>
      </c>
      <c r="E1761" t="s">
        <v>0</v>
      </c>
      <c r="F1761" t="str">
        <f>"2018-11-28 17:45:29"</f>
        <v>2018-11-28 17:45:29</v>
      </c>
    </row>
    <row r="1762" spans="1:6" x14ac:dyDescent="0.3">
      <c r="A1762" t="s">
        <v>0</v>
      </c>
      <c r="B1762" t="str">
        <f>"15361312262"</f>
        <v>15361312262</v>
      </c>
      <c r="C1762" t="s">
        <v>0</v>
      </c>
      <c r="D1762" t="s">
        <v>0</v>
      </c>
      <c r="E1762" t="s">
        <v>0</v>
      </c>
      <c r="F1762" t="str">
        <f>"2018-11-28 17:44:21"</f>
        <v>2018-11-28 17:44:21</v>
      </c>
    </row>
    <row r="1763" spans="1:6" x14ac:dyDescent="0.3">
      <c r="A1763" t="s">
        <v>0</v>
      </c>
      <c r="B1763" t="str">
        <f>"15577854714"</f>
        <v>15577854714</v>
      </c>
      <c r="C1763" t="s">
        <v>0</v>
      </c>
      <c r="D1763" t="s">
        <v>0</v>
      </c>
      <c r="E1763" t="s">
        <v>0</v>
      </c>
      <c r="F1763" t="str">
        <f>"2018-11-28 17:44:10"</f>
        <v>2018-11-28 17:44:10</v>
      </c>
    </row>
    <row r="1764" spans="1:6" x14ac:dyDescent="0.3">
      <c r="A1764" t="s">
        <v>2927</v>
      </c>
      <c r="B1764" t="str">
        <f>"13672828546"</f>
        <v>13672828546</v>
      </c>
      <c r="C1764" t="str">
        <f>"510923199507250717"</f>
        <v>510923199507250717</v>
      </c>
      <c r="D1764" t="s">
        <v>0</v>
      </c>
      <c r="E1764" t="s">
        <v>0</v>
      </c>
      <c r="F1764" t="str">
        <f>"2018-11-28 17:44:05"</f>
        <v>2018-11-28 17:44:05</v>
      </c>
    </row>
    <row r="1765" spans="1:6" x14ac:dyDescent="0.3">
      <c r="A1765" t="s">
        <v>2928</v>
      </c>
      <c r="B1765" t="str">
        <f>"17602080764"</f>
        <v>17602080764</v>
      </c>
      <c r="C1765" t="str">
        <f>"430426199803071360"</f>
        <v>430426199803071360</v>
      </c>
      <c r="D1765" t="s">
        <v>0</v>
      </c>
      <c r="E1765" t="s">
        <v>0</v>
      </c>
      <c r="F1765" t="str">
        <f>"2018-11-28 17:43:48"</f>
        <v>2018-11-28 17:43:48</v>
      </c>
    </row>
    <row r="1766" spans="1:6" x14ac:dyDescent="0.3">
      <c r="A1766" t="s">
        <v>0</v>
      </c>
      <c r="B1766" t="str">
        <f>"13105644660"</f>
        <v>13105644660</v>
      </c>
      <c r="C1766" t="s">
        <v>0</v>
      </c>
      <c r="D1766" t="s">
        <v>0</v>
      </c>
      <c r="E1766" t="s">
        <v>0</v>
      </c>
      <c r="F1766" t="str">
        <f>"2018-11-28 17:42:52"</f>
        <v>2018-11-28 17:42:52</v>
      </c>
    </row>
    <row r="1767" spans="1:6" x14ac:dyDescent="0.3">
      <c r="A1767" t="s">
        <v>2929</v>
      </c>
      <c r="B1767" t="str">
        <f>"18881765577"</f>
        <v>18881765577</v>
      </c>
      <c r="C1767" t="str">
        <f>"511323199102046310"</f>
        <v>511323199102046310</v>
      </c>
      <c r="D1767" t="s">
        <v>0</v>
      </c>
      <c r="E1767" t="s">
        <v>0</v>
      </c>
      <c r="F1767" t="str">
        <f>"2018-11-28 17:42:03"</f>
        <v>2018-11-28 17:42:03</v>
      </c>
    </row>
    <row r="1768" spans="1:6" x14ac:dyDescent="0.3">
      <c r="A1768" t="s">
        <v>2930</v>
      </c>
      <c r="B1768" t="str">
        <f>"18656950587"</f>
        <v>18656950587</v>
      </c>
      <c r="C1768" t="str">
        <f>"34240119901222153X"</f>
        <v>34240119901222153X</v>
      </c>
      <c r="D1768" t="s">
        <v>0</v>
      </c>
      <c r="E1768" t="s">
        <v>0</v>
      </c>
      <c r="F1768" t="str">
        <f>"2018-11-28 17:40:47"</f>
        <v>2018-11-28 17:40:47</v>
      </c>
    </row>
    <row r="1769" spans="1:6" x14ac:dyDescent="0.3">
      <c r="A1769" t="s">
        <v>2931</v>
      </c>
      <c r="B1769" t="str">
        <f>"13128789770"</f>
        <v>13128789770</v>
      </c>
      <c r="C1769" t="str">
        <f>"350181199402051930"</f>
        <v>350181199402051930</v>
      </c>
      <c r="D1769" t="s">
        <v>2932</v>
      </c>
      <c r="E1769" t="s">
        <v>2933</v>
      </c>
      <c r="F1769" t="str">
        <f>"2018-11-28 17:40:30"</f>
        <v>2018-11-28 17:40:30</v>
      </c>
    </row>
    <row r="1770" spans="1:6" x14ac:dyDescent="0.3">
      <c r="A1770" t="s">
        <v>2934</v>
      </c>
      <c r="B1770" t="str">
        <f>"17385658759"</f>
        <v>17385658759</v>
      </c>
      <c r="C1770" t="str">
        <f>"522701197312254713"</f>
        <v>522701197312254713</v>
      </c>
      <c r="D1770" t="s">
        <v>2935</v>
      </c>
      <c r="E1770" t="s">
        <v>2936</v>
      </c>
      <c r="F1770" t="str">
        <f>"2018-11-28 17:40:00"</f>
        <v>2018-11-28 17:40:00</v>
      </c>
    </row>
    <row r="1771" spans="1:6" x14ac:dyDescent="0.3">
      <c r="A1771" t="s">
        <v>0</v>
      </c>
      <c r="B1771" t="str">
        <f>"13084909314"</f>
        <v>13084909314</v>
      </c>
      <c r="C1771" t="s">
        <v>0</v>
      </c>
      <c r="D1771" t="s">
        <v>0</v>
      </c>
      <c r="E1771" t="s">
        <v>0</v>
      </c>
      <c r="F1771" t="str">
        <f>"2018-11-28 17:39:45"</f>
        <v>2018-11-28 17:39:45</v>
      </c>
    </row>
    <row r="1772" spans="1:6" x14ac:dyDescent="0.3">
      <c r="A1772" t="s">
        <v>2937</v>
      </c>
      <c r="B1772" t="str">
        <f>"15813379859"</f>
        <v>15813379859</v>
      </c>
      <c r="C1772" t="str">
        <f>"445281199107110311"</f>
        <v>445281199107110311</v>
      </c>
      <c r="D1772" t="s">
        <v>2938</v>
      </c>
      <c r="E1772" t="s">
        <v>2939</v>
      </c>
      <c r="F1772" t="str">
        <f>"2018-11-28 17:39:27"</f>
        <v>2018-11-28 17:39:27</v>
      </c>
    </row>
    <row r="1773" spans="1:6" x14ac:dyDescent="0.3">
      <c r="A1773" t="s">
        <v>2940</v>
      </c>
      <c r="B1773" t="str">
        <f>"13533012872"</f>
        <v>13533012872</v>
      </c>
      <c r="C1773" t="str">
        <f>"440221198709294714"</f>
        <v>440221198709294714</v>
      </c>
      <c r="D1773" t="s">
        <v>2941</v>
      </c>
      <c r="E1773" t="s">
        <v>2942</v>
      </c>
      <c r="F1773" t="str">
        <f>"2018-11-28 17:39:18"</f>
        <v>2018-11-28 17:39:18</v>
      </c>
    </row>
    <row r="1774" spans="1:6" x14ac:dyDescent="0.3">
      <c r="A1774" t="s">
        <v>0</v>
      </c>
      <c r="B1774" t="str">
        <f>"15975979246"</f>
        <v>15975979246</v>
      </c>
      <c r="C1774" t="s">
        <v>0</v>
      </c>
      <c r="D1774" t="s">
        <v>0</v>
      </c>
      <c r="E1774" t="s">
        <v>0</v>
      </c>
      <c r="F1774" t="str">
        <f>"2018-11-28 17:37:50"</f>
        <v>2018-11-28 17:37:50</v>
      </c>
    </row>
    <row r="1775" spans="1:6" x14ac:dyDescent="0.3">
      <c r="A1775" t="s">
        <v>883</v>
      </c>
      <c r="B1775" t="str">
        <f>"18613514997"</f>
        <v>18613514997</v>
      </c>
      <c r="C1775" t="str">
        <f>"14260119930212132X"</f>
        <v>14260119930212132X</v>
      </c>
      <c r="D1775" t="s">
        <v>2943</v>
      </c>
      <c r="E1775" t="s">
        <v>2944</v>
      </c>
      <c r="F1775" t="str">
        <f>"2018-11-28 17:37:37"</f>
        <v>2018-11-28 17:37:37</v>
      </c>
    </row>
    <row r="1776" spans="1:6" x14ac:dyDescent="0.3">
      <c r="A1776" t="s">
        <v>0</v>
      </c>
      <c r="B1776" t="str">
        <f>"13087794440"</f>
        <v>13087794440</v>
      </c>
      <c r="C1776" t="s">
        <v>0</v>
      </c>
      <c r="D1776" t="s">
        <v>0</v>
      </c>
      <c r="E1776" t="s">
        <v>0</v>
      </c>
      <c r="F1776" t="str">
        <f>"2018-11-28 17:37:04"</f>
        <v>2018-11-28 17:37:04</v>
      </c>
    </row>
    <row r="1777" spans="1:6" x14ac:dyDescent="0.3">
      <c r="A1777" t="s">
        <v>2945</v>
      </c>
      <c r="B1777" t="str">
        <f>"15051301530"</f>
        <v>15051301530</v>
      </c>
      <c r="C1777" t="str">
        <f>"321323199004014950"</f>
        <v>321323199004014950</v>
      </c>
      <c r="D1777" t="s">
        <v>0</v>
      </c>
      <c r="E1777" t="s">
        <v>0</v>
      </c>
      <c r="F1777" t="str">
        <f>"2018-11-28 17:37:04"</f>
        <v>2018-11-28 17:37:04</v>
      </c>
    </row>
    <row r="1778" spans="1:6" x14ac:dyDescent="0.3">
      <c r="A1778" t="s">
        <v>2946</v>
      </c>
      <c r="B1778" t="str">
        <f>"17328290093"</f>
        <v>17328290093</v>
      </c>
      <c r="C1778" t="str">
        <f>"450703199807230926"</f>
        <v>450703199807230926</v>
      </c>
      <c r="D1778" t="s">
        <v>0</v>
      </c>
      <c r="E1778" t="s">
        <v>0</v>
      </c>
      <c r="F1778" t="str">
        <f>"2018-11-28 17:36:00"</f>
        <v>2018-11-28 17:36:00</v>
      </c>
    </row>
    <row r="1779" spans="1:6" x14ac:dyDescent="0.3">
      <c r="A1779" t="s">
        <v>2947</v>
      </c>
      <c r="B1779" t="str">
        <f>"13530872240"</f>
        <v>13530872240</v>
      </c>
      <c r="C1779" t="str">
        <f>"513022199010230777"</f>
        <v>513022199010230777</v>
      </c>
      <c r="D1779" t="s">
        <v>2948</v>
      </c>
      <c r="E1779" t="s">
        <v>2949</v>
      </c>
      <c r="F1779" t="str">
        <f>"2018-11-28 17:35:16"</f>
        <v>2018-11-28 17:35:16</v>
      </c>
    </row>
    <row r="1780" spans="1:6" x14ac:dyDescent="0.3">
      <c r="A1780" t="s">
        <v>2950</v>
      </c>
      <c r="B1780" t="str">
        <f>"13590341857"</f>
        <v>13590341857</v>
      </c>
      <c r="C1780" t="str">
        <f>"440924198002292536"</f>
        <v>440924198002292536</v>
      </c>
      <c r="D1780" t="s">
        <v>2951</v>
      </c>
      <c r="E1780" t="s">
        <v>2952</v>
      </c>
      <c r="F1780" t="str">
        <f>"2018-11-28 17:35:12"</f>
        <v>2018-11-28 17:35:12</v>
      </c>
    </row>
    <row r="1781" spans="1:6" x14ac:dyDescent="0.3">
      <c r="A1781" t="s">
        <v>2953</v>
      </c>
      <c r="B1781" t="str">
        <f>"13595211780"</f>
        <v>13595211780</v>
      </c>
      <c r="C1781" t="str">
        <f>"522101197712053619"</f>
        <v>522101197712053619</v>
      </c>
      <c r="D1781" t="s">
        <v>2954</v>
      </c>
      <c r="E1781" t="s">
        <v>2955</v>
      </c>
      <c r="F1781" t="str">
        <f>"2018-11-28 17:32:21"</f>
        <v>2018-11-28 17:32:21</v>
      </c>
    </row>
    <row r="1782" spans="1:6" x14ac:dyDescent="0.3">
      <c r="A1782" t="s">
        <v>2956</v>
      </c>
      <c r="B1782" t="str">
        <f>"15923176488"</f>
        <v>15923176488</v>
      </c>
      <c r="C1782" t="str">
        <f>"510226197609226357"</f>
        <v>510226197609226357</v>
      </c>
      <c r="D1782" t="s">
        <v>2957</v>
      </c>
      <c r="E1782" t="s">
        <v>2958</v>
      </c>
      <c r="F1782" t="str">
        <f>"2018-11-28 17:32:21"</f>
        <v>2018-11-28 17:32:21</v>
      </c>
    </row>
    <row r="1783" spans="1:6" x14ac:dyDescent="0.3">
      <c r="A1783" t="s">
        <v>0</v>
      </c>
      <c r="B1783" t="str">
        <f>"18922783591"</f>
        <v>18922783591</v>
      </c>
      <c r="C1783" t="s">
        <v>0</v>
      </c>
      <c r="D1783" t="s">
        <v>0</v>
      </c>
      <c r="E1783" t="s">
        <v>0</v>
      </c>
      <c r="F1783" t="str">
        <f>"2018-11-28 17:32:20"</f>
        <v>2018-11-28 17:32:20</v>
      </c>
    </row>
    <row r="1784" spans="1:6" x14ac:dyDescent="0.3">
      <c r="A1784" t="s">
        <v>0</v>
      </c>
      <c r="B1784" t="str">
        <f>"18584441216"</f>
        <v>18584441216</v>
      </c>
      <c r="C1784" t="s">
        <v>0</v>
      </c>
      <c r="D1784" t="s">
        <v>0</v>
      </c>
      <c r="E1784" t="s">
        <v>0</v>
      </c>
      <c r="F1784" t="str">
        <f>"2018-11-28 17:31:37"</f>
        <v>2018-11-28 17:31:37</v>
      </c>
    </row>
    <row r="1785" spans="1:6" x14ac:dyDescent="0.3">
      <c r="A1785" t="s">
        <v>2959</v>
      </c>
      <c r="B1785" t="str">
        <f>"15720875227"</f>
        <v>15720875227</v>
      </c>
      <c r="C1785" t="str">
        <f>"320525199110152516"</f>
        <v>320525199110152516</v>
      </c>
      <c r="D1785" t="s">
        <v>0</v>
      </c>
      <c r="E1785" t="s">
        <v>0</v>
      </c>
      <c r="F1785" t="str">
        <f>"2018-11-28 17:31:05"</f>
        <v>2018-11-28 17:31:05</v>
      </c>
    </row>
    <row r="1786" spans="1:6" x14ac:dyDescent="0.3">
      <c r="A1786" t="s">
        <v>2960</v>
      </c>
      <c r="B1786" t="str">
        <f>"13129439961"</f>
        <v>13129439961</v>
      </c>
      <c r="C1786" t="str">
        <f>"430581199002105559"</f>
        <v>430581199002105559</v>
      </c>
      <c r="D1786" t="s">
        <v>0</v>
      </c>
      <c r="E1786" t="s">
        <v>0</v>
      </c>
      <c r="F1786" t="str">
        <f>"2018-11-28 17:30:39"</f>
        <v>2018-11-28 17:30:39</v>
      </c>
    </row>
    <row r="1787" spans="1:6" x14ac:dyDescent="0.3">
      <c r="A1787" t="s">
        <v>2961</v>
      </c>
      <c r="B1787" t="str">
        <f>"18293665776"</f>
        <v>18293665776</v>
      </c>
      <c r="C1787" t="str">
        <f>"622201199012058476"</f>
        <v>622201199012058476</v>
      </c>
      <c r="D1787" t="s">
        <v>2962</v>
      </c>
      <c r="E1787" t="s">
        <v>2963</v>
      </c>
      <c r="F1787" t="str">
        <f>"2018-11-28 17:30:25"</f>
        <v>2018-11-28 17:30:25</v>
      </c>
    </row>
    <row r="1788" spans="1:6" x14ac:dyDescent="0.3">
      <c r="A1788" t="s">
        <v>0</v>
      </c>
      <c r="B1788" t="str">
        <f>"18671370753"</f>
        <v>18671370753</v>
      </c>
      <c r="C1788" t="s">
        <v>0</v>
      </c>
      <c r="D1788" t="s">
        <v>0</v>
      </c>
      <c r="E1788" t="s">
        <v>0</v>
      </c>
      <c r="F1788" t="str">
        <f>"2018-11-28 17:29:07"</f>
        <v>2018-11-28 17:29:07</v>
      </c>
    </row>
    <row r="1789" spans="1:6" x14ac:dyDescent="0.3">
      <c r="A1789" t="s">
        <v>0</v>
      </c>
      <c r="B1789" t="str">
        <f>"18367004216"</f>
        <v>18367004216</v>
      </c>
      <c r="C1789" t="s">
        <v>0</v>
      </c>
      <c r="D1789" t="s">
        <v>0</v>
      </c>
      <c r="E1789" t="s">
        <v>0</v>
      </c>
      <c r="F1789" t="str">
        <f>"2018-11-28 17:25:45"</f>
        <v>2018-11-28 17:25:45</v>
      </c>
    </row>
    <row r="1790" spans="1:6" x14ac:dyDescent="0.3">
      <c r="A1790" t="s">
        <v>2964</v>
      </c>
      <c r="B1790" t="str">
        <f>"18406842122"</f>
        <v>18406842122</v>
      </c>
      <c r="C1790" t="str">
        <f>"532326199811090326"</f>
        <v>532326199811090326</v>
      </c>
      <c r="D1790" t="s">
        <v>0</v>
      </c>
      <c r="E1790" t="s">
        <v>0</v>
      </c>
      <c r="F1790" t="str">
        <f>"2018-11-28 17:25:16"</f>
        <v>2018-11-28 17:25:16</v>
      </c>
    </row>
    <row r="1791" spans="1:6" x14ac:dyDescent="0.3">
      <c r="A1791" t="s">
        <v>0</v>
      </c>
      <c r="B1791" t="str">
        <f>"15975952488"</f>
        <v>15975952488</v>
      </c>
      <c r="C1791" t="s">
        <v>0</v>
      </c>
      <c r="D1791" t="s">
        <v>0</v>
      </c>
      <c r="E1791" t="s">
        <v>0</v>
      </c>
      <c r="F1791" t="str">
        <f>"2018-11-28 17:24:03"</f>
        <v>2018-11-28 17:24:03</v>
      </c>
    </row>
    <row r="1792" spans="1:6" x14ac:dyDescent="0.3">
      <c r="A1792" t="s">
        <v>2965</v>
      </c>
      <c r="B1792" t="str">
        <f>"13663401506"</f>
        <v>13663401506</v>
      </c>
      <c r="C1792" t="str">
        <f>"140621198811012518"</f>
        <v>140621198811012518</v>
      </c>
      <c r="D1792" t="s">
        <v>2966</v>
      </c>
      <c r="E1792" t="s">
        <v>2967</v>
      </c>
      <c r="F1792" t="str">
        <f>"2018-11-28 17:24:00"</f>
        <v>2018-11-28 17:24:00</v>
      </c>
    </row>
    <row r="1793" spans="1:6" x14ac:dyDescent="0.3">
      <c r="A1793" t="s">
        <v>2968</v>
      </c>
      <c r="B1793" t="str">
        <f>"15062650024"</f>
        <v>15062650024</v>
      </c>
      <c r="C1793" t="str">
        <f>"340421199306305812"</f>
        <v>340421199306305812</v>
      </c>
      <c r="D1793" t="s">
        <v>2969</v>
      </c>
      <c r="E1793" t="s">
        <v>2970</v>
      </c>
      <c r="F1793" t="str">
        <f>"2018-11-28 17:24:00"</f>
        <v>2018-11-28 17:24:00</v>
      </c>
    </row>
    <row r="1794" spans="1:6" x14ac:dyDescent="0.3">
      <c r="A1794" t="s">
        <v>2971</v>
      </c>
      <c r="B1794" t="str">
        <f>"18266055161"</f>
        <v>18266055161</v>
      </c>
      <c r="C1794" t="str">
        <f>"370405199001013814"</f>
        <v>370405199001013814</v>
      </c>
      <c r="D1794" t="s">
        <v>2972</v>
      </c>
      <c r="E1794" t="s">
        <v>2973</v>
      </c>
      <c r="F1794" t="str">
        <f>"2018-11-28 17:23:18"</f>
        <v>2018-11-28 17:23:18</v>
      </c>
    </row>
    <row r="1795" spans="1:6" x14ac:dyDescent="0.3">
      <c r="A1795" t="s">
        <v>2974</v>
      </c>
      <c r="B1795" t="str">
        <f>"13842456735"</f>
        <v>13842456735</v>
      </c>
      <c r="C1795" t="str">
        <f>"210521198612190015"</f>
        <v>210521198612190015</v>
      </c>
      <c r="D1795" t="s">
        <v>2975</v>
      </c>
      <c r="E1795" t="s">
        <v>2976</v>
      </c>
      <c r="F1795" t="str">
        <f>"2018-11-28 17:21:15"</f>
        <v>2018-11-28 17:21:15</v>
      </c>
    </row>
    <row r="1796" spans="1:6" x14ac:dyDescent="0.3">
      <c r="A1796" t="s">
        <v>2977</v>
      </c>
      <c r="B1796" t="str">
        <f>"13665645480"</f>
        <v>13665645480</v>
      </c>
      <c r="C1796" t="str">
        <f>"342425199309090519"</f>
        <v>342425199309090519</v>
      </c>
      <c r="D1796" t="s">
        <v>2978</v>
      </c>
      <c r="E1796" t="s">
        <v>2979</v>
      </c>
      <c r="F1796" t="str">
        <f>"2018-11-28 17:18:40"</f>
        <v>2018-11-28 17:18:40</v>
      </c>
    </row>
    <row r="1797" spans="1:6" x14ac:dyDescent="0.3">
      <c r="A1797" t="s">
        <v>0</v>
      </c>
      <c r="B1797" t="str">
        <f>"13152655346"</f>
        <v>13152655346</v>
      </c>
      <c r="C1797" t="s">
        <v>0</v>
      </c>
      <c r="D1797" t="s">
        <v>0</v>
      </c>
      <c r="E1797" t="s">
        <v>0</v>
      </c>
      <c r="F1797" t="str">
        <f>"2018-11-28 17:18:26"</f>
        <v>2018-11-28 17:18:26</v>
      </c>
    </row>
    <row r="1798" spans="1:6" x14ac:dyDescent="0.3">
      <c r="A1798" t="s">
        <v>2980</v>
      </c>
      <c r="B1798" t="str">
        <f>"18331010661"</f>
        <v>18331010661</v>
      </c>
      <c r="C1798" t="str">
        <f>"130602196305022414"</f>
        <v>130602196305022414</v>
      </c>
      <c r="D1798" t="s">
        <v>2981</v>
      </c>
      <c r="E1798" t="s">
        <v>2982</v>
      </c>
      <c r="F1798" t="str">
        <f>"2018-11-28 17:18:00"</f>
        <v>2018-11-28 17:18:00</v>
      </c>
    </row>
    <row r="1799" spans="1:6" x14ac:dyDescent="0.3">
      <c r="A1799" t="s">
        <v>2983</v>
      </c>
      <c r="B1799" t="str">
        <f>"13112160304"</f>
        <v>13112160304</v>
      </c>
      <c r="C1799" t="str">
        <f>"445281199911161048"</f>
        <v>445281199911161048</v>
      </c>
      <c r="D1799" t="s">
        <v>0</v>
      </c>
      <c r="E1799" t="s">
        <v>0</v>
      </c>
      <c r="F1799" t="str">
        <f>"2018-11-28 17:16:03"</f>
        <v>2018-11-28 17:16:03</v>
      </c>
    </row>
    <row r="1800" spans="1:6" x14ac:dyDescent="0.3">
      <c r="A1800" t="s">
        <v>0</v>
      </c>
      <c r="B1800" t="str">
        <f>"13017923854"</f>
        <v>13017923854</v>
      </c>
      <c r="C1800" t="s">
        <v>0</v>
      </c>
      <c r="D1800" t="s">
        <v>0</v>
      </c>
      <c r="E1800" t="s">
        <v>0</v>
      </c>
      <c r="F1800" t="str">
        <f>"2018-11-28 17:14:11"</f>
        <v>2018-11-28 17:14:11</v>
      </c>
    </row>
    <row r="1801" spans="1:6" x14ac:dyDescent="0.3">
      <c r="A1801" t="s">
        <v>2984</v>
      </c>
      <c r="B1801" t="str">
        <f>"18149391235"</f>
        <v>18149391235</v>
      </c>
      <c r="C1801" t="str">
        <f>"610125198908171954"</f>
        <v>610125198908171954</v>
      </c>
      <c r="D1801" t="s">
        <v>0</v>
      </c>
      <c r="E1801" t="s">
        <v>0</v>
      </c>
      <c r="F1801" t="str">
        <f>"2018-11-28 17:14:07"</f>
        <v>2018-11-28 17:14:07</v>
      </c>
    </row>
    <row r="1802" spans="1:6" x14ac:dyDescent="0.3">
      <c r="A1802" t="s">
        <v>2985</v>
      </c>
      <c r="B1802" t="str">
        <f>"17302369320"</f>
        <v>17302369320</v>
      </c>
      <c r="C1802" t="str">
        <f>"500101198604064416"</f>
        <v>500101198604064416</v>
      </c>
      <c r="D1802" t="s">
        <v>2986</v>
      </c>
      <c r="E1802" t="s">
        <v>2987</v>
      </c>
      <c r="F1802" t="str">
        <f>"2018-11-28 17:13:07"</f>
        <v>2018-11-28 17:13:07</v>
      </c>
    </row>
    <row r="1803" spans="1:6" x14ac:dyDescent="0.3">
      <c r="A1803" t="s">
        <v>0</v>
      </c>
      <c r="B1803" t="str">
        <f>"13634612064"</f>
        <v>13634612064</v>
      </c>
      <c r="C1803" t="s">
        <v>0</v>
      </c>
      <c r="D1803" t="s">
        <v>0</v>
      </c>
      <c r="E1803" t="s">
        <v>0</v>
      </c>
      <c r="F1803" t="str">
        <f>"2018-11-28 17:12:02"</f>
        <v>2018-11-28 17:12:02</v>
      </c>
    </row>
    <row r="1804" spans="1:6" x14ac:dyDescent="0.3">
      <c r="A1804" t="s">
        <v>2988</v>
      </c>
      <c r="B1804" t="str">
        <f>"18825538814"</f>
        <v>18825538814</v>
      </c>
      <c r="C1804" t="str">
        <f>"450821199306140824"</f>
        <v>450821199306140824</v>
      </c>
      <c r="D1804" t="s">
        <v>2989</v>
      </c>
      <c r="E1804" t="s">
        <v>2990</v>
      </c>
      <c r="F1804" t="str">
        <f>"2018-11-28 17:11:50"</f>
        <v>2018-11-28 17:11:50</v>
      </c>
    </row>
    <row r="1805" spans="1:6" x14ac:dyDescent="0.3">
      <c r="A1805" t="s">
        <v>2991</v>
      </c>
      <c r="B1805" t="str">
        <f>"13752532796"</f>
        <v>13752532796</v>
      </c>
      <c r="C1805" t="str">
        <f>"330881198710055925"</f>
        <v>330881198710055925</v>
      </c>
      <c r="D1805" t="s">
        <v>2992</v>
      </c>
      <c r="E1805" t="s">
        <v>2993</v>
      </c>
      <c r="F1805" t="str">
        <f>"2018-11-28 17:10:27"</f>
        <v>2018-11-28 17:10:27</v>
      </c>
    </row>
    <row r="1806" spans="1:6" x14ac:dyDescent="0.3">
      <c r="A1806" t="s">
        <v>0</v>
      </c>
      <c r="B1806" t="str">
        <f>"15074085166"</f>
        <v>15074085166</v>
      </c>
      <c r="C1806" t="s">
        <v>0</v>
      </c>
      <c r="D1806" t="s">
        <v>0</v>
      </c>
      <c r="E1806" t="s">
        <v>0</v>
      </c>
      <c r="F1806" t="str">
        <f>"2018-11-28 17:09:48"</f>
        <v>2018-11-28 17:09:48</v>
      </c>
    </row>
    <row r="1807" spans="1:6" x14ac:dyDescent="0.3">
      <c r="A1807" t="s">
        <v>2994</v>
      </c>
      <c r="B1807" t="str">
        <f>"13764586761"</f>
        <v>13764586761</v>
      </c>
      <c r="C1807" t="str">
        <f>"622726199512200808"</f>
        <v>622726199512200808</v>
      </c>
      <c r="D1807" t="s">
        <v>0</v>
      </c>
      <c r="E1807" t="s">
        <v>0</v>
      </c>
      <c r="F1807" t="str">
        <f>"2018-11-28 17:09:18"</f>
        <v>2018-11-28 17:09:18</v>
      </c>
    </row>
    <row r="1808" spans="1:6" x14ac:dyDescent="0.3">
      <c r="A1808" t="s">
        <v>2995</v>
      </c>
      <c r="B1808" t="str">
        <f>"13503376147"</f>
        <v>13503376147</v>
      </c>
      <c r="C1808" t="str">
        <f>"130221198311162719"</f>
        <v>130221198311162719</v>
      </c>
      <c r="D1808" t="s">
        <v>2996</v>
      </c>
      <c r="E1808" t="s">
        <v>2997</v>
      </c>
      <c r="F1808" t="str">
        <f>"2018-11-28 17:07:00"</f>
        <v>2018-11-28 17:07:00</v>
      </c>
    </row>
    <row r="1809" spans="1:6" x14ac:dyDescent="0.3">
      <c r="A1809" t="s">
        <v>0</v>
      </c>
      <c r="B1809" t="str">
        <f>"15547711006"</f>
        <v>15547711006</v>
      </c>
      <c r="C1809" t="s">
        <v>0</v>
      </c>
      <c r="D1809" t="s">
        <v>0</v>
      </c>
      <c r="E1809" t="s">
        <v>0</v>
      </c>
      <c r="F1809" t="str">
        <f>"2018-11-28 17:06:07"</f>
        <v>2018-11-28 17:06:07</v>
      </c>
    </row>
    <row r="1810" spans="1:6" x14ac:dyDescent="0.3">
      <c r="A1810" t="s">
        <v>0</v>
      </c>
      <c r="B1810" t="str">
        <f>"18807070056"</f>
        <v>18807070056</v>
      </c>
      <c r="C1810" t="s">
        <v>0</v>
      </c>
      <c r="D1810" t="s">
        <v>0</v>
      </c>
      <c r="E1810" t="s">
        <v>0</v>
      </c>
      <c r="F1810" t="str">
        <f>"2018-11-28 17:05:42"</f>
        <v>2018-11-28 17:05:42</v>
      </c>
    </row>
    <row r="1811" spans="1:6" x14ac:dyDescent="0.3">
      <c r="A1811" t="s">
        <v>2998</v>
      </c>
      <c r="B1811" t="str">
        <f>"15934508309"</f>
        <v>15934508309</v>
      </c>
      <c r="C1811" t="str">
        <f>"14262219950310101X"</f>
        <v>14262219950310101X</v>
      </c>
      <c r="D1811" t="s">
        <v>2999</v>
      </c>
      <c r="E1811" t="s">
        <v>3000</v>
      </c>
      <c r="F1811" t="str">
        <f>"2018-11-28 17:05:30"</f>
        <v>2018-11-28 17:05:30</v>
      </c>
    </row>
    <row r="1812" spans="1:6" x14ac:dyDescent="0.3">
      <c r="A1812" t="s">
        <v>0</v>
      </c>
      <c r="B1812" t="str">
        <f>"17608354968"</f>
        <v>17608354968</v>
      </c>
      <c r="C1812" t="s">
        <v>0</v>
      </c>
      <c r="D1812" t="s">
        <v>0</v>
      </c>
      <c r="E1812" t="s">
        <v>0</v>
      </c>
      <c r="F1812" t="str">
        <f>"2018-11-28 17:04:45"</f>
        <v>2018-11-28 17:04:45</v>
      </c>
    </row>
    <row r="1813" spans="1:6" x14ac:dyDescent="0.3">
      <c r="A1813" t="s">
        <v>0</v>
      </c>
      <c r="B1813" t="str">
        <f>"18303427138"</f>
        <v>18303427138</v>
      </c>
      <c r="C1813" t="s">
        <v>0</v>
      </c>
      <c r="D1813" t="s">
        <v>0</v>
      </c>
      <c r="E1813" t="s">
        <v>0</v>
      </c>
      <c r="F1813" t="str">
        <f>"2018-11-28 17:04:37"</f>
        <v>2018-11-28 17:04:37</v>
      </c>
    </row>
    <row r="1814" spans="1:6" x14ac:dyDescent="0.3">
      <c r="A1814" t="s">
        <v>3001</v>
      </c>
      <c r="B1814" t="str">
        <f>"17755145150"</f>
        <v>17755145150</v>
      </c>
      <c r="C1814" t="str">
        <f>"34010419810623301X"</f>
        <v>34010419810623301X</v>
      </c>
      <c r="D1814" t="s">
        <v>0</v>
      </c>
      <c r="E1814" t="s">
        <v>0</v>
      </c>
      <c r="F1814" t="str">
        <f>"2018-11-28 17:03:43"</f>
        <v>2018-11-28 17:03:43</v>
      </c>
    </row>
    <row r="1815" spans="1:6" x14ac:dyDescent="0.3">
      <c r="A1815" t="s">
        <v>3002</v>
      </c>
      <c r="B1815" t="str">
        <f>"17795047910"</f>
        <v>17795047910</v>
      </c>
      <c r="C1815" t="str">
        <f>"640302199908161146"</f>
        <v>640302199908161146</v>
      </c>
      <c r="D1815" t="s">
        <v>3003</v>
      </c>
      <c r="E1815" t="s">
        <v>3004</v>
      </c>
      <c r="F1815" t="str">
        <f>"2018-11-28 17:02:47"</f>
        <v>2018-11-28 17:02:47</v>
      </c>
    </row>
    <row r="1816" spans="1:6" x14ac:dyDescent="0.3">
      <c r="A1816" t="s">
        <v>0</v>
      </c>
      <c r="B1816" t="str">
        <f>"17712863834"</f>
        <v>17712863834</v>
      </c>
      <c r="C1816" t="s">
        <v>0</v>
      </c>
      <c r="D1816" t="s">
        <v>0</v>
      </c>
      <c r="E1816" t="s">
        <v>0</v>
      </c>
      <c r="F1816" t="str">
        <f>"2018-11-28 17:01:25"</f>
        <v>2018-11-28 17:01:25</v>
      </c>
    </row>
    <row r="1817" spans="1:6" x14ac:dyDescent="0.3">
      <c r="A1817" t="s">
        <v>3005</v>
      </c>
      <c r="B1817" t="str">
        <f>"13848356664"</f>
        <v>13848356664</v>
      </c>
      <c r="C1817" t="str">
        <f>"150304198307240510"</f>
        <v>150304198307240510</v>
      </c>
      <c r="D1817" t="s">
        <v>0</v>
      </c>
      <c r="E1817" t="s">
        <v>0</v>
      </c>
      <c r="F1817" t="str">
        <f>"2018-11-28 16:59:33"</f>
        <v>2018-11-28 16:59:33</v>
      </c>
    </row>
    <row r="1818" spans="1:6" x14ac:dyDescent="0.3">
      <c r="A1818" t="s">
        <v>0</v>
      </c>
      <c r="B1818" t="str">
        <f>"18231916756"</f>
        <v>18231916756</v>
      </c>
      <c r="C1818" t="s">
        <v>0</v>
      </c>
      <c r="D1818" t="s">
        <v>0</v>
      </c>
      <c r="E1818" t="s">
        <v>0</v>
      </c>
      <c r="F1818" t="str">
        <f>"2018-11-28 16:59:32"</f>
        <v>2018-11-28 16:59:32</v>
      </c>
    </row>
    <row r="1819" spans="1:6" x14ac:dyDescent="0.3">
      <c r="A1819" t="s">
        <v>3006</v>
      </c>
      <c r="B1819" t="str">
        <f>"18392815587"</f>
        <v>18392815587</v>
      </c>
      <c r="C1819" t="str">
        <f>"612101198002156417"</f>
        <v>612101198002156417</v>
      </c>
      <c r="D1819" t="s">
        <v>3007</v>
      </c>
      <c r="E1819" t="s">
        <v>3008</v>
      </c>
      <c r="F1819" t="str">
        <f>"2018-11-28 16:59:06"</f>
        <v>2018-11-28 16:59:06</v>
      </c>
    </row>
    <row r="1820" spans="1:6" x14ac:dyDescent="0.3">
      <c r="A1820" t="s">
        <v>0</v>
      </c>
      <c r="B1820" t="str">
        <f>"17715993744"</f>
        <v>17715993744</v>
      </c>
      <c r="C1820" t="s">
        <v>0</v>
      </c>
      <c r="D1820" t="s">
        <v>0</v>
      </c>
      <c r="E1820" t="s">
        <v>0</v>
      </c>
      <c r="F1820" t="str">
        <f>"2018-11-28 16:58:40"</f>
        <v>2018-11-28 16:58:40</v>
      </c>
    </row>
    <row r="1821" spans="1:6" x14ac:dyDescent="0.3">
      <c r="A1821" t="s">
        <v>3009</v>
      </c>
      <c r="B1821" t="str">
        <f>"15950856614"</f>
        <v>15950856614</v>
      </c>
      <c r="C1821" t="str">
        <f>"320684198211238416"</f>
        <v>320684198211238416</v>
      </c>
      <c r="D1821" t="s">
        <v>3010</v>
      </c>
      <c r="E1821" t="s">
        <v>3011</v>
      </c>
      <c r="F1821" t="str">
        <f>"2018-11-28 16:56:57"</f>
        <v>2018-11-28 16:56:57</v>
      </c>
    </row>
    <row r="1822" spans="1:6" x14ac:dyDescent="0.3">
      <c r="A1822" t="s">
        <v>0</v>
      </c>
      <c r="B1822" t="str">
        <f>"13792098668"</f>
        <v>13792098668</v>
      </c>
      <c r="C1822" t="s">
        <v>0</v>
      </c>
      <c r="D1822" t="s">
        <v>0</v>
      </c>
      <c r="E1822" t="s">
        <v>0</v>
      </c>
      <c r="F1822" t="str">
        <f>"2018-11-28 16:56:48"</f>
        <v>2018-11-28 16:56:48</v>
      </c>
    </row>
    <row r="1823" spans="1:6" x14ac:dyDescent="0.3">
      <c r="A1823" t="s">
        <v>0</v>
      </c>
      <c r="B1823" t="str">
        <f>"18181165314"</f>
        <v>18181165314</v>
      </c>
      <c r="C1823" t="s">
        <v>0</v>
      </c>
      <c r="D1823" t="s">
        <v>0</v>
      </c>
      <c r="E1823" t="s">
        <v>0</v>
      </c>
      <c r="F1823" t="str">
        <f>"2018-11-28 16:55:38"</f>
        <v>2018-11-28 16:55:38</v>
      </c>
    </row>
    <row r="1824" spans="1:6" x14ac:dyDescent="0.3">
      <c r="A1824" t="s">
        <v>3012</v>
      </c>
      <c r="B1824" t="str">
        <f>"17751150888"</f>
        <v>17751150888</v>
      </c>
      <c r="C1824" t="str">
        <f>"320324199010036297"</f>
        <v>320324199010036297</v>
      </c>
      <c r="D1824" t="s">
        <v>0</v>
      </c>
      <c r="E1824" t="s">
        <v>0</v>
      </c>
      <c r="F1824" t="str">
        <f>"2018-11-28 16:55:36"</f>
        <v>2018-11-28 16:55:36</v>
      </c>
    </row>
    <row r="1825" spans="1:6" x14ac:dyDescent="0.3">
      <c r="A1825" t="s">
        <v>0</v>
      </c>
      <c r="B1825" t="str">
        <f>"18670887511"</f>
        <v>18670887511</v>
      </c>
      <c r="C1825" t="s">
        <v>0</v>
      </c>
      <c r="D1825" t="s">
        <v>0</v>
      </c>
      <c r="E1825" t="s">
        <v>0</v>
      </c>
      <c r="F1825" t="str">
        <f>"2018-11-28 16:55:35"</f>
        <v>2018-11-28 16:55:35</v>
      </c>
    </row>
    <row r="1826" spans="1:6" x14ac:dyDescent="0.3">
      <c r="A1826" t="s">
        <v>3013</v>
      </c>
      <c r="B1826" t="str">
        <f>"18340248128"</f>
        <v>18340248128</v>
      </c>
      <c r="C1826" t="str">
        <f>"21132419950806192X"</f>
        <v>21132419950806192X</v>
      </c>
      <c r="D1826" t="s">
        <v>0</v>
      </c>
      <c r="E1826" t="s">
        <v>0</v>
      </c>
      <c r="F1826" t="str">
        <f>"2018-11-28 16:55:26"</f>
        <v>2018-11-28 16:55:26</v>
      </c>
    </row>
    <row r="1827" spans="1:6" x14ac:dyDescent="0.3">
      <c r="A1827" t="s">
        <v>0</v>
      </c>
      <c r="B1827" t="str">
        <f>"13025048042"</f>
        <v>13025048042</v>
      </c>
      <c r="C1827" t="s">
        <v>0</v>
      </c>
      <c r="D1827" t="s">
        <v>0</v>
      </c>
      <c r="E1827" t="s">
        <v>0</v>
      </c>
      <c r="F1827" t="str">
        <f>"2018-11-28 16:55:20"</f>
        <v>2018-11-28 16:55:20</v>
      </c>
    </row>
    <row r="1828" spans="1:6" x14ac:dyDescent="0.3">
      <c r="A1828" t="s">
        <v>0</v>
      </c>
      <c r="B1828" t="str">
        <f>"15584886188"</f>
        <v>15584886188</v>
      </c>
      <c r="C1828" t="s">
        <v>0</v>
      </c>
      <c r="D1828" t="s">
        <v>0</v>
      </c>
      <c r="E1828" t="s">
        <v>0</v>
      </c>
      <c r="F1828" t="str">
        <f>"2018-11-28 16:55:10"</f>
        <v>2018-11-28 16:55:10</v>
      </c>
    </row>
    <row r="1829" spans="1:6" x14ac:dyDescent="0.3">
      <c r="A1829" t="s">
        <v>3014</v>
      </c>
      <c r="B1829" t="str">
        <f>"18815152242"</f>
        <v>18815152242</v>
      </c>
      <c r="C1829" t="str">
        <f>"330326199707076410"</f>
        <v>330326199707076410</v>
      </c>
      <c r="D1829" t="s">
        <v>3015</v>
      </c>
      <c r="E1829" t="s">
        <v>3016</v>
      </c>
      <c r="F1829" t="str">
        <f>"2018-11-28 16:55:03"</f>
        <v>2018-11-28 16:55:03</v>
      </c>
    </row>
    <row r="1830" spans="1:6" x14ac:dyDescent="0.3">
      <c r="A1830" t="s">
        <v>3017</v>
      </c>
      <c r="B1830" t="str">
        <f>"18786493084"</f>
        <v>18786493084</v>
      </c>
      <c r="C1830" t="str">
        <f>"522423199706040022"</f>
        <v>522423199706040022</v>
      </c>
      <c r="D1830" t="s">
        <v>3018</v>
      </c>
      <c r="E1830" t="s">
        <v>3019</v>
      </c>
      <c r="F1830" t="str">
        <f>"2018-11-28 16:55:01"</f>
        <v>2018-11-28 16:55:01</v>
      </c>
    </row>
    <row r="1831" spans="1:6" x14ac:dyDescent="0.3">
      <c r="A1831" t="s">
        <v>3020</v>
      </c>
      <c r="B1831" t="str">
        <f>"13635061078"</f>
        <v>13635061078</v>
      </c>
      <c r="C1831" t="str">
        <f>"452402199709133910"</f>
        <v>452402199709133910</v>
      </c>
      <c r="D1831" t="s">
        <v>0</v>
      </c>
      <c r="E1831" t="s">
        <v>0</v>
      </c>
      <c r="F1831" t="str">
        <f>"2018-11-28 16:54:56"</f>
        <v>2018-11-28 16:54:56</v>
      </c>
    </row>
    <row r="1832" spans="1:6" x14ac:dyDescent="0.3">
      <c r="A1832" t="s">
        <v>3021</v>
      </c>
      <c r="B1832" t="str">
        <f>"13573174815"</f>
        <v>13573174815</v>
      </c>
      <c r="C1832" t="str">
        <f>"370181198505261120"</f>
        <v>370181198505261120</v>
      </c>
      <c r="D1832" t="s">
        <v>3022</v>
      </c>
      <c r="E1832" t="s">
        <v>3023</v>
      </c>
      <c r="F1832" t="str">
        <f>"2018-11-28 16:51:56"</f>
        <v>2018-11-28 16:51:56</v>
      </c>
    </row>
    <row r="1833" spans="1:6" x14ac:dyDescent="0.3">
      <c r="A1833" t="s">
        <v>0</v>
      </c>
      <c r="B1833" t="str">
        <f>"13022678824"</f>
        <v>13022678824</v>
      </c>
      <c r="C1833" t="s">
        <v>0</v>
      </c>
      <c r="D1833" t="s">
        <v>0</v>
      </c>
      <c r="E1833" t="s">
        <v>0</v>
      </c>
      <c r="F1833" t="str">
        <f>"2018-11-28 16:51:00"</f>
        <v>2018-11-28 16:51:00</v>
      </c>
    </row>
    <row r="1834" spans="1:6" x14ac:dyDescent="0.3">
      <c r="A1834" t="s">
        <v>3024</v>
      </c>
      <c r="B1834" t="str">
        <f>"13855913163"</f>
        <v>13855913163</v>
      </c>
      <c r="C1834" t="str">
        <f>"341002199306250014"</f>
        <v>341002199306250014</v>
      </c>
      <c r="D1834" t="s">
        <v>3025</v>
      </c>
      <c r="E1834" t="s">
        <v>3025</v>
      </c>
      <c r="F1834" t="str">
        <f>"2018-11-28 16:50:44"</f>
        <v>2018-11-28 16:50:44</v>
      </c>
    </row>
    <row r="1835" spans="1:6" x14ac:dyDescent="0.3">
      <c r="A1835" t="s">
        <v>3026</v>
      </c>
      <c r="B1835" t="str">
        <f>"13593279108"</f>
        <v>13593279108</v>
      </c>
      <c r="C1835" t="str">
        <f>"140402196910230036"</f>
        <v>140402196910230036</v>
      </c>
      <c r="D1835" t="s">
        <v>3027</v>
      </c>
      <c r="E1835" t="s">
        <v>3028</v>
      </c>
      <c r="F1835" t="str">
        <f>"2018-11-28 16:49:54"</f>
        <v>2018-11-28 16:49:54</v>
      </c>
    </row>
    <row r="1836" spans="1:6" x14ac:dyDescent="0.3">
      <c r="A1836" t="s">
        <v>3029</v>
      </c>
      <c r="B1836" t="str">
        <f>"18032682678"</f>
        <v>18032682678</v>
      </c>
      <c r="C1836" t="str">
        <f>"130185198607131838"</f>
        <v>130185198607131838</v>
      </c>
      <c r="D1836" t="s">
        <v>3030</v>
      </c>
      <c r="E1836" t="s">
        <v>3031</v>
      </c>
      <c r="F1836" t="str">
        <f>"2018-11-28 16:49:51"</f>
        <v>2018-11-28 16:49:51</v>
      </c>
    </row>
    <row r="1837" spans="1:6" x14ac:dyDescent="0.3">
      <c r="A1837" t="s">
        <v>3032</v>
      </c>
      <c r="B1837" t="str">
        <f>"15235070712"</f>
        <v>15235070712</v>
      </c>
      <c r="C1837" t="str">
        <f>"140622199707121213"</f>
        <v>140622199707121213</v>
      </c>
      <c r="D1837" t="s">
        <v>3033</v>
      </c>
      <c r="E1837" t="s">
        <v>3034</v>
      </c>
      <c r="F1837" t="str">
        <f>"2018-11-28 16:49:30"</f>
        <v>2018-11-28 16:49:30</v>
      </c>
    </row>
    <row r="1838" spans="1:6" x14ac:dyDescent="0.3">
      <c r="A1838" t="s">
        <v>254</v>
      </c>
      <c r="B1838" t="str">
        <f>"18355593009"</f>
        <v>18355593009</v>
      </c>
      <c r="C1838" t="str">
        <f>"342625196802071335"</f>
        <v>342625196802071335</v>
      </c>
      <c r="D1838" t="s">
        <v>0</v>
      </c>
      <c r="E1838" t="s">
        <v>0</v>
      </c>
      <c r="F1838" t="str">
        <f>"2018-11-28 16:49:07"</f>
        <v>2018-11-28 16:49:07</v>
      </c>
    </row>
    <row r="1839" spans="1:6" x14ac:dyDescent="0.3">
      <c r="A1839" t="s">
        <v>3035</v>
      </c>
      <c r="B1839" t="str">
        <f>"18311867894"</f>
        <v>18311867894</v>
      </c>
      <c r="C1839" t="str">
        <f>"522230199002190762"</f>
        <v>522230199002190762</v>
      </c>
      <c r="D1839" t="s">
        <v>0</v>
      </c>
      <c r="E1839" t="s">
        <v>0</v>
      </c>
      <c r="F1839" t="str">
        <f>"2018-11-28 16:47:40"</f>
        <v>2018-11-28 16:47:40</v>
      </c>
    </row>
    <row r="1840" spans="1:6" x14ac:dyDescent="0.3">
      <c r="A1840" t="s">
        <v>3036</v>
      </c>
      <c r="B1840" t="str">
        <f>"15878713024"</f>
        <v>15878713024</v>
      </c>
      <c r="C1840" t="str">
        <f>"450122198005204015"</f>
        <v>450122198005204015</v>
      </c>
      <c r="D1840" t="s">
        <v>3037</v>
      </c>
      <c r="E1840" t="s">
        <v>3038</v>
      </c>
      <c r="F1840" t="str">
        <f>"2018-11-28 16:46:17"</f>
        <v>2018-11-28 16:46:17</v>
      </c>
    </row>
    <row r="1841" spans="1:6" x14ac:dyDescent="0.3">
      <c r="A1841" t="s">
        <v>3039</v>
      </c>
      <c r="B1841" t="str">
        <f>"13794611371"</f>
        <v>13794611371</v>
      </c>
      <c r="C1841" t="str">
        <f>"441324198001030321"</f>
        <v>441324198001030321</v>
      </c>
      <c r="D1841" t="s">
        <v>3040</v>
      </c>
      <c r="E1841" t="s">
        <v>3041</v>
      </c>
      <c r="F1841" t="str">
        <f>"2018-11-28 16:46:16"</f>
        <v>2018-11-28 16:46:16</v>
      </c>
    </row>
    <row r="1842" spans="1:6" x14ac:dyDescent="0.3">
      <c r="A1842" t="s">
        <v>3042</v>
      </c>
      <c r="B1842" t="str">
        <f>"18565207743"</f>
        <v>18565207743</v>
      </c>
      <c r="C1842" t="str">
        <f>"450481198809061810"</f>
        <v>450481198809061810</v>
      </c>
      <c r="D1842" t="s">
        <v>3043</v>
      </c>
      <c r="E1842" t="s">
        <v>3044</v>
      </c>
      <c r="F1842" t="str">
        <f>"2018-11-28 16:44:30"</f>
        <v>2018-11-28 16:44:30</v>
      </c>
    </row>
    <row r="1843" spans="1:6" x14ac:dyDescent="0.3">
      <c r="A1843" t="s">
        <v>3045</v>
      </c>
      <c r="B1843" t="str">
        <f>"13711385546"</f>
        <v>13711385546</v>
      </c>
      <c r="C1843" t="str">
        <f>"440582199409227230"</f>
        <v>440582199409227230</v>
      </c>
      <c r="D1843" t="s">
        <v>3046</v>
      </c>
      <c r="E1843" t="s">
        <v>3047</v>
      </c>
      <c r="F1843" t="str">
        <f>"2018-11-28 16:44:19"</f>
        <v>2018-11-28 16:44:19</v>
      </c>
    </row>
    <row r="1844" spans="1:6" x14ac:dyDescent="0.3">
      <c r="A1844" t="s">
        <v>3048</v>
      </c>
      <c r="B1844" t="str">
        <f>"15856112020"</f>
        <v>15856112020</v>
      </c>
      <c r="C1844" t="str">
        <f>"340604199002041015"</f>
        <v>340604199002041015</v>
      </c>
      <c r="D1844" t="s">
        <v>0</v>
      </c>
      <c r="E1844" t="s">
        <v>0</v>
      </c>
      <c r="F1844" t="str">
        <f>"2018-11-28 16:44:16"</f>
        <v>2018-11-28 16:44:16</v>
      </c>
    </row>
    <row r="1845" spans="1:6" x14ac:dyDescent="0.3">
      <c r="A1845" t="s">
        <v>3049</v>
      </c>
      <c r="B1845" t="str">
        <f>"13831023435"</f>
        <v>13831023435</v>
      </c>
      <c r="C1845" t="str">
        <f>"130422196503102719"</f>
        <v>130422196503102719</v>
      </c>
      <c r="D1845" t="s">
        <v>0</v>
      </c>
      <c r="E1845" t="s">
        <v>0</v>
      </c>
      <c r="F1845" t="str">
        <f>"2018-11-28 16:43:29"</f>
        <v>2018-11-28 16:43:29</v>
      </c>
    </row>
    <row r="1846" spans="1:6" x14ac:dyDescent="0.3">
      <c r="A1846" t="s">
        <v>3050</v>
      </c>
      <c r="B1846" t="str">
        <f>"15685609070"</f>
        <v>15685609070</v>
      </c>
      <c r="C1846" t="str">
        <f>"520121198805271816"</f>
        <v>520121198805271816</v>
      </c>
      <c r="D1846" t="s">
        <v>3051</v>
      </c>
      <c r="E1846" t="s">
        <v>3052</v>
      </c>
      <c r="F1846" t="str">
        <f>"2018-11-28 16:42:17"</f>
        <v>2018-11-28 16:42:17</v>
      </c>
    </row>
    <row r="1847" spans="1:6" x14ac:dyDescent="0.3">
      <c r="A1847" t="s">
        <v>0</v>
      </c>
      <c r="B1847" t="str">
        <f>"15144741573"</f>
        <v>15144741573</v>
      </c>
      <c r="C1847" t="s">
        <v>0</v>
      </c>
      <c r="D1847" t="s">
        <v>0</v>
      </c>
      <c r="E1847" t="s">
        <v>0</v>
      </c>
      <c r="F1847" t="str">
        <f>"2018-11-28 16:42:07"</f>
        <v>2018-11-28 16:42:07</v>
      </c>
    </row>
    <row r="1848" spans="1:6" x14ac:dyDescent="0.3">
      <c r="A1848" t="s">
        <v>3053</v>
      </c>
      <c r="B1848" t="str">
        <f>"15212158071"</f>
        <v>15212158071</v>
      </c>
      <c r="C1848" t="str">
        <f>"340311199704101622"</f>
        <v>340311199704101622</v>
      </c>
      <c r="D1848" t="s">
        <v>0</v>
      </c>
      <c r="E1848" t="s">
        <v>0</v>
      </c>
      <c r="F1848" t="str">
        <f>"2018-11-28 16:41:05"</f>
        <v>2018-11-28 16:41:05</v>
      </c>
    </row>
    <row r="1849" spans="1:6" x14ac:dyDescent="0.3">
      <c r="A1849" t="s">
        <v>3054</v>
      </c>
      <c r="B1849" t="str">
        <f>"13163050873"</f>
        <v>13163050873</v>
      </c>
      <c r="C1849" t="str">
        <f>"412827199609144059"</f>
        <v>412827199609144059</v>
      </c>
      <c r="D1849" t="s">
        <v>0</v>
      </c>
      <c r="E1849" t="s">
        <v>0</v>
      </c>
      <c r="F1849" t="str">
        <f>"2018-11-28 16:38:13"</f>
        <v>2018-11-28 16:38:13</v>
      </c>
    </row>
    <row r="1850" spans="1:6" x14ac:dyDescent="0.3">
      <c r="A1850" t="s">
        <v>3055</v>
      </c>
      <c r="B1850" t="str">
        <f>"13673337715"</f>
        <v>13673337715</v>
      </c>
      <c r="C1850" t="str">
        <f>"410521198908102608"</f>
        <v>410521198908102608</v>
      </c>
      <c r="D1850" t="s">
        <v>3056</v>
      </c>
      <c r="E1850" t="s">
        <v>3057</v>
      </c>
      <c r="F1850" t="str">
        <f>"2018-11-28 16:37:35"</f>
        <v>2018-11-28 16:37:35</v>
      </c>
    </row>
    <row r="1851" spans="1:6" x14ac:dyDescent="0.3">
      <c r="A1851" t="s">
        <v>3058</v>
      </c>
      <c r="B1851" t="str">
        <f>"18983469745"</f>
        <v>18983469745</v>
      </c>
      <c r="C1851" t="str">
        <f>"500383199202267333"</f>
        <v>500383199202267333</v>
      </c>
      <c r="D1851" t="s">
        <v>3059</v>
      </c>
      <c r="E1851" t="s">
        <v>3060</v>
      </c>
      <c r="F1851" t="str">
        <f>"2018-11-28 16:36:42"</f>
        <v>2018-11-28 16:36:42</v>
      </c>
    </row>
    <row r="1852" spans="1:6" x14ac:dyDescent="0.3">
      <c r="A1852" t="s">
        <v>3061</v>
      </c>
      <c r="B1852" t="str">
        <f>"15848042072"</f>
        <v>15848042072</v>
      </c>
      <c r="C1852" t="str">
        <f>"152629200012120015"</f>
        <v>152629200012120015</v>
      </c>
      <c r="D1852" t="s">
        <v>0</v>
      </c>
      <c r="E1852" t="s">
        <v>0</v>
      </c>
      <c r="F1852" t="str">
        <f>"2018-11-28 16:35:58"</f>
        <v>2018-11-28 16:35:58</v>
      </c>
    </row>
    <row r="1853" spans="1:6" x14ac:dyDescent="0.3">
      <c r="A1853" t="s">
        <v>3062</v>
      </c>
      <c r="B1853" t="str">
        <f>"18347458266"</f>
        <v>18347458266</v>
      </c>
      <c r="C1853" t="str">
        <f>"152629200003025614"</f>
        <v>152629200003025614</v>
      </c>
      <c r="D1853" t="s">
        <v>0</v>
      </c>
      <c r="E1853" t="s">
        <v>0</v>
      </c>
      <c r="F1853" t="str">
        <f>"2018-11-28 16:33:26"</f>
        <v>2018-11-28 16:33:26</v>
      </c>
    </row>
    <row r="1854" spans="1:6" x14ac:dyDescent="0.3">
      <c r="A1854" t="s">
        <v>0</v>
      </c>
      <c r="B1854" t="str">
        <f>"15282379303"</f>
        <v>15282379303</v>
      </c>
      <c r="C1854" t="s">
        <v>0</v>
      </c>
      <c r="D1854" t="s">
        <v>0</v>
      </c>
      <c r="E1854" t="s">
        <v>0</v>
      </c>
      <c r="F1854" t="str">
        <f>"2018-11-28 16:32:59"</f>
        <v>2018-11-28 16:32:59</v>
      </c>
    </row>
    <row r="1855" spans="1:6" x14ac:dyDescent="0.3">
      <c r="A1855" t="s">
        <v>3063</v>
      </c>
      <c r="B1855" t="str">
        <f>"13189064896"</f>
        <v>13189064896</v>
      </c>
      <c r="C1855" t="str">
        <f>"460003199706294625"</f>
        <v>460003199706294625</v>
      </c>
      <c r="D1855" t="s">
        <v>3064</v>
      </c>
      <c r="E1855" t="s">
        <v>3065</v>
      </c>
      <c r="F1855" t="str">
        <f>"2018-11-28 16:31:22"</f>
        <v>2018-11-28 16:31:22</v>
      </c>
    </row>
    <row r="1856" spans="1:6" x14ac:dyDescent="0.3">
      <c r="A1856" t="s">
        <v>3066</v>
      </c>
      <c r="B1856" t="str">
        <f>"15294747010"</f>
        <v>15294747010</v>
      </c>
      <c r="C1856" t="str">
        <f>"411524199610016816"</f>
        <v>411524199610016816</v>
      </c>
      <c r="D1856" t="s">
        <v>3067</v>
      </c>
      <c r="E1856" t="s">
        <v>3068</v>
      </c>
      <c r="F1856" t="str">
        <f>"2018-11-28 16:30:10"</f>
        <v>2018-11-28 16:30:10</v>
      </c>
    </row>
    <row r="1857" spans="1:6" x14ac:dyDescent="0.3">
      <c r="A1857" t="s">
        <v>0</v>
      </c>
      <c r="B1857" t="str">
        <f>"13599876739"</f>
        <v>13599876739</v>
      </c>
      <c r="C1857" t="s">
        <v>0</v>
      </c>
      <c r="D1857" t="s">
        <v>0</v>
      </c>
      <c r="E1857" t="s">
        <v>0</v>
      </c>
      <c r="F1857" t="str">
        <f>"2018-11-28 16:29:55"</f>
        <v>2018-11-28 16:29:55</v>
      </c>
    </row>
    <row r="1858" spans="1:6" x14ac:dyDescent="0.3">
      <c r="A1858" t="s">
        <v>3069</v>
      </c>
      <c r="B1858" t="str">
        <f>"15927132023"</f>
        <v>15927132023</v>
      </c>
      <c r="C1858" t="str">
        <f>"420923198511036311"</f>
        <v>420923198511036311</v>
      </c>
      <c r="D1858" t="s">
        <v>3070</v>
      </c>
      <c r="E1858" t="s">
        <v>3071</v>
      </c>
      <c r="F1858" t="str">
        <f>"2018-11-28 16:29:26"</f>
        <v>2018-11-28 16:29:26</v>
      </c>
    </row>
    <row r="1859" spans="1:6" x14ac:dyDescent="0.3">
      <c r="A1859" t="s">
        <v>3072</v>
      </c>
      <c r="B1859" t="str">
        <f>"15625881717"</f>
        <v>15625881717</v>
      </c>
      <c r="C1859" t="str">
        <f>"452427198707070410"</f>
        <v>452427198707070410</v>
      </c>
      <c r="D1859" t="s">
        <v>3073</v>
      </c>
      <c r="E1859" t="s">
        <v>3074</v>
      </c>
      <c r="F1859" t="str">
        <f>"2018-11-28 16:28:02"</f>
        <v>2018-11-28 16:28:02</v>
      </c>
    </row>
    <row r="1860" spans="1:6" x14ac:dyDescent="0.3">
      <c r="A1860" t="s">
        <v>3075</v>
      </c>
      <c r="B1860" t="str">
        <f>"15093818125"</f>
        <v>15093818125</v>
      </c>
      <c r="C1860" t="str">
        <f>"510623198212155519"</f>
        <v>510623198212155519</v>
      </c>
      <c r="D1860" t="s">
        <v>3076</v>
      </c>
      <c r="E1860" t="s">
        <v>3077</v>
      </c>
      <c r="F1860" t="str">
        <f>"2018-11-28 16:26:25"</f>
        <v>2018-11-28 16:26:25</v>
      </c>
    </row>
    <row r="1861" spans="1:6" x14ac:dyDescent="0.3">
      <c r="A1861" t="s">
        <v>3078</v>
      </c>
      <c r="B1861" t="str">
        <f>"15824342920"</f>
        <v>15824342920</v>
      </c>
      <c r="C1861" t="str">
        <f>"310230197812120504"</f>
        <v>310230197812120504</v>
      </c>
      <c r="D1861" t="s">
        <v>3079</v>
      </c>
      <c r="E1861" t="s">
        <v>3080</v>
      </c>
      <c r="F1861" t="str">
        <f>"2018-11-28 16:26:24"</f>
        <v>2018-11-28 16:26:24</v>
      </c>
    </row>
    <row r="1862" spans="1:6" x14ac:dyDescent="0.3">
      <c r="A1862" t="s">
        <v>3081</v>
      </c>
      <c r="B1862" t="str">
        <f>"15175928161"</f>
        <v>15175928161</v>
      </c>
      <c r="C1862" t="str">
        <f>"131181198607020105"</f>
        <v>131181198607020105</v>
      </c>
      <c r="D1862" t="s">
        <v>0</v>
      </c>
      <c r="E1862" t="s">
        <v>0</v>
      </c>
      <c r="F1862" t="str">
        <f>"2018-11-28 16:22:38"</f>
        <v>2018-11-28 16:22:38</v>
      </c>
    </row>
    <row r="1863" spans="1:6" x14ac:dyDescent="0.3">
      <c r="A1863" t="s">
        <v>1117</v>
      </c>
      <c r="B1863" t="str">
        <f>"15156667952"</f>
        <v>15156667952</v>
      </c>
      <c r="C1863" t="str">
        <f>"341222198708297191"</f>
        <v>341222198708297191</v>
      </c>
      <c r="D1863" t="s">
        <v>3082</v>
      </c>
      <c r="E1863" t="s">
        <v>3083</v>
      </c>
      <c r="F1863" t="str">
        <f>"2018-11-28 16:21:50"</f>
        <v>2018-11-28 16:21:50</v>
      </c>
    </row>
    <row r="1864" spans="1:6" x14ac:dyDescent="0.3">
      <c r="A1864" t="s">
        <v>0</v>
      </c>
      <c r="B1864" t="str">
        <f>"15955368388"</f>
        <v>15955368388</v>
      </c>
      <c r="C1864" t="s">
        <v>0</v>
      </c>
      <c r="D1864" t="s">
        <v>0</v>
      </c>
      <c r="E1864" t="s">
        <v>0</v>
      </c>
      <c r="F1864" t="str">
        <f>"2018-11-28 16:21:47"</f>
        <v>2018-11-28 16:21:47</v>
      </c>
    </row>
    <row r="1865" spans="1:6" x14ac:dyDescent="0.3">
      <c r="A1865" t="s">
        <v>3084</v>
      </c>
      <c r="B1865" t="str">
        <f>"13537687212"</f>
        <v>13537687212</v>
      </c>
      <c r="C1865" t="str">
        <f>"362526199205054711"</f>
        <v>362526199205054711</v>
      </c>
      <c r="D1865" t="s">
        <v>3085</v>
      </c>
      <c r="E1865" t="s">
        <v>3086</v>
      </c>
      <c r="F1865" t="str">
        <f>"2018-11-28 16:21:46"</f>
        <v>2018-11-28 16:21:46</v>
      </c>
    </row>
    <row r="1866" spans="1:6" x14ac:dyDescent="0.3">
      <c r="A1866" t="s">
        <v>3087</v>
      </c>
      <c r="B1866" t="str">
        <f>"13595374420"</f>
        <v>13595374420</v>
      </c>
      <c r="C1866" t="str">
        <f>"522527198508150016"</f>
        <v>522527198508150016</v>
      </c>
      <c r="D1866" t="s">
        <v>3088</v>
      </c>
      <c r="E1866" t="s">
        <v>3089</v>
      </c>
      <c r="F1866" t="str">
        <f>"2018-11-28 16:20:31"</f>
        <v>2018-11-28 16:20:31</v>
      </c>
    </row>
    <row r="1867" spans="1:6" x14ac:dyDescent="0.3">
      <c r="A1867" t="s">
        <v>3090</v>
      </c>
      <c r="B1867" t="str">
        <f>"18263037720"</f>
        <v>18263037720</v>
      </c>
      <c r="C1867" t="str">
        <f>"372423197511031970"</f>
        <v>372423197511031970</v>
      </c>
      <c r="D1867" t="s">
        <v>3091</v>
      </c>
      <c r="E1867" t="s">
        <v>3092</v>
      </c>
      <c r="F1867" t="str">
        <f>"2018-11-28 16:19:18"</f>
        <v>2018-11-28 16:19:18</v>
      </c>
    </row>
    <row r="1868" spans="1:6" x14ac:dyDescent="0.3">
      <c r="A1868" t="s">
        <v>3093</v>
      </c>
      <c r="B1868" t="str">
        <f>"18584441554"</f>
        <v>18584441554</v>
      </c>
      <c r="C1868" t="str">
        <f>"522725198909166818"</f>
        <v>522725198909166818</v>
      </c>
      <c r="D1868" t="s">
        <v>3094</v>
      </c>
      <c r="E1868" t="s">
        <v>3095</v>
      </c>
      <c r="F1868" t="str">
        <f>"2018-11-28 16:18:21"</f>
        <v>2018-11-28 16:18:21</v>
      </c>
    </row>
    <row r="1869" spans="1:6" x14ac:dyDescent="0.3">
      <c r="A1869" t="s">
        <v>3096</v>
      </c>
      <c r="B1869" t="str">
        <f>"15060996007"</f>
        <v>15060996007</v>
      </c>
      <c r="C1869" t="str">
        <f>"350582197411015519"</f>
        <v>350582197411015519</v>
      </c>
      <c r="D1869" t="s">
        <v>3097</v>
      </c>
      <c r="E1869" t="s">
        <v>3098</v>
      </c>
      <c r="F1869" t="str">
        <f>"2018-11-28 16:17:08"</f>
        <v>2018-11-28 16:17:08</v>
      </c>
    </row>
    <row r="1870" spans="1:6" x14ac:dyDescent="0.3">
      <c r="A1870" t="s">
        <v>3099</v>
      </c>
      <c r="B1870" t="str">
        <f>"13250597312"</f>
        <v>13250597312</v>
      </c>
      <c r="C1870" t="str">
        <f>"431281199009065611"</f>
        <v>431281199009065611</v>
      </c>
      <c r="D1870" t="s">
        <v>0</v>
      </c>
      <c r="E1870" t="s">
        <v>0</v>
      </c>
      <c r="F1870" t="str">
        <f>"2018-11-28 16:17:02"</f>
        <v>2018-11-28 16:17:02</v>
      </c>
    </row>
    <row r="1871" spans="1:6" x14ac:dyDescent="0.3">
      <c r="A1871" t="s">
        <v>3100</v>
      </c>
      <c r="B1871" t="str">
        <f>"13939136075"</f>
        <v>13939136075</v>
      </c>
      <c r="C1871" t="str">
        <f>"410802198104052032"</f>
        <v>410802198104052032</v>
      </c>
      <c r="D1871" t="s">
        <v>3101</v>
      </c>
      <c r="E1871" t="s">
        <v>3102</v>
      </c>
      <c r="F1871" t="str">
        <f>"2018-11-28 16:16:00"</f>
        <v>2018-11-28 16:16:00</v>
      </c>
    </row>
    <row r="1872" spans="1:6" x14ac:dyDescent="0.3">
      <c r="A1872" t="s">
        <v>3103</v>
      </c>
      <c r="B1872" t="str">
        <f>"18681620897"</f>
        <v>18681620897</v>
      </c>
      <c r="C1872" t="str">
        <f>"220222197711165525"</f>
        <v>220222197711165525</v>
      </c>
      <c r="D1872" t="s">
        <v>0</v>
      </c>
      <c r="E1872" t="s">
        <v>0</v>
      </c>
      <c r="F1872" t="str">
        <f>"2018-11-28 16:12:41"</f>
        <v>2018-11-28 16:12:41</v>
      </c>
    </row>
    <row r="1873" spans="1:6" x14ac:dyDescent="0.3">
      <c r="A1873" t="s">
        <v>0</v>
      </c>
      <c r="B1873" t="str">
        <f>"17377397152"</f>
        <v>17377397152</v>
      </c>
      <c r="C1873" t="s">
        <v>0</v>
      </c>
      <c r="D1873" t="s">
        <v>0</v>
      </c>
      <c r="E1873" t="s">
        <v>0</v>
      </c>
      <c r="F1873" t="str">
        <f>"2018-11-28 16:12:01"</f>
        <v>2018-11-28 16:12:01</v>
      </c>
    </row>
    <row r="1874" spans="1:6" x14ac:dyDescent="0.3">
      <c r="A1874" t="s">
        <v>0</v>
      </c>
      <c r="B1874" t="str">
        <f>"13554752306"</f>
        <v>13554752306</v>
      </c>
      <c r="C1874" t="s">
        <v>0</v>
      </c>
      <c r="D1874" t="s">
        <v>0</v>
      </c>
      <c r="E1874" t="s">
        <v>0</v>
      </c>
      <c r="F1874" t="str">
        <f>"2018-11-28 16:11:01"</f>
        <v>2018-11-28 16:11:01</v>
      </c>
    </row>
    <row r="1875" spans="1:6" x14ac:dyDescent="0.3">
      <c r="A1875" t="s">
        <v>3104</v>
      </c>
      <c r="B1875" t="str">
        <f>"13986183837"</f>
        <v>13986183837</v>
      </c>
      <c r="C1875" t="str">
        <f>"410105198207268419"</f>
        <v>410105198207268419</v>
      </c>
      <c r="D1875" t="s">
        <v>3105</v>
      </c>
      <c r="E1875" t="s">
        <v>3106</v>
      </c>
      <c r="F1875" t="str">
        <f>"2018-11-28 16:10:42"</f>
        <v>2018-11-28 16:10:42</v>
      </c>
    </row>
    <row r="1876" spans="1:6" x14ac:dyDescent="0.3">
      <c r="A1876" t="s">
        <v>3107</v>
      </c>
      <c r="B1876" t="str">
        <f>"15170085784"</f>
        <v>15170085784</v>
      </c>
      <c r="C1876" t="str">
        <f>"320882199407220050"</f>
        <v>320882199407220050</v>
      </c>
      <c r="D1876" t="s">
        <v>3108</v>
      </c>
      <c r="E1876" t="s">
        <v>3109</v>
      </c>
      <c r="F1876" t="str">
        <f>"2018-11-28 16:09:40"</f>
        <v>2018-11-28 16:09:40</v>
      </c>
    </row>
    <row r="1877" spans="1:6" x14ac:dyDescent="0.3">
      <c r="A1877" t="s">
        <v>3110</v>
      </c>
      <c r="B1877" t="str">
        <f>"18787049049"</f>
        <v>18787049049</v>
      </c>
      <c r="C1877" t="str">
        <f>"530127199803163218"</f>
        <v>530127199803163218</v>
      </c>
      <c r="D1877" t="s">
        <v>3111</v>
      </c>
      <c r="E1877" t="s">
        <v>3112</v>
      </c>
      <c r="F1877" t="str">
        <f>"2018-11-28 16:08:56"</f>
        <v>2018-11-28 16:08:56</v>
      </c>
    </row>
    <row r="1878" spans="1:6" x14ac:dyDescent="0.3">
      <c r="A1878" t="s">
        <v>3113</v>
      </c>
      <c r="B1878" t="str">
        <f>"15560389264"</f>
        <v>15560389264</v>
      </c>
      <c r="C1878" t="str">
        <f>"150426199509211150"</f>
        <v>150426199509211150</v>
      </c>
      <c r="D1878" t="s">
        <v>0</v>
      </c>
      <c r="E1878" t="s">
        <v>0</v>
      </c>
      <c r="F1878" t="str">
        <f>"2018-11-28 16:08:11"</f>
        <v>2018-11-28 16:08:11</v>
      </c>
    </row>
    <row r="1879" spans="1:6" x14ac:dyDescent="0.3">
      <c r="A1879" t="s">
        <v>3114</v>
      </c>
      <c r="B1879" t="str">
        <f>"15044028365"</f>
        <v>15044028365</v>
      </c>
      <c r="C1879" t="str">
        <f>"22012219900110254X"</f>
        <v>22012219900110254X</v>
      </c>
      <c r="D1879" t="s">
        <v>0</v>
      </c>
      <c r="E1879" t="s">
        <v>0</v>
      </c>
      <c r="F1879" t="str">
        <f>"2018-11-28 16:07:57"</f>
        <v>2018-11-28 16:07:57</v>
      </c>
    </row>
    <row r="1880" spans="1:6" x14ac:dyDescent="0.3">
      <c r="A1880" t="s">
        <v>3115</v>
      </c>
      <c r="B1880" t="str">
        <f>"15622899647"</f>
        <v>15622899647</v>
      </c>
      <c r="C1880" t="str">
        <f>"445221198911255975"</f>
        <v>445221198911255975</v>
      </c>
      <c r="D1880" t="s">
        <v>3116</v>
      </c>
      <c r="E1880" t="s">
        <v>3117</v>
      </c>
      <c r="F1880" t="str">
        <f>"2018-11-28 16:07:42"</f>
        <v>2018-11-28 16:07:42</v>
      </c>
    </row>
    <row r="1881" spans="1:6" x14ac:dyDescent="0.3">
      <c r="A1881" t="s">
        <v>0</v>
      </c>
      <c r="B1881" t="str">
        <f>"15636067053"</f>
        <v>15636067053</v>
      </c>
      <c r="C1881" t="s">
        <v>0</v>
      </c>
      <c r="D1881" t="s">
        <v>0</v>
      </c>
      <c r="E1881" t="s">
        <v>0</v>
      </c>
      <c r="F1881" t="str">
        <f>"2018-11-28 16:07:33"</f>
        <v>2018-11-28 16:07:33</v>
      </c>
    </row>
    <row r="1882" spans="1:6" x14ac:dyDescent="0.3">
      <c r="A1882" t="s">
        <v>0</v>
      </c>
      <c r="B1882" t="str">
        <f>"18595555322"</f>
        <v>18595555322</v>
      </c>
      <c r="C1882" t="s">
        <v>0</v>
      </c>
      <c r="D1882" t="s">
        <v>0</v>
      </c>
      <c r="E1882" t="s">
        <v>0</v>
      </c>
      <c r="F1882" t="str">
        <f>"2018-11-28 16:06:51"</f>
        <v>2018-11-28 16:06:51</v>
      </c>
    </row>
    <row r="1883" spans="1:6" x14ac:dyDescent="0.3">
      <c r="A1883" t="s">
        <v>3118</v>
      </c>
      <c r="B1883" t="str">
        <f>"13377225076"</f>
        <v>13377225076</v>
      </c>
      <c r="C1883" t="str">
        <f>"450222198701050035"</f>
        <v>450222198701050035</v>
      </c>
      <c r="D1883" t="s">
        <v>0</v>
      </c>
      <c r="E1883" t="s">
        <v>0</v>
      </c>
      <c r="F1883" t="str">
        <f>"2018-11-28 16:05:56"</f>
        <v>2018-11-28 16:05:56</v>
      </c>
    </row>
    <row r="1884" spans="1:6" x14ac:dyDescent="0.3">
      <c r="A1884" t="s">
        <v>0</v>
      </c>
      <c r="B1884" t="str">
        <f>"18267212203"</f>
        <v>18267212203</v>
      </c>
      <c r="C1884" t="s">
        <v>0</v>
      </c>
      <c r="D1884" t="s">
        <v>0</v>
      </c>
      <c r="E1884" t="s">
        <v>0</v>
      </c>
      <c r="F1884" t="str">
        <f>"2018-11-28 16:05:35"</f>
        <v>2018-11-28 16:05:35</v>
      </c>
    </row>
    <row r="1885" spans="1:6" x14ac:dyDescent="0.3">
      <c r="A1885" t="s">
        <v>3119</v>
      </c>
      <c r="B1885" t="str">
        <f>"15997541137"</f>
        <v>15997541137</v>
      </c>
      <c r="C1885" t="str">
        <f>"420521199411042917"</f>
        <v>420521199411042917</v>
      </c>
      <c r="D1885" t="s">
        <v>3120</v>
      </c>
      <c r="E1885" t="s">
        <v>3121</v>
      </c>
      <c r="F1885" t="str">
        <f>"2018-11-28 16:05:29"</f>
        <v>2018-11-28 16:05:29</v>
      </c>
    </row>
    <row r="1886" spans="1:6" x14ac:dyDescent="0.3">
      <c r="A1886" t="s">
        <v>3122</v>
      </c>
      <c r="B1886" t="str">
        <f>"18115812808"</f>
        <v>18115812808</v>
      </c>
      <c r="C1886" t="str">
        <f>"320623198802174538"</f>
        <v>320623198802174538</v>
      </c>
      <c r="D1886" t="s">
        <v>3123</v>
      </c>
      <c r="E1886" t="s">
        <v>3124</v>
      </c>
      <c r="F1886" t="str">
        <f>"2018-11-28 16:04:06"</f>
        <v>2018-11-28 16:04:06</v>
      </c>
    </row>
    <row r="1887" spans="1:6" x14ac:dyDescent="0.3">
      <c r="A1887" t="s">
        <v>0</v>
      </c>
      <c r="B1887" t="str">
        <f>"13145941522"</f>
        <v>13145941522</v>
      </c>
      <c r="C1887" t="s">
        <v>0</v>
      </c>
      <c r="D1887" t="s">
        <v>0</v>
      </c>
      <c r="E1887" t="s">
        <v>0</v>
      </c>
      <c r="F1887" t="str">
        <f>"2018-11-28 16:04:05"</f>
        <v>2018-11-28 16:04:05</v>
      </c>
    </row>
    <row r="1888" spans="1:6" x14ac:dyDescent="0.3">
      <c r="A1888" t="s">
        <v>3125</v>
      </c>
      <c r="B1888" t="str">
        <f>"18603839163"</f>
        <v>18603839163</v>
      </c>
      <c r="C1888" t="str">
        <f>"410105198802210174"</f>
        <v>410105198802210174</v>
      </c>
      <c r="D1888" t="s">
        <v>3126</v>
      </c>
      <c r="E1888" t="s">
        <v>3127</v>
      </c>
      <c r="F1888" t="str">
        <f>"2018-11-28 16:03:09"</f>
        <v>2018-11-28 16:03:09</v>
      </c>
    </row>
    <row r="1889" spans="1:6" x14ac:dyDescent="0.3">
      <c r="A1889" t="s">
        <v>0</v>
      </c>
      <c r="B1889" t="str">
        <f>"18857847398"</f>
        <v>18857847398</v>
      </c>
      <c r="C1889" t="s">
        <v>0</v>
      </c>
      <c r="D1889" t="s">
        <v>0</v>
      </c>
      <c r="E1889" t="s">
        <v>0</v>
      </c>
      <c r="F1889" t="str">
        <f>"2018-11-28 16:02:50"</f>
        <v>2018-11-28 16:02:50</v>
      </c>
    </row>
    <row r="1890" spans="1:6" x14ac:dyDescent="0.3">
      <c r="A1890" t="s">
        <v>3128</v>
      </c>
      <c r="B1890" t="str">
        <f>"15605401568"</f>
        <v>15605401568</v>
      </c>
      <c r="C1890" t="str">
        <f>"372928198209258713"</f>
        <v>372928198209258713</v>
      </c>
      <c r="D1890" t="s">
        <v>3129</v>
      </c>
      <c r="E1890" t="s">
        <v>3130</v>
      </c>
      <c r="F1890" t="str">
        <f>"2018-11-28 16:02:37"</f>
        <v>2018-11-28 16:02:37</v>
      </c>
    </row>
    <row r="1891" spans="1:6" x14ac:dyDescent="0.3">
      <c r="A1891" t="s">
        <v>3131</v>
      </c>
      <c r="B1891" t="str">
        <f>"18672575920"</f>
        <v>18672575920</v>
      </c>
      <c r="C1891" t="str">
        <f>"421023199111018532"</f>
        <v>421023199111018532</v>
      </c>
      <c r="D1891" t="s">
        <v>3132</v>
      </c>
      <c r="E1891" t="s">
        <v>3132</v>
      </c>
      <c r="F1891" t="str">
        <f>"2018-11-28 16:02:35"</f>
        <v>2018-11-28 16:02:35</v>
      </c>
    </row>
    <row r="1892" spans="1:6" x14ac:dyDescent="0.3">
      <c r="A1892" t="s">
        <v>0</v>
      </c>
      <c r="B1892" t="str">
        <f>"13474621271"</f>
        <v>13474621271</v>
      </c>
      <c r="C1892" t="s">
        <v>0</v>
      </c>
      <c r="D1892" t="s">
        <v>0</v>
      </c>
      <c r="E1892" t="s">
        <v>0</v>
      </c>
      <c r="F1892" t="str">
        <f>"2018-11-28 16:02:08"</f>
        <v>2018-11-28 16:02:08</v>
      </c>
    </row>
    <row r="1893" spans="1:6" x14ac:dyDescent="0.3">
      <c r="A1893" t="s">
        <v>3133</v>
      </c>
      <c r="B1893" t="str">
        <f>"13173871903"</f>
        <v>13173871903</v>
      </c>
      <c r="C1893" t="str">
        <f>"362204198004163533"</f>
        <v>362204198004163533</v>
      </c>
      <c r="D1893" t="s">
        <v>3134</v>
      </c>
      <c r="E1893" t="s">
        <v>3135</v>
      </c>
      <c r="F1893" t="str">
        <f>"2018-11-28 16:02:01"</f>
        <v>2018-11-28 16:02:01</v>
      </c>
    </row>
    <row r="1894" spans="1:6" x14ac:dyDescent="0.3">
      <c r="A1894" t="s">
        <v>3136</v>
      </c>
      <c r="B1894" t="str">
        <f>"15568099090"</f>
        <v>15568099090</v>
      </c>
      <c r="C1894" t="str">
        <f>"222404199201190017"</f>
        <v>222404199201190017</v>
      </c>
      <c r="D1894" t="s">
        <v>0</v>
      </c>
      <c r="E1894" t="s">
        <v>0</v>
      </c>
      <c r="F1894" t="str">
        <f>"2018-11-28 16:01:41"</f>
        <v>2018-11-28 16:01:41</v>
      </c>
    </row>
    <row r="1895" spans="1:6" x14ac:dyDescent="0.3">
      <c r="A1895" t="s">
        <v>0</v>
      </c>
      <c r="B1895" t="str">
        <f>"18872613529"</f>
        <v>18872613529</v>
      </c>
      <c r="C1895" t="s">
        <v>0</v>
      </c>
      <c r="D1895" t="s">
        <v>0</v>
      </c>
      <c r="E1895" t="s">
        <v>0</v>
      </c>
      <c r="F1895" t="str">
        <f>"2018-11-28 16:01:08"</f>
        <v>2018-11-28 16:01:08</v>
      </c>
    </row>
    <row r="1896" spans="1:6" x14ac:dyDescent="0.3">
      <c r="A1896" t="s">
        <v>3137</v>
      </c>
      <c r="B1896" t="str">
        <f>"15225126999"</f>
        <v>15225126999</v>
      </c>
      <c r="C1896" t="str">
        <f>"410121198008263834"</f>
        <v>410121198008263834</v>
      </c>
      <c r="D1896" t="s">
        <v>0</v>
      </c>
      <c r="E1896" t="s">
        <v>0</v>
      </c>
      <c r="F1896" t="str">
        <f>"2018-11-28 16:00:05"</f>
        <v>2018-11-28 16:00:05</v>
      </c>
    </row>
    <row r="1897" spans="1:6" x14ac:dyDescent="0.3">
      <c r="A1897" t="s">
        <v>3138</v>
      </c>
      <c r="B1897" t="str">
        <f>"13964440822"</f>
        <v>13964440822</v>
      </c>
      <c r="C1897" t="str">
        <f>"370323198801293212"</f>
        <v>370323198801293212</v>
      </c>
      <c r="D1897" t="s">
        <v>3139</v>
      </c>
      <c r="E1897" t="s">
        <v>3140</v>
      </c>
      <c r="F1897" t="str">
        <f>"2018-11-28 15:59:26"</f>
        <v>2018-11-28 15:59:26</v>
      </c>
    </row>
    <row r="1898" spans="1:6" x14ac:dyDescent="0.3">
      <c r="A1898" t="s">
        <v>3141</v>
      </c>
      <c r="B1898" t="str">
        <f>"15754033520"</f>
        <v>15754033520</v>
      </c>
      <c r="C1898" t="str">
        <f>"371323198910011414"</f>
        <v>371323198910011414</v>
      </c>
      <c r="D1898" t="s">
        <v>3142</v>
      </c>
      <c r="E1898" t="s">
        <v>3143</v>
      </c>
      <c r="F1898" t="str">
        <f>"2018-11-28 15:57:51"</f>
        <v>2018-11-28 15:57:51</v>
      </c>
    </row>
    <row r="1899" spans="1:6" x14ac:dyDescent="0.3">
      <c r="A1899" t="s">
        <v>3144</v>
      </c>
      <c r="B1899" t="str">
        <f>"13354314202"</f>
        <v>13354314202</v>
      </c>
      <c r="C1899" t="str">
        <f>"232103199210013732"</f>
        <v>232103199210013732</v>
      </c>
      <c r="D1899" t="s">
        <v>3145</v>
      </c>
      <c r="E1899" t="s">
        <v>3146</v>
      </c>
      <c r="F1899" t="str">
        <f>"2018-11-28 15:57:31"</f>
        <v>2018-11-28 15:57:31</v>
      </c>
    </row>
    <row r="1900" spans="1:6" x14ac:dyDescent="0.3">
      <c r="A1900" t="s">
        <v>0</v>
      </c>
      <c r="B1900" t="str">
        <f>"13071096293"</f>
        <v>13071096293</v>
      </c>
      <c r="C1900" t="s">
        <v>0</v>
      </c>
      <c r="D1900" t="s">
        <v>0</v>
      </c>
      <c r="E1900" t="s">
        <v>0</v>
      </c>
      <c r="F1900" t="str">
        <f>"2018-11-28 15:57:03"</f>
        <v>2018-11-28 15:57:03</v>
      </c>
    </row>
    <row r="1901" spans="1:6" x14ac:dyDescent="0.3">
      <c r="A1901" t="s">
        <v>3147</v>
      </c>
      <c r="B1901" t="str">
        <f>"13717131404"</f>
        <v>13717131404</v>
      </c>
      <c r="C1901" t="str">
        <f>"610322197802241173"</f>
        <v>610322197802241173</v>
      </c>
      <c r="D1901" t="s">
        <v>3148</v>
      </c>
      <c r="E1901" t="s">
        <v>3149</v>
      </c>
      <c r="F1901" t="str">
        <f>"2018-11-28 15:56:37"</f>
        <v>2018-11-28 15:56:37</v>
      </c>
    </row>
    <row r="1902" spans="1:6" x14ac:dyDescent="0.3">
      <c r="A1902" t="s">
        <v>3150</v>
      </c>
      <c r="B1902" t="str">
        <f>"15298004004"</f>
        <v>15298004004</v>
      </c>
      <c r="C1902" t="str">
        <f>"511102198601270037"</f>
        <v>511102198601270037</v>
      </c>
      <c r="D1902" t="s">
        <v>3151</v>
      </c>
      <c r="E1902" t="s">
        <v>3152</v>
      </c>
      <c r="F1902" t="str">
        <f>"2018-11-28 15:55:48"</f>
        <v>2018-11-28 15:55:48</v>
      </c>
    </row>
    <row r="1903" spans="1:6" x14ac:dyDescent="0.3">
      <c r="A1903" t="s">
        <v>3153</v>
      </c>
      <c r="B1903" t="str">
        <f>"13818032772"</f>
        <v>13818032772</v>
      </c>
      <c r="C1903" t="str">
        <f>"310109199003221527"</f>
        <v>310109199003221527</v>
      </c>
      <c r="D1903" t="s">
        <v>3154</v>
      </c>
      <c r="E1903" t="s">
        <v>3155</v>
      </c>
      <c r="F1903" t="str">
        <f>"2018-11-28 15:55:45"</f>
        <v>2018-11-28 15:55:45</v>
      </c>
    </row>
    <row r="1904" spans="1:6" x14ac:dyDescent="0.3">
      <c r="A1904" t="s">
        <v>3156</v>
      </c>
      <c r="B1904" t="str">
        <f>"18728738523"</f>
        <v>18728738523</v>
      </c>
      <c r="C1904" t="str">
        <f>"51370119940520422X"</f>
        <v>51370119940520422X</v>
      </c>
      <c r="D1904" t="s">
        <v>3157</v>
      </c>
      <c r="E1904" t="s">
        <v>3158</v>
      </c>
      <c r="F1904" t="str">
        <f>"2018-11-28 15:55:09"</f>
        <v>2018-11-28 15:55:09</v>
      </c>
    </row>
    <row r="1905" spans="1:6" x14ac:dyDescent="0.3">
      <c r="A1905" t="s">
        <v>3159</v>
      </c>
      <c r="B1905" t="str">
        <f>"13517800655"</f>
        <v>13517800655</v>
      </c>
      <c r="C1905" t="str">
        <f>"450203198506110048"</f>
        <v>450203198506110048</v>
      </c>
      <c r="D1905" t="s">
        <v>3160</v>
      </c>
      <c r="E1905" t="s">
        <v>3161</v>
      </c>
      <c r="F1905" t="str">
        <f>"2018-11-28 15:54:57"</f>
        <v>2018-11-28 15:54:57</v>
      </c>
    </row>
    <row r="1906" spans="1:6" x14ac:dyDescent="0.3">
      <c r="A1906" t="s">
        <v>0</v>
      </c>
      <c r="B1906" t="str">
        <f>"18202575936"</f>
        <v>18202575936</v>
      </c>
      <c r="C1906" t="s">
        <v>0</v>
      </c>
      <c r="D1906" t="s">
        <v>0</v>
      </c>
      <c r="E1906" t="s">
        <v>0</v>
      </c>
      <c r="F1906" t="str">
        <f>"2018-11-28 15:54:50"</f>
        <v>2018-11-28 15:54:50</v>
      </c>
    </row>
    <row r="1907" spans="1:6" x14ac:dyDescent="0.3">
      <c r="A1907" t="s">
        <v>3162</v>
      </c>
      <c r="B1907" t="str">
        <f>"18133618091"</f>
        <v>18133618091</v>
      </c>
      <c r="C1907" t="str">
        <f>"320922199201020319"</f>
        <v>320922199201020319</v>
      </c>
      <c r="D1907" t="s">
        <v>0</v>
      </c>
      <c r="E1907" t="s">
        <v>0</v>
      </c>
      <c r="F1907" t="str">
        <f>"2018-11-28 15:54:20"</f>
        <v>2018-11-28 15:54:20</v>
      </c>
    </row>
    <row r="1908" spans="1:6" x14ac:dyDescent="0.3">
      <c r="A1908" t="s">
        <v>3163</v>
      </c>
      <c r="B1908" t="str">
        <f>"15712560444"</f>
        <v>15712560444</v>
      </c>
      <c r="C1908" t="str">
        <f>"130683198411096019"</f>
        <v>130683198411096019</v>
      </c>
      <c r="D1908" t="s">
        <v>3164</v>
      </c>
      <c r="E1908" t="s">
        <v>3164</v>
      </c>
      <c r="F1908" t="str">
        <f>"2018-11-28 15:54:16"</f>
        <v>2018-11-28 15:54:16</v>
      </c>
    </row>
    <row r="1909" spans="1:6" x14ac:dyDescent="0.3">
      <c r="A1909" t="s">
        <v>3165</v>
      </c>
      <c r="B1909" t="str">
        <f>"17621461404"</f>
        <v>17621461404</v>
      </c>
      <c r="C1909" t="str">
        <f>"22028219981030141X"</f>
        <v>22028219981030141X</v>
      </c>
      <c r="D1909" t="s">
        <v>0</v>
      </c>
      <c r="E1909" t="s">
        <v>0</v>
      </c>
      <c r="F1909" t="str">
        <f>"2018-11-28 15:54:01"</f>
        <v>2018-11-28 15:54:01</v>
      </c>
    </row>
    <row r="1910" spans="1:6" x14ac:dyDescent="0.3">
      <c r="A1910" t="s">
        <v>0</v>
      </c>
      <c r="B1910" t="str">
        <f>"13924681141"</f>
        <v>13924681141</v>
      </c>
      <c r="C1910" t="s">
        <v>0</v>
      </c>
      <c r="D1910" t="s">
        <v>0</v>
      </c>
      <c r="E1910" t="s">
        <v>0</v>
      </c>
      <c r="F1910" t="str">
        <f>"2018-11-28 15:53:40"</f>
        <v>2018-11-28 15:53:40</v>
      </c>
    </row>
    <row r="1911" spans="1:6" x14ac:dyDescent="0.3">
      <c r="A1911" t="s">
        <v>0</v>
      </c>
      <c r="B1911" t="str">
        <f>"17793407171"</f>
        <v>17793407171</v>
      </c>
      <c r="C1911" t="s">
        <v>0</v>
      </c>
      <c r="D1911" t="s">
        <v>0</v>
      </c>
      <c r="E1911" t="s">
        <v>0</v>
      </c>
      <c r="F1911" t="str">
        <f>"2018-11-28 15:53:37"</f>
        <v>2018-11-28 15:53:37</v>
      </c>
    </row>
    <row r="1912" spans="1:6" x14ac:dyDescent="0.3">
      <c r="A1912" t="s">
        <v>3166</v>
      </c>
      <c r="B1912" t="str">
        <f>"18791113707"</f>
        <v>18791113707</v>
      </c>
      <c r="C1912" t="str">
        <f>"610502198606260836"</f>
        <v>610502198606260836</v>
      </c>
      <c r="D1912" t="s">
        <v>3167</v>
      </c>
      <c r="E1912" t="s">
        <v>3168</v>
      </c>
      <c r="F1912" t="str">
        <f>"2018-11-28 15:52:05"</f>
        <v>2018-11-28 15:52:05</v>
      </c>
    </row>
    <row r="1913" spans="1:6" x14ac:dyDescent="0.3">
      <c r="A1913" t="s">
        <v>0</v>
      </c>
      <c r="B1913" t="str">
        <f>"15393999873"</f>
        <v>15393999873</v>
      </c>
      <c r="C1913" t="s">
        <v>0</v>
      </c>
      <c r="D1913" t="s">
        <v>0</v>
      </c>
      <c r="E1913" t="s">
        <v>0</v>
      </c>
      <c r="F1913" t="str">
        <f>"2018-11-28 15:51:31"</f>
        <v>2018-11-28 15:51:31</v>
      </c>
    </row>
    <row r="1914" spans="1:6" x14ac:dyDescent="0.3">
      <c r="A1914" t="s">
        <v>0</v>
      </c>
      <c r="B1914" t="str">
        <f>"13305179604"</f>
        <v>13305179604</v>
      </c>
      <c r="C1914" t="s">
        <v>0</v>
      </c>
      <c r="D1914" t="s">
        <v>0</v>
      </c>
      <c r="E1914" t="s">
        <v>0</v>
      </c>
      <c r="F1914" t="str">
        <f>"2018-11-28 15:51:14"</f>
        <v>2018-11-28 15:51:14</v>
      </c>
    </row>
    <row r="1915" spans="1:6" x14ac:dyDescent="0.3">
      <c r="A1915" t="s">
        <v>3169</v>
      </c>
      <c r="B1915" t="str">
        <f>"13808069274"</f>
        <v>13808069274</v>
      </c>
      <c r="C1915" t="str">
        <f>"510822199206243677"</f>
        <v>510822199206243677</v>
      </c>
      <c r="D1915" t="s">
        <v>3170</v>
      </c>
      <c r="E1915" t="s">
        <v>3171</v>
      </c>
      <c r="F1915" t="str">
        <f>"2018-11-28 15:50:31"</f>
        <v>2018-11-28 15:50:31</v>
      </c>
    </row>
    <row r="1916" spans="1:6" x14ac:dyDescent="0.3">
      <c r="A1916" t="s">
        <v>3172</v>
      </c>
      <c r="B1916" t="str">
        <f>"15280358292"</f>
        <v>15280358292</v>
      </c>
      <c r="C1916" t="str">
        <f>"350823199311203016"</f>
        <v>350823199311203016</v>
      </c>
      <c r="D1916" t="s">
        <v>0</v>
      </c>
      <c r="E1916" t="s">
        <v>0</v>
      </c>
      <c r="F1916" t="str">
        <f>"2018-11-28 15:50:29"</f>
        <v>2018-11-28 15:50:29</v>
      </c>
    </row>
    <row r="1917" spans="1:6" x14ac:dyDescent="0.3">
      <c r="A1917" t="s">
        <v>3173</v>
      </c>
      <c r="B1917" t="str">
        <f>"17321192632"</f>
        <v>17321192632</v>
      </c>
      <c r="C1917" t="str">
        <f>"421124198811084511"</f>
        <v>421124198811084511</v>
      </c>
      <c r="D1917" t="s">
        <v>3174</v>
      </c>
      <c r="E1917" t="s">
        <v>3175</v>
      </c>
      <c r="F1917" t="str">
        <f>"2018-11-28 15:50:11"</f>
        <v>2018-11-28 15:50:11</v>
      </c>
    </row>
    <row r="1918" spans="1:6" x14ac:dyDescent="0.3">
      <c r="A1918" t="s">
        <v>3176</v>
      </c>
      <c r="B1918" t="str">
        <f>"18686747076"</f>
        <v>18686747076</v>
      </c>
      <c r="C1918" t="str">
        <f>"15210519910417181X"</f>
        <v>15210519910417181X</v>
      </c>
      <c r="D1918" t="s">
        <v>3177</v>
      </c>
      <c r="E1918" t="s">
        <v>3178</v>
      </c>
      <c r="F1918" t="str">
        <f>"2018-11-28 15:49:45"</f>
        <v>2018-11-28 15:49:45</v>
      </c>
    </row>
    <row r="1919" spans="1:6" x14ac:dyDescent="0.3">
      <c r="A1919" t="s">
        <v>0</v>
      </c>
      <c r="B1919" t="str">
        <f>"15198944253"</f>
        <v>15198944253</v>
      </c>
      <c r="C1919" t="s">
        <v>0</v>
      </c>
      <c r="D1919" t="s">
        <v>0</v>
      </c>
      <c r="E1919" t="s">
        <v>0</v>
      </c>
      <c r="F1919" t="str">
        <f>"2018-11-28 15:48:11"</f>
        <v>2018-11-28 15:48:11</v>
      </c>
    </row>
    <row r="1920" spans="1:6" x14ac:dyDescent="0.3">
      <c r="A1920" t="s">
        <v>3179</v>
      </c>
      <c r="B1920" t="str">
        <f>"13610686320"</f>
        <v>13610686320</v>
      </c>
      <c r="C1920" t="str">
        <f>"142625197403232717"</f>
        <v>142625197403232717</v>
      </c>
      <c r="D1920" t="s">
        <v>3180</v>
      </c>
      <c r="E1920" t="s">
        <v>3181</v>
      </c>
      <c r="F1920" t="str">
        <f>"2018-11-28 15:47:59"</f>
        <v>2018-11-28 15:47:59</v>
      </c>
    </row>
    <row r="1921" spans="1:6" x14ac:dyDescent="0.3">
      <c r="A1921" t="s">
        <v>0</v>
      </c>
      <c r="B1921" t="str">
        <f>"13775105033"</f>
        <v>13775105033</v>
      </c>
      <c r="C1921" t="s">
        <v>0</v>
      </c>
      <c r="D1921" t="s">
        <v>0</v>
      </c>
      <c r="E1921" t="s">
        <v>0</v>
      </c>
      <c r="F1921" t="str">
        <f>"2018-11-28 15:47:10"</f>
        <v>2018-11-28 15:47:10</v>
      </c>
    </row>
    <row r="1922" spans="1:6" x14ac:dyDescent="0.3">
      <c r="A1922" t="s">
        <v>3182</v>
      </c>
      <c r="B1922" t="str">
        <f>"18319650369"</f>
        <v>18319650369</v>
      </c>
      <c r="C1922" t="str">
        <f>"441781199407145915"</f>
        <v>441781199407145915</v>
      </c>
      <c r="D1922" t="s">
        <v>3183</v>
      </c>
      <c r="E1922" t="s">
        <v>3184</v>
      </c>
      <c r="F1922" t="str">
        <f>"2018-11-28 15:47:10"</f>
        <v>2018-11-28 15:47:10</v>
      </c>
    </row>
    <row r="1923" spans="1:6" x14ac:dyDescent="0.3">
      <c r="A1923" t="s">
        <v>3185</v>
      </c>
      <c r="B1923" t="str">
        <f>"15869490322"</f>
        <v>15869490322</v>
      </c>
      <c r="C1923" t="str">
        <f>"330382199410234319"</f>
        <v>330382199410234319</v>
      </c>
      <c r="D1923" t="s">
        <v>0</v>
      </c>
      <c r="E1923" t="s">
        <v>0</v>
      </c>
      <c r="F1923" t="str">
        <f>"2018-11-28 15:46:23"</f>
        <v>2018-11-28 15:46:23</v>
      </c>
    </row>
    <row r="1924" spans="1:6" x14ac:dyDescent="0.3">
      <c r="A1924" t="s">
        <v>0</v>
      </c>
      <c r="B1924" t="str">
        <f>"13724814599"</f>
        <v>13724814599</v>
      </c>
      <c r="C1924" t="s">
        <v>0</v>
      </c>
      <c r="D1924" t="s">
        <v>0</v>
      </c>
      <c r="E1924" t="s">
        <v>0</v>
      </c>
      <c r="F1924" t="str">
        <f>"2018-11-28 15:45:22"</f>
        <v>2018-11-28 15:45:22</v>
      </c>
    </row>
    <row r="1925" spans="1:6" x14ac:dyDescent="0.3">
      <c r="A1925" t="s">
        <v>0</v>
      </c>
      <c r="B1925" t="str">
        <f>"17671742730"</f>
        <v>17671742730</v>
      </c>
      <c r="C1925" t="s">
        <v>0</v>
      </c>
      <c r="D1925" t="s">
        <v>0</v>
      </c>
      <c r="E1925" t="s">
        <v>0</v>
      </c>
      <c r="F1925" t="str">
        <f>"2018-11-28 15:44:18"</f>
        <v>2018-11-28 15:44:18</v>
      </c>
    </row>
    <row r="1926" spans="1:6" x14ac:dyDescent="0.3">
      <c r="A1926" t="s">
        <v>3186</v>
      </c>
      <c r="B1926" t="str">
        <f>"15507797025"</f>
        <v>15507797025</v>
      </c>
      <c r="C1926" t="str">
        <f>"620523198311074693"</f>
        <v>620523198311074693</v>
      </c>
      <c r="D1926" t="s">
        <v>3187</v>
      </c>
      <c r="E1926" t="s">
        <v>3188</v>
      </c>
      <c r="F1926" t="str">
        <f>"2018-11-28 15:44:11"</f>
        <v>2018-11-28 15:44:11</v>
      </c>
    </row>
    <row r="1927" spans="1:6" x14ac:dyDescent="0.3">
      <c r="A1927" t="s">
        <v>3189</v>
      </c>
      <c r="B1927" t="str">
        <f>"17395130039"</f>
        <v>17395130039</v>
      </c>
      <c r="C1927" t="str">
        <f>"642125197902151322"</f>
        <v>642125197902151322</v>
      </c>
      <c r="D1927" t="s">
        <v>3190</v>
      </c>
      <c r="E1927" t="s">
        <v>3191</v>
      </c>
      <c r="F1927" t="str">
        <f>"2018-11-28 15:41:39"</f>
        <v>2018-11-28 15:41:39</v>
      </c>
    </row>
    <row r="1928" spans="1:6" x14ac:dyDescent="0.3">
      <c r="A1928" t="s">
        <v>3192</v>
      </c>
      <c r="B1928" t="str">
        <f>"18934713898"</f>
        <v>18934713898</v>
      </c>
      <c r="C1928" t="str">
        <f>"45262519941223285X"</f>
        <v>45262519941223285X</v>
      </c>
      <c r="D1928" t="s">
        <v>3193</v>
      </c>
      <c r="E1928" t="s">
        <v>3194</v>
      </c>
      <c r="F1928" t="str">
        <f>"2018-11-28 15:40:14"</f>
        <v>2018-11-28 15:40:14</v>
      </c>
    </row>
    <row r="1929" spans="1:6" x14ac:dyDescent="0.3">
      <c r="A1929" t="s">
        <v>3195</v>
      </c>
      <c r="B1929" t="str">
        <f>"15269111785"</f>
        <v>15269111785</v>
      </c>
      <c r="C1929" t="str">
        <f>"370982198911123161"</f>
        <v>370982198911123161</v>
      </c>
      <c r="D1929" t="s">
        <v>0</v>
      </c>
      <c r="E1929" t="s">
        <v>0</v>
      </c>
      <c r="F1929" t="str">
        <f>"2018-11-28 15:38:57"</f>
        <v>2018-11-28 15:38:57</v>
      </c>
    </row>
    <row r="1930" spans="1:6" x14ac:dyDescent="0.3">
      <c r="A1930" t="s">
        <v>3196</v>
      </c>
      <c r="B1930" t="str">
        <f>"18671383120"</f>
        <v>18671383120</v>
      </c>
      <c r="C1930" t="str">
        <f>"421122198712210516"</f>
        <v>421122198712210516</v>
      </c>
      <c r="D1930" t="s">
        <v>3197</v>
      </c>
      <c r="E1930" t="s">
        <v>3198</v>
      </c>
      <c r="F1930" t="str">
        <f>"2018-11-28 15:38:48"</f>
        <v>2018-11-28 15:38:48</v>
      </c>
    </row>
    <row r="1931" spans="1:6" x14ac:dyDescent="0.3">
      <c r="A1931" t="s">
        <v>3199</v>
      </c>
      <c r="B1931" t="str">
        <f>"18877107552"</f>
        <v>18877107552</v>
      </c>
      <c r="C1931" t="str">
        <f>"450121199206135122"</f>
        <v>450121199206135122</v>
      </c>
      <c r="D1931" t="s">
        <v>3200</v>
      </c>
      <c r="E1931" t="s">
        <v>3201</v>
      </c>
      <c r="F1931" t="str">
        <f>"2018-11-28 15:38:18"</f>
        <v>2018-11-28 15:38:18</v>
      </c>
    </row>
    <row r="1932" spans="1:6" x14ac:dyDescent="0.3">
      <c r="A1932" t="s">
        <v>0</v>
      </c>
      <c r="B1932" t="str">
        <f>"15163532143"</f>
        <v>15163532143</v>
      </c>
      <c r="C1932" t="s">
        <v>0</v>
      </c>
      <c r="D1932" t="s">
        <v>0</v>
      </c>
      <c r="E1932" t="s">
        <v>0</v>
      </c>
      <c r="F1932" t="str">
        <f>"2018-11-28 15:38:12"</f>
        <v>2018-11-28 15:38:12</v>
      </c>
    </row>
    <row r="1933" spans="1:6" x14ac:dyDescent="0.3">
      <c r="A1933" t="s">
        <v>3202</v>
      </c>
      <c r="B1933" t="str">
        <f>"18601503330"</f>
        <v>18601503330</v>
      </c>
      <c r="C1933" t="str">
        <f>"320981198712041715"</f>
        <v>320981198712041715</v>
      </c>
      <c r="D1933" t="s">
        <v>0</v>
      </c>
      <c r="E1933" t="s">
        <v>0</v>
      </c>
      <c r="F1933" t="str">
        <f>"2018-11-28 15:38:09"</f>
        <v>2018-11-28 15:38:09</v>
      </c>
    </row>
    <row r="1934" spans="1:6" x14ac:dyDescent="0.3">
      <c r="A1934" t="s">
        <v>3203</v>
      </c>
      <c r="B1934" t="str">
        <f>"13137041157"</f>
        <v>13137041157</v>
      </c>
      <c r="C1934" t="str">
        <f>"410323199608129514"</f>
        <v>410323199608129514</v>
      </c>
      <c r="D1934" t="s">
        <v>3204</v>
      </c>
      <c r="E1934" t="s">
        <v>3205</v>
      </c>
      <c r="F1934" t="str">
        <f>"2018-11-28 15:37:53"</f>
        <v>2018-11-28 15:37:53</v>
      </c>
    </row>
    <row r="1935" spans="1:6" x14ac:dyDescent="0.3">
      <c r="A1935" t="s">
        <v>3206</v>
      </c>
      <c r="B1935" t="str">
        <f>"13802736321"</f>
        <v>13802736321</v>
      </c>
      <c r="C1935" t="str">
        <f>"431222199709135211"</f>
        <v>431222199709135211</v>
      </c>
      <c r="D1935" t="s">
        <v>3207</v>
      </c>
      <c r="E1935" t="s">
        <v>3208</v>
      </c>
      <c r="F1935" t="str">
        <f>"2018-11-28 15:37:43"</f>
        <v>2018-11-28 15:37:43</v>
      </c>
    </row>
    <row r="1936" spans="1:6" x14ac:dyDescent="0.3">
      <c r="A1936" t="s">
        <v>3209</v>
      </c>
      <c r="B1936" t="str">
        <f>"13488117983"</f>
        <v>13488117983</v>
      </c>
      <c r="C1936" t="str">
        <f>"610112198506033522"</f>
        <v>610112198506033522</v>
      </c>
      <c r="D1936" t="s">
        <v>3210</v>
      </c>
      <c r="E1936" t="s">
        <v>3211</v>
      </c>
      <c r="F1936" t="str">
        <f>"2018-11-28 15:37:17"</f>
        <v>2018-11-28 15:37:17</v>
      </c>
    </row>
    <row r="1937" spans="1:6" x14ac:dyDescent="0.3">
      <c r="A1937" t="s">
        <v>3212</v>
      </c>
      <c r="B1937" t="str">
        <f>"13257209588"</f>
        <v>13257209588</v>
      </c>
      <c r="C1937" t="str">
        <f>"422324198210224410"</f>
        <v>422324198210224410</v>
      </c>
      <c r="D1937" t="s">
        <v>0</v>
      </c>
      <c r="E1937" t="s">
        <v>0</v>
      </c>
      <c r="F1937" t="str">
        <f>"2018-11-28 15:37:03"</f>
        <v>2018-11-28 15:37:03</v>
      </c>
    </row>
    <row r="1938" spans="1:6" x14ac:dyDescent="0.3">
      <c r="A1938" t="s">
        <v>0</v>
      </c>
      <c r="B1938" t="str">
        <f>"18318370416"</f>
        <v>18318370416</v>
      </c>
      <c r="C1938" t="s">
        <v>0</v>
      </c>
      <c r="D1938" t="s">
        <v>0</v>
      </c>
      <c r="E1938" t="s">
        <v>0</v>
      </c>
      <c r="F1938" t="str">
        <f>"2018-11-28 15:37:02"</f>
        <v>2018-11-28 15:37:02</v>
      </c>
    </row>
    <row r="1939" spans="1:6" x14ac:dyDescent="0.3">
      <c r="A1939" t="s">
        <v>3213</v>
      </c>
      <c r="B1939" t="str">
        <f>"15184456882"</f>
        <v>15184456882</v>
      </c>
      <c r="C1939" t="str">
        <f>"510113199506237418"</f>
        <v>510113199506237418</v>
      </c>
      <c r="D1939" t="s">
        <v>3214</v>
      </c>
      <c r="E1939" t="s">
        <v>3215</v>
      </c>
      <c r="F1939" t="str">
        <f>"2018-11-28 15:37:00"</f>
        <v>2018-11-28 15:37:00</v>
      </c>
    </row>
    <row r="1940" spans="1:6" x14ac:dyDescent="0.3">
      <c r="A1940" t="s">
        <v>0</v>
      </c>
      <c r="B1940" t="str">
        <f>"15885015692"</f>
        <v>15885015692</v>
      </c>
      <c r="C1940" t="s">
        <v>0</v>
      </c>
      <c r="D1940" t="s">
        <v>0</v>
      </c>
      <c r="E1940" t="s">
        <v>0</v>
      </c>
      <c r="F1940" t="str">
        <f>"2018-11-28 15:36:28"</f>
        <v>2018-11-28 15:36:28</v>
      </c>
    </row>
    <row r="1941" spans="1:6" x14ac:dyDescent="0.3">
      <c r="A1941" t="s">
        <v>3216</v>
      </c>
      <c r="B1941" t="str">
        <f>"18355764400"</f>
        <v>18355764400</v>
      </c>
      <c r="C1941" t="str">
        <f>"342225198601242430"</f>
        <v>342225198601242430</v>
      </c>
      <c r="D1941" t="s">
        <v>3217</v>
      </c>
      <c r="E1941" t="s">
        <v>3218</v>
      </c>
      <c r="F1941" t="str">
        <f>"2018-11-28 15:36:15"</f>
        <v>2018-11-28 15:36:15</v>
      </c>
    </row>
    <row r="1942" spans="1:6" x14ac:dyDescent="0.3">
      <c r="A1942" t="s">
        <v>0</v>
      </c>
      <c r="B1942" t="str">
        <f>"18865202600"</f>
        <v>18865202600</v>
      </c>
      <c r="C1942" t="s">
        <v>0</v>
      </c>
      <c r="D1942" t="s">
        <v>0</v>
      </c>
      <c r="E1942" t="s">
        <v>0</v>
      </c>
      <c r="F1942" t="str">
        <f>"2018-11-28 15:35:29"</f>
        <v>2018-11-28 15:35:29</v>
      </c>
    </row>
    <row r="1943" spans="1:6" x14ac:dyDescent="0.3">
      <c r="A1943" t="s">
        <v>3219</v>
      </c>
      <c r="B1943" t="str">
        <f>"13064441501"</f>
        <v>13064441501</v>
      </c>
      <c r="C1943" t="str">
        <f>"410522199212072819"</f>
        <v>410522199212072819</v>
      </c>
      <c r="D1943" t="s">
        <v>3220</v>
      </c>
      <c r="E1943" t="s">
        <v>3221</v>
      </c>
      <c r="F1943" t="str">
        <f>"2018-11-28 15:35:24"</f>
        <v>2018-11-28 15:35:24</v>
      </c>
    </row>
    <row r="1944" spans="1:6" x14ac:dyDescent="0.3">
      <c r="A1944" t="s">
        <v>45</v>
      </c>
      <c r="B1944" t="str">
        <f>"15261166119"</f>
        <v>15261166119</v>
      </c>
      <c r="C1944" t="str">
        <f>"32118119850902436X"</f>
        <v>32118119850902436X</v>
      </c>
      <c r="D1944" t="s">
        <v>0</v>
      </c>
      <c r="E1944" t="s">
        <v>0</v>
      </c>
      <c r="F1944" t="str">
        <f>"2018-11-28 15:35:05"</f>
        <v>2018-11-28 15:35:05</v>
      </c>
    </row>
    <row r="1945" spans="1:6" x14ac:dyDescent="0.3">
      <c r="A1945" t="s">
        <v>3222</v>
      </c>
      <c r="B1945" t="str">
        <f>"15304228505"</f>
        <v>15304228505</v>
      </c>
      <c r="C1945" t="str">
        <f>"211381200006245940"</f>
        <v>211381200006245940</v>
      </c>
      <c r="D1945" t="s">
        <v>0</v>
      </c>
      <c r="E1945" t="s">
        <v>0</v>
      </c>
      <c r="F1945" t="str">
        <f>"2018-11-28 15:34:58"</f>
        <v>2018-11-28 15:34:58</v>
      </c>
    </row>
    <row r="1946" spans="1:6" x14ac:dyDescent="0.3">
      <c r="A1946" t="s">
        <v>3223</v>
      </c>
      <c r="B1946" t="str">
        <f>"15062323887"</f>
        <v>15062323887</v>
      </c>
      <c r="C1946" t="str">
        <f>"320586199107303611"</f>
        <v>320586199107303611</v>
      </c>
      <c r="D1946" t="s">
        <v>3224</v>
      </c>
      <c r="E1946" t="s">
        <v>3225</v>
      </c>
      <c r="F1946" t="str">
        <f>"2018-11-28 15:33:23"</f>
        <v>2018-11-28 15:33:23</v>
      </c>
    </row>
    <row r="1947" spans="1:6" x14ac:dyDescent="0.3">
      <c r="A1947" t="s">
        <v>3226</v>
      </c>
      <c r="B1947" t="str">
        <f>"17603672347"</f>
        <v>17603672347</v>
      </c>
      <c r="C1947" t="str">
        <f>"230623199711130444"</f>
        <v>230623199711130444</v>
      </c>
      <c r="D1947" t="s">
        <v>3227</v>
      </c>
      <c r="E1947" t="s">
        <v>3228</v>
      </c>
      <c r="F1947" t="str">
        <f>"2018-11-28 15:32:45"</f>
        <v>2018-11-28 15:32:45</v>
      </c>
    </row>
    <row r="1948" spans="1:6" x14ac:dyDescent="0.3">
      <c r="A1948" t="s">
        <v>3229</v>
      </c>
      <c r="B1948" t="str">
        <f>"15237444671"</f>
        <v>15237444671</v>
      </c>
      <c r="C1948" t="str">
        <f>"411081199111115975"</f>
        <v>411081199111115975</v>
      </c>
      <c r="D1948" t="s">
        <v>0</v>
      </c>
      <c r="E1948" t="s">
        <v>0</v>
      </c>
      <c r="F1948" t="str">
        <f>"2018-11-28 15:30:44"</f>
        <v>2018-11-28 15:30:44</v>
      </c>
    </row>
    <row r="1949" spans="1:6" x14ac:dyDescent="0.3">
      <c r="A1949" t="s">
        <v>3230</v>
      </c>
      <c r="B1949" t="str">
        <f>"18986776450"</f>
        <v>18986776450</v>
      </c>
      <c r="C1949" t="str">
        <f>"420582199306150089"</f>
        <v>420582199306150089</v>
      </c>
      <c r="D1949" t="s">
        <v>3231</v>
      </c>
      <c r="E1949" t="s">
        <v>3232</v>
      </c>
      <c r="F1949" t="str">
        <f>"2018-11-28 15:28:39"</f>
        <v>2018-11-28 15:28:39</v>
      </c>
    </row>
    <row r="1950" spans="1:6" x14ac:dyDescent="0.3">
      <c r="A1950" t="s">
        <v>0</v>
      </c>
      <c r="B1950" t="str">
        <f>"15628335350"</f>
        <v>15628335350</v>
      </c>
      <c r="C1950" t="s">
        <v>0</v>
      </c>
      <c r="D1950" t="s">
        <v>0</v>
      </c>
      <c r="E1950" t="s">
        <v>0</v>
      </c>
      <c r="F1950" t="str">
        <f>"2018-11-28 15:28:15"</f>
        <v>2018-11-28 15:28:15</v>
      </c>
    </row>
    <row r="1951" spans="1:6" x14ac:dyDescent="0.3">
      <c r="A1951" t="s">
        <v>0</v>
      </c>
      <c r="B1951" t="str">
        <f>"13189540975"</f>
        <v>13189540975</v>
      </c>
      <c r="C1951" t="s">
        <v>0</v>
      </c>
      <c r="D1951" t="s">
        <v>0</v>
      </c>
      <c r="E1951" t="s">
        <v>0</v>
      </c>
      <c r="F1951" t="str">
        <f>"2018-11-28 15:28:06"</f>
        <v>2018-11-28 15:28:06</v>
      </c>
    </row>
    <row r="1952" spans="1:6" x14ac:dyDescent="0.3">
      <c r="A1952" t="s">
        <v>3233</v>
      </c>
      <c r="B1952" t="str">
        <f>"13414663186"</f>
        <v>13414663186</v>
      </c>
      <c r="C1952" t="str">
        <f>"511322198702107155"</f>
        <v>511322198702107155</v>
      </c>
      <c r="D1952" t="s">
        <v>3234</v>
      </c>
      <c r="E1952" t="s">
        <v>3235</v>
      </c>
      <c r="F1952" t="str">
        <f>"2018-11-28 15:27:51"</f>
        <v>2018-11-28 15:27:51</v>
      </c>
    </row>
    <row r="1953" spans="1:6" x14ac:dyDescent="0.3">
      <c r="A1953" t="s">
        <v>3236</v>
      </c>
      <c r="B1953" t="str">
        <f>"18672869231"</f>
        <v>18672869231</v>
      </c>
      <c r="C1953" t="str">
        <f>"429006196703232759"</f>
        <v>429006196703232759</v>
      </c>
      <c r="D1953" t="s">
        <v>0</v>
      </c>
      <c r="E1953" t="s">
        <v>0</v>
      </c>
      <c r="F1953" t="str">
        <f>"2018-11-28 15:26:48"</f>
        <v>2018-11-28 15:26:48</v>
      </c>
    </row>
    <row r="1954" spans="1:6" x14ac:dyDescent="0.3">
      <c r="A1954" t="s">
        <v>3237</v>
      </c>
      <c r="B1954" t="str">
        <f>"15314105565"</f>
        <v>15314105565</v>
      </c>
      <c r="C1954" t="str">
        <f>"371425199101052550"</f>
        <v>371425199101052550</v>
      </c>
      <c r="D1954" t="s">
        <v>3238</v>
      </c>
      <c r="E1954" t="s">
        <v>3239</v>
      </c>
      <c r="F1954" t="str">
        <f>"2018-11-28 15:26:44"</f>
        <v>2018-11-28 15:26:44</v>
      </c>
    </row>
    <row r="1955" spans="1:6" x14ac:dyDescent="0.3">
      <c r="A1955" t="s">
        <v>0</v>
      </c>
      <c r="B1955" t="str">
        <f>"13702158918"</f>
        <v>13702158918</v>
      </c>
      <c r="C1955" t="s">
        <v>0</v>
      </c>
      <c r="D1955" t="s">
        <v>0</v>
      </c>
      <c r="E1955" t="s">
        <v>0</v>
      </c>
      <c r="F1955" t="str">
        <f>"2018-11-28 15:25:53"</f>
        <v>2018-11-28 15:25:53</v>
      </c>
    </row>
    <row r="1956" spans="1:6" x14ac:dyDescent="0.3">
      <c r="A1956" t="s">
        <v>0</v>
      </c>
      <c r="B1956" t="str">
        <f>"18609483305"</f>
        <v>18609483305</v>
      </c>
      <c r="C1956" t="s">
        <v>0</v>
      </c>
      <c r="D1956" t="s">
        <v>0</v>
      </c>
      <c r="E1956" t="s">
        <v>0</v>
      </c>
      <c r="F1956" t="str">
        <f>"2018-11-28 15:25:51"</f>
        <v>2018-11-28 15:25:51</v>
      </c>
    </row>
    <row r="1957" spans="1:6" x14ac:dyDescent="0.3">
      <c r="A1957" t="s">
        <v>3240</v>
      </c>
      <c r="B1957" t="str">
        <f>"17839221515"</f>
        <v>17839221515</v>
      </c>
      <c r="C1957" t="str">
        <f>"410224199608103630"</f>
        <v>410224199608103630</v>
      </c>
      <c r="D1957" t="s">
        <v>3241</v>
      </c>
      <c r="E1957" t="s">
        <v>3242</v>
      </c>
      <c r="F1957" t="str">
        <f>"2018-11-28 15:22:59"</f>
        <v>2018-11-28 15:22:59</v>
      </c>
    </row>
    <row r="1958" spans="1:6" x14ac:dyDescent="0.3">
      <c r="A1958" t="s">
        <v>3243</v>
      </c>
      <c r="B1958" t="str">
        <f>"15999925804"</f>
        <v>15999925804</v>
      </c>
      <c r="C1958" t="str">
        <f>"421022198810085434"</f>
        <v>421022198810085434</v>
      </c>
      <c r="D1958" t="s">
        <v>3244</v>
      </c>
      <c r="E1958" t="s">
        <v>3245</v>
      </c>
      <c r="F1958" t="str">
        <f>"2018-11-28 15:22:54"</f>
        <v>2018-11-28 15:22:54</v>
      </c>
    </row>
    <row r="1959" spans="1:6" x14ac:dyDescent="0.3">
      <c r="A1959" t="s">
        <v>3246</v>
      </c>
      <c r="B1959" t="str">
        <f>"17310988979"</f>
        <v>17310988979</v>
      </c>
      <c r="C1959" t="str">
        <f>"22012219900610531X"</f>
        <v>22012219900610531X</v>
      </c>
      <c r="D1959" t="s">
        <v>3247</v>
      </c>
      <c r="E1959" t="s">
        <v>3248</v>
      </c>
      <c r="F1959" t="str">
        <f>"2018-11-28 15:22:22"</f>
        <v>2018-11-28 15:22:22</v>
      </c>
    </row>
    <row r="1960" spans="1:6" x14ac:dyDescent="0.3">
      <c r="A1960" t="s">
        <v>3249</v>
      </c>
      <c r="B1960" t="str">
        <f>"13753493625"</f>
        <v>13753493625</v>
      </c>
      <c r="C1960" t="str">
        <f>"140581198506151117"</f>
        <v>140581198506151117</v>
      </c>
      <c r="D1960" t="s">
        <v>3250</v>
      </c>
      <c r="E1960" t="s">
        <v>3251</v>
      </c>
      <c r="F1960" t="str">
        <f>"2018-11-28 15:21:31"</f>
        <v>2018-11-28 15:21:31</v>
      </c>
    </row>
    <row r="1961" spans="1:6" x14ac:dyDescent="0.3">
      <c r="A1961" t="s">
        <v>0</v>
      </c>
      <c r="B1961" t="str">
        <f>"17740378858"</f>
        <v>17740378858</v>
      </c>
      <c r="C1961" t="s">
        <v>0</v>
      </c>
      <c r="D1961" t="s">
        <v>0</v>
      </c>
      <c r="E1961" t="s">
        <v>0</v>
      </c>
      <c r="F1961" t="str">
        <f>"2018-11-28 15:21:27"</f>
        <v>2018-11-28 15:21:27</v>
      </c>
    </row>
    <row r="1962" spans="1:6" x14ac:dyDescent="0.3">
      <c r="A1962" t="s">
        <v>3252</v>
      </c>
      <c r="B1962" t="str">
        <f>"15006648952"</f>
        <v>15006648952</v>
      </c>
      <c r="C1962" t="str">
        <f>"370785199203152319"</f>
        <v>370785199203152319</v>
      </c>
      <c r="D1962" t="s">
        <v>3253</v>
      </c>
      <c r="E1962" t="s">
        <v>3254</v>
      </c>
      <c r="F1962" t="str">
        <f>"2018-11-28 15:21:26"</f>
        <v>2018-11-28 15:21:26</v>
      </c>
    </row>
    <row r="1963" spans="1:6" x14ac:dyDescent="0.3">
      <c r="A1963" t="s">
        <v>3255</v>
      </c>
      <c r="B1963" t="str">
        <f>"15081946056"</f>
        <v>15081946056</v>
      </c>
      <c r="C1963" t="str">
        <f>"130221198008056569"</f>
        <v>130221198008056569</v>
      </c>
      <c r="D1963" t="s">
        <v>0</v>
      </c>
      <c r="E1963" t="s">
        <v>0</v>
      </c>
      <c r="F1963" t="str">
        <f>"2018-11-28 15:19:52"</f>
        <v>2018-11-28 15:19:52</v>
      </c>
    </row>
    <row r="1964" spans="1:6" x14ac:dyDescent="0.3">
      <c r="A1964" t="s">
        <v>0</v>
      </c>
      <c r="B1964" t="str">
        <f>"18909328862"</f>
        <v>18909328862</v>
      </c>
      <c r="C1964" t="s">
        <v>0</v>
      </c>
      <c r="D1964" t="s">
        <v>0</v>
      </c>
      <c r="E1964" t="s">
        <v>0</v>
      </c>
      <c r="F1964" t="str">
        <f>"2018-11-28 15:19:49"</f>
        <v>2018-11-28 15:19:49</v>
      </c>
    </row>
    <row r="1965" spans="1:6" x14ac:dyDescent="0.3">
      <c r="A1965" t="s">
        <v>0</v>
      </c>
      <c r="B1965" t="str">
        <f>"15138956694"</f>
        <v>15138956694</v>
      </c>
      <c r="C1965" t="s">
        <v>0</v>
      </c>
      <c r="D1965" t="s">
        <v>0</v>
      </c>
      <c r="E1965" t="s">
        <v>0</v>
      </c>
      <c r="F1965" t="str">
        <f>"2018-11-28 15:19:25"</f>
        <v>2018-11-28 15:19:25</v>
      </c>
    </row>
    <row r="1966" spans="1:6" x14ac:dyDescent="0.3">
      <c r="A1966" t="s">
        <v>3256</v>
      </c>
      <c r="B1966" t="str">
        <f>"15622357640"</f>
        <v>15622357640</v>
      </c>
      <c r="C1966" t="str">
        <f>"440514200009181834"</f>
        <v>440514200009181834</v>
      </c>
      <c r="D1966" t="s">
        <v>0</v>
      </c>
      <c r="E1966" t="s">
        <v>0</v>
      </c>
      <c r="F1966" t="str">
        <f>"2018-11-28 15:19:23"</f>
        <v>2018-11-28 15:19:23</v>
      </c>
    </row>
    <row r="1967" spans="1:6" x14ac:dyDescent="0.3">
      <c r="A1967" t="s">
        <v>3257</v>
      </c>
      <c r="B1967" t="str">
        <f>"18434864698"</f>
        <v>18434864698</v>
      </c>
      <c r="C1967" t="str">
        <f>"533123198703100829"</f>
        <v>533123198703100829</v>
      </c>
      <c r="D1967" t="s">
        <v>0</v>
      </c>
      <c r="E1967" t="s">
        <v>0</v>
      </c>
      <c r="F1967" t="str">
        <f>"2018-11-28 15:19:00"</f>
        <v>2018-11-28 15:19:00</v>
      </c>
    </row>
    <row r="1968" spans="1:6" x14ac:dyDescent="0.3">
      <c r="A1968" t="s">
        <v>3258</v>
      </c>
      <c r="B1968" t="str">
        <f>"13271815707"</f>
        <v>13271815707</v>
      </c>
      <c r="C1968" t="str">
        <f>"500382199912054838"</f>
        <v>500382199912054838</v>
      </c>
      <c r="D1968" t="s">
        <v>3259</v>
      </c>
      <c r="E1968" t="s">
        <v>3260</v>
      </c>
      <c r="F1968" t="str">
        <f>"2018-11-28 15:18:57"</f>
        <v>2018-11-28 15:18:57</v>
      </c>
    </row>
    <row r="1969" spans="1:6" x14ac:dyDescent="0.3">
      <c r="A1969" t="s">
        <v>0</v>
      </c>
      <c r="B1969" t="str">
        <f>"17878204560"</f>
        <v>17878204560</v>
      </c>
      <c r="C1969" t="s">
        <v>0</v>
      </c>
      <c r="D1969" t="s">
        <v>0</v>
      </c>
      <c r="E1969" t="s">
        <v>0</v>
      </c>
      <c r="F1969" t="str">
        <f>"2018-11-28 15:18:27"</f>
        <v>2018-11-28 15:18:27</v>
      </c>
    </row>
    <row r="1970" spans="1:6" x14ac:dyDescent="0.3">
      <c r="A1970" t="s">
        <v>3261</v>
      </c>
      <c r="B1970" t="str">
        <f>"13894431386"</f>
        <v>13894431386</v>
      </c>
      <c r="C1970" t="str">
        <f>"220382199705141616"</f>
        <v>220382199705141616</v>
      </c>
      <c r="D1970" t="s">
        <v>3262</v>
      </c>
      <c r="E1970" t="s">
        <v>3263</v>
      </c>
      <c r="F1970" t="str">
        <f>"2018-11-28 15:17:41"</f>
        <v>2018-11-28 15:17:41</v>
      </c>
    </row>
    <row r="1971" spans="1:6" x14ac:dyDescent="0.3">
      <c r="A1971" t="s">
        <v>3264</v>
      </c>
      <c r="B1971" t="str">
        <f>"18765482682"</f>
        <v>18765482682</v>
      </c>
      <c r="C1971" t="str">
        <f>"370982199710140429"</f>
        <v>370982199710140429</v>
      </c>
      <c r="D1971" t="s">
        <v>0</v>
      </c>
      <c r="E1971" t="s">
        <v>0</v>
      </c>
      <c r="F1971" t="str">
        <f>"2018-11-28 15:16:52"</f>
        <v>2018-11-28 15:16:52</v>
      </c>
    </row>
    <row r="1972" spans="1:6" x14ac:dyDescent="0.3">
      <c r="A1972" t="s">
        <v>3265</v>
      </c>
      <c r="B1972" t="str">
        <f>"13915202819"</f>
        <v>13915202819</v>
      </c>
      <c r="C1972" t="str">
        <f>"522229198706251818"</f>
        <v>522229198706251818</v>
      </c>
      <c r="D1972" t="s">
        <v>0</v>
      </c>
      <c r="E1972" t="s">
        <v>0</v>
      </c>
      <c r="F1972" t="str">
        <f>"2018-11-28 15:16:12"</f>
        <v>2018-11-28 15:16:12</v>
      </c>
    </row>
    <row r="1973" spans="1:6" x14ac:dyDescent="0.3">
      <c r="A1973" t="s">
        <v>3266</v>
      </c>
      <c r="B1973" t="str">
        <f>"15336490706"</f>
        <v>15336490706</v>
      </c>
      <c r="C1973" t="str">
        <f>"150404199408060615"</f>
        <v>150404199408060615</v>
      </c>
      <c r="D1973" t="s">
        <v>0</v>
      </c>
      <c r="E1973" t="s">
        <v>0</v>
      </c>
      <c r="F1973" t="str">
        <f>"2018-11-28 15:16:07"</f>
        <v>2018-11-28 15:16:07</v>
      </c>
    </row>
    <row r="1974" spans="1:6" x14ac:dyDescent="0.3">
      <c r="A1974" t="s">
        <v>3267</v>
      </c>
      <c r="B1974" t="str">
        <f>"13563711814"</f>
        <v>13563711814</v>
      </c>
      <c r="C1974" t="str">
        <f>"370882199610042025"</f>
        <v>370882199610042025</v>
      </c>
      <c r="D1974" t="s">
        <v>0</v>
      </c>
      <c r="E1974" t="s">
        <v>0</v>
      </c>
      <c r="F1974" t="str">
        <f>"2018-11-28 15:15:59"</f>
        <v>2018-11-28 15:15:59</v>
      </c>
    </row>
    <row r="1975" spans="1:6" x14ac:dyDescent="0.3">
      <c r="A1975" t="s">
        <v>3268</v>
      </c>
      <c r="B1975" t="str">
        <f>"15198236736"</f>
        <v>15198236736</v>
      </c>
      <c r="C1975" t="str">
        <f>"51018319950220233X"</f>
        <v>51018319950220233X</v>
      </c>
      <c r="D1975" t="s">
        <v>3269</v>
      </c>
      <c r="E1975" t="s">
        <v>3270</v>
      </c>
      <c r="F1975" t="str">
        <f>"2018-11-28 15:15:35"</f>
        <v>2018-11-28 15:15:35</v>
      </c>
    </row>
    <row r="1976" spans="1:6" x14ac:dyDescent="0.3">
      <c r="A1976" t="s">
        <v>0</v>
      </c>
      <c r="B1976" t="str">
        <f>"18608487368"</f>
        <v>18608487368</v>
      </c>
      <c r="C1976" t="s">
        <v>0</v>
      </c>
      <c r="D1976" t="s">
        <v>0</v>
      </c>
      <c r="E1976" t="s">
        <v>0</v>
      </c>
      <c r="F1976" t="str">
        <f>"2018-11-28 15:14:04"</f>
        <v>2018-11-28 15:14:04</v>
      </c>
    </row>
    <row r="1977" spans="1:6" x14ac:dyDescent="0.3">
      <c r="A1977" t="s">
        <v>3271</v>
      </c>
      <c r="B1977" t="str">
        <f>"18661500505"</f>
        <v>18661500505</v>
      </c>
      <c r="C1977" t="str">
        <f>"372922197105040135"</f>
        <v>372922197105040135</v>
      </c>
      <c r="D1977" t="s">
        <v>3272</v>
      </c>
      <c r="E1977" t="s">
        <v>3273</v>
      </c>
      <c r="F1977" t="str">
        <f>"2018-11-28 15:13:02"</f>
        <v>2018-11-28 15:13:02</v>
      </c>
    </row>
    <row r="1978" spans="1:6" x14ac:dyDescent="0.3">
      <c r="A1978" t="s">
        <v>3274</v>
      </c>
      <c r="B1978" t="str">
        <f>"18829811974"</f>
        <v>18829811974</v>
      </c>
      <c r="C1978" t="str">
        <f>"610628197402192215"</f>
        <v>610628197402192215</v>
      </c>
      <c r="D1978" t="s">
        <v>3275</v>
      </c>
      <c r="E1978" t="s">
        <v>3276</v>
      </c>
      <c r="F1978" t="str">
        <f>"2018-11-28 15:12:38"</f>
        <v>2018-11-28 15:12:38</v>
      </c>
    </row>
    <row r="1979" spans="1:6" x14ac:dyDescent="0.3">
      <c r="A1979" t="s">
        <v>3277</v>
      </c>
      <c r="B1979" t="str">
        <f>"15183676513"</f>
        <v>15183676513</v>
      </c>
      <c r="C1979" t="str">
        <f>"510623199207230515"</f>
        <v>510623199207230515</v>
      </c>
      <c r="D1979" t="s">
        <v>3278</v>
      </c>
      <c r="E1979" t="s">
        <v>3279</v>
      </c>
      <c r="F1979" t="str">
        <f>"2018-11-28 15:09:00"</f>
        <v>2018-11-28 15:09:00</v>
      </c>
    </row>
    <row r="1980" spans="1:6" x14ac:dyDescent="0.3">
      <c r="A1980" t="s">
        <v>0</v>
      </c>
      <c r="B1980" t="str">
        <f>"18997695048"</f>
        <v>18997695048</v>
      </c>
      <c r="C1980" t="s">
        <v>0</v>
      </c>
      <c r="D1980" t="s">
        <v>0</v>
      </c>
      <c r="E1980" t="s">
        <v>0</v>
      </c>
      <c r="F1980" t="str">
        <f>"2018-11-28 15:07:29"</f>
        <v>2018-11-28 15:07:29</v>
      </c>
    </row>
    <row r="1981" spans="1:6" x14ac:dyDescent="0.3">
      <c r="A1981" t="s">
        <v>0</v>
      </c>
      <c r="B1981" t="str">
        <f>"15971971655"</f>
        <v>15971971655</v>
      </c>
      <c r="C1981" t="s">
        <v>0</v>
      </c>
      <c r="D1981" t="s">
        <v>0</v>
      </c>
      <c r="E1981" t="s">
        <v>0</v>
      </c>
      <c r="F1981" t="str">
        <f>"2018-11-28 15:06:03"</f>
        <v>2018-11-28 15:06:03</v>
      </c>
    </row>
    <row r="1982" spans="1:6" x14ac:dyDescent="0.3">
      <c r="A1982" t="s">
        <v>0</v>
      </c>
      <c r="B1982" t="str">
        <f>"17614835488"</f>
        <v>17614835488</v>
      </c>
      <c r="C1982" t="s">
        <v>0</v>
      </c>
      <c r="D1982" t="s">
        <v>0</v>
      </c>
      <c r="E1982" t="s">
        <v>0</v>
      </c>
      <c r="F1982" t="str">
        <f>"2018-11-28 15:05:23"</f>
        <v>2018-11-28 15:05:23</v>
      </c>
    </row>
    <row r="1983" spans="1:6" x14ac:dyDescent="0.3">
      <c r="A1983" t="s">
        <v>0</v>
      </c>
      <c r="B1983" t="str">
        <f>"18355675699"</f>
        <v>18355675699</v>
      </c>
      <c r="C1983" t="s">
        <v>0</v>
      </c>
      <c r="D1983" t="s">
        <v>0</v>
      </c>
      <c r="E1983" t="s">
        <v>0</v>
      </c>
      <c r="F1983" t="str">
        <f>"2018-11-28 15:05:07"</f>
        <v>2018-11-28 15:05:07</v>
      </c>
    </row>
    <row r="1984" spans="1:6" x14ac:dyDescent="0.3">
      <c r="A1984" t="s">
        <v>0</v>
      </c>
      <c r="B1984" t="str">
        <f>"15318088233"</f>
        <v>15318088233</v>
      </c>
      <c r="C1984" t="s">
        <v>0</v>
      </c>
      <c r="D1984" t="s">
        <v>0</v>
      </c>
      <c r="E1984" t="s">
        <v>0</v>
      </c>
      <c r="F1984" t="str">
        <f>"2018-11-28 15:04:31"</f>
        <v>2018-11-28 15:04:31</v>
      </c>
    </row>
    <row r="1985" spans="1:6" x14ac:dyDescent="0.3">
      <c r="A1985" t="s">
        <v>3280</v>
      </c>
      <c r="B1985" t="str">
        <f>"15208579770"</f>
        <v>15208579770</v>
      </c>
      <c r="C1985" t="str">
        <f>"522401199308250499"</f>
        <v>522401199308250499</v>
      </c>
      <c r="D1985" t="s">
        <v>3281</v>
      </c>
      <c r="E1985" t="s">
        <v>3281</v>
      </c>
      <c r="F1985" t="str">
        <f>"2018-11-28 15:04:28"</f>
        <v>2018-11-28 15:04:28</v>
      </c>
    </row>
    <row r="1986" spans="1:6" x14ac:dyDescent="0.3">
      <c r="A1986" t="s">
        <v>3282</v>
      </c>
      <c r="B1986" t="str">
        <f>"13183557796"</f>
        <v>13183557796</v>
      </c>
      <c r="C1986" t="str">
        <f>"510823199105121343"</f>
        <v>510823199105121343</v>
      </c>
      <c r="D1986" t="s">
        <v>0</v>
      </c>
      <c r="E1986" t="s">
        <v>0</v>
      </c>
      <c r="F1986" t="str">
        <f>"2018-11-28 15:03:18"</f>
        <v>2018-11-28 15:03:18</v>
      </c>
    </row>
    <row r="1987" spans="1:6" x14ac:dyDescent="0.3">
      <c r="A1987" t="s">
        <v>0</v>
      </c>
      <c r="B1987" t="str">
        <f>"18288408119"</f>
        <v>18288408119</v>
      </c>
      <c r="C1987" t="s">
        <v>0</v>
      </c>
      <c r="D1987" t="s">
        <v>0</v>
      </c>
      <c r="E1987" t="s">
        <v>0</v>
      </c>
      <c r="F1987" t="str">
        <f>"2018-11-28 15:02:38"</f>
        <v>2018-11-28 15:02:38</v>
      </c>
    </row>
    <row r="1988" spans="1:6" x14ac:dyDescent="0.3">
      <c r="A1988" t="s">
        <v>3283</v>
      </c>
      <c r="B1988" t="str">
        <f>"15860351097"</f>
        <v>15860351097</v>
      </c>
      <c r="C1988" t="str">
        <f>"340621199311174037"</f>
        <v>340621199311174037</v>
      </c>
      <c r="D1988" t="s">
        <v>3284</v>
      </c>
      <c r="E1988" t="s">
        <v>3285</v>
      </c>
      <c r="F1988" t="str">
        <f>"2018-11-28 15:01:42"</f>
        <v>2018-11-28 15:01:42</v>
      </c>
    </row>
    <row r="1989" spans="1:6" x14ac:dyDescent="0.3">
      <c r="A1989" t="s">
        <v>0</v>
      </c>
      <c r="B1989" t="str">
        <f>"15161414416"</f>
        <v>15161414416</v>
      </c>
      <c r="C1989" t="s">
        <v>0</v>
      </c>
      <c r="D1989" t="s">
        <v>0</v>
      </c>
      <c r="E1989" t="s">
        <v>0</v>
      </c>
      <c r="F1989" t="str">
        <f>"2018-11-28 15:00:41"</f>
        <v>2018-11-28 15:00:41</v>
      </c>
    </row>
    <row r="1990" spans="1:6" x14ac:dyDescent="0.3">
      <c r="A1990" t="s">
        <v>0</v>
      </c>
      <c r="B1990" t="str">
        <f>"13306082797"</f>
        <v>13306082797</v>
      </c>
      <c r="C1990" t="s">
        <v>0</v>
      </c>
      <c r="D1990" t="s">
        <v>0</v>
      </c>
      <c r="E1990" t="s">
        <v>0</v>
      </c>
      <c r="F1990" t="str">
        <f>"2018-11-28 15:00:21"</f>
        <v>2018-11-28 15:00:21</v>
      </c>
    </row>
    <row r="1991" spans="1:6" x14ac:dyDescent="0.3">
      <c r="A1991" t="s">
        <v>0</v>
      </c>
      <c r="B1991" t="str">
        <f>"18151360933"</f>
        <v>18151360933</v>
      </c>
      <c r="C1991" t="s">
        <v>0</v>
      </c>
      <c r="D1991" t="s">
        <v>0</v>
      </c>
      <c r="E1991" t="s">
        <v>0</v>
      </c>
      <c r="F1991" t="str">
        <f>"2018-11-28 14:59:57"</f>
        <v>2018-11-28 14:59:57</v>
      </c>
    </row>
    <row r="1992" spans="1:6" x14ac:dyDescent="0.3">
      <c r="A1992" t="s">
        <v>3286</v>
      </c>
      <c r="B1992" t="str">
        <f>"18772655641"</f>
        <v>18772655641</v>
      </c>
      <c r="C1992" t="str">
        <f>"420400196805100568"</f>
        <v>420400196805100568</v>
      </c>
      <c r="D1992" t="s">
        <v>0</v>
      </c>
      <c r="E1992" t="s">
        <v>0</v>
      </c>
      <c r="F1992" t="str">
        <f>"2018-11-28 14:59:30"</f>
        <v>2018-11-28 14:59:30</v>
      </c>
    </row>
    <row r="1993" spans="1:6" x14ac:dyDescent="0.3">
      <c r="A1993" t="s">
        <v>0</v>
      </c>
      <c r="B1993" t="str">
        <f>"18108464030"</f>
        <v>18108464030</v>
      </c>
      <c r="C1993" t="s">
        <v>0</v>
      </c>
      <c r="D1993" t="s">
        <v>0</v>
      </c>
      <c r="E1993" t="s">
        <v>0</v>
      </c>
      <c r="F1993" t="str">
        <f>"2018-11-28 14:59:29"</f>
        <v>2018-11-28 14:59:29</v>
      </c>
    </row>
    <row r="1994" spans="1:6" x14ac:dyDescent="0.3">
      <c r="A1994" t="s">
        <v>3287</v>
      </c>
      <c r="B1994" t="str">
        <f>"15025023178"</f>
        <v>15025023178</v>
      </c>
      <c r="C1994" t="str">
        <f>"533001199306250314"</f>
        <v>533001199306250314</v>
      </c>
      <c r="D1994" t="s">
        <v>0</v>
      </c>
      <c r="E1994" t="s">
        <v>0</v>
      </c>
      <c r="F1994" t="str">
        <f>"2018-11-28 14:57:27"</f>
        <v>2018-11-28 14:57:27</v>
      </c>
    </row>
    <row r="1995" spans="1:6" x14ac:dyDescent="0.3">
      <c r="A1995" t="s">
        <v>3288</v>
      </c>
      <c r="B1995" t="str">
        <f>"13645832640"</f>
        <v>13645832640</v>
      </c>
      <c r="C1995" t="str">
        <f>"330424199003033415"</f>
        <v>330424199003033415</v>
      </c>
      <c r="D1995" t="s">
        <v>3289</v>
      </c>
      <c r="E1995" t="s">
        <v>3290</v>
      </c>
      <c r="F1995" t="str">
        <f>"2018-11-28 14:56:42"</f>
        <v>2018-11-28 14:56:42</v>
      </c>
    </row>
    <row r="1996" spans="1:6" x14ac:dyDescent="0.3">
      <c r="A1996" t="s">
        <v>3291</v>
      </c>
      <c r="B1996" t="str">
        <f>"13262596823"</f>
        <v>13262596823</v>
      </c>
      <c r="C1996" t="str">
        <f>"51100219951225662X"</f>
        <v>51100219951225662X</v>
      </c>
      <c r="D1996" t="s">
        <v>3292</v>
      </c>
      <c r="E1996" t="s">
        <v>3293</v>
      </c>
      <c r="F1996" t="str">
        <f>"2018-11-28 14:56:36"</f>
        <v>2018-11-28 14:56:36</v>
      </c>
    </row>
    <row r="1997" spans="1:6" x14ac:dyDescent="0.3">
      <c r="A1997" t="s">
        <v>3294</v>
      </c>
      <c r="B1997" t="str">
        <f>"17630404085"</f>
        <v>17630404085</v>
      </c>
      <c r="C1997" t="str">
        <f>"412825199803056439"</f>
        <v>412825199803056439</v>
      </c>
      <c r="D1997" t="s">
        <v>3295</v>
      </c>
      <c r="E1997" t="s">
        <v>3296</v>
      </c>
      <c r="F1997" t="str">
        <f>"2018-11-28 14:56:11"</f>
        <v>2018-11-28 14:56:11</v>
      </c>
    </row>
    <row r="1998" spans="1:6" x14ac:dyDescent="0.3">
      <c r="A1998" t="s">
        <v>2596</v>
      </c>
      <c r="B1998" t="str">
        <f>"18769407555"</f>
        <v>18769407555</v>
      </c>
      <c r="C1998" t="str">
        <f>"370684198012014435"</f>
        <v>370684198012014435</v>
      </c>
      <c r="D1998" t="s">
        <v>3297</v>
      </c>
      <c r="E1998" t="s">
        <v>3298</v>
      </c>
      <c r="F1998" t="str">
        <f>"2018-11-28 14:54:20"</f>
        <v>2018-11-28 14:54:20</v>
      </c>
    </row>
    <row r="1999" spans="1:6" x14ac:dyDescent="0.3">
      <c r="A1999" t="s">
        <v>3299</v>
      </c>
      <c r="B1999" t="str">
        <f>"18573636119"</f>
        <v>18573636119</v>
      </c>
      <c r="C1999" t="str">
        <f>"430722198912023671"</f>
        <v>430722198912023671</v>
      </c>
      <c r="D1999" t="s">
        <v>0</v>
      </c>
      <c r="E1999" t="s">
        <v>0</v>
      </c>
      <c r="F1999" t="str">
        <f>"2018-11-28 14:53:14"</f>
        <v>2018-11-28 14:53:14</v>
      </c>
    </row>
    <row r="2000" spans="1:6" x14ac:dyDescent="0.3">
      <c r="A2000" t="s">
        <v>3300</v>
      </c>
      <c r="B2000" t="str">
        <f>"13157881096"</f>
        <v>13157881096</v>
      </c>
      <c r="C2000" t="str">
        <f>"332526197409255748"</f>
        <v>332526197409255748</v>
      </c>
      <c r="D2000" t="s">
        <v>3301</v>
      </c>
      <c r="E2000" t="s">
        <v>3302</v>
      </c>
      <c r="F2000" t="str">
        <f>"2018-11-28 14:53:09"</f>
        <v>2018-11-28 14:53:09</v>
      </c>
    </row>
    <row r="2001" spans="1:6" x14ac:dyDescent="0.3">
      <c r="A2001" t="s">
        <v>0</v>
      </c>
      <c r="B2001" t="str">
        <f>"15289488275"</f>
        <v>15289488275</v>
      </c>
      <c r="C2001" t="s">
        <v>0</v>
      </c>
      <c r="D2001" t="s">
        <v>0</v>
      </c>
      <c r="E2001" t="s">
        <v>0</v>
      </c>
      <c r="F2001" t="str">
        <f>"2018-11-28 14:52:24"</f>
        <v>2018-11-28 14:52:24</v>
      </c>
    </row>
    <row r="2002" spans="1:6" x14ac:dyDescent="0.3">
      <c r="A2002" t="s">
        <v>3303</v>
      </c>
      <c r="B2002" t="str">
        <f>"15092668170"</f>
        <v>15092668170</v>
      </c>
      <c r="C2002" t="str">
        <f>"370883199010092519"</f>
        <v>370883199010092519</v>
      </c>
      <c r="D2002" t="s">
        <v>3304</v>
      </c>
      <c r="E2002" t="s">
        <v>3305</v>
      </c>
      <c r="F2002" t="str">
        <f>"2018-11-28 14:52:01"</f>
        <v>2018-11-28 14:52:01</v>
      </c>
    </row>
    <row r="2003" spans="1:6" x14ac:dyDescent="0.3">
      <c r="A2003" t="s">
        <v>3306</v>
      </c>
      <c r="B2003" t="str">
        <f>"18642829939"</f>
        <v>18642829939</v>
      </c>
      <c r="C2003" t="str">
        <f>"210213199104248717"</f>
        <v>210213199104248717</v>
      </c>
      <c r="D2003" t="s">
        <v>3307</v>
      </c>
      <c r="E2003" t="s">
        <v>3307</v>
      </c>
      <c r="F2003" t="str">
        <f>"2018-11-28 14:51:00"</f>
        <v>2018-11-28 14:51:00</v>
      </c>
    </row>
    <row r="2004" spans="1:6" x14ac:dyDescent="0.3">
      <c r="A2004" t="s">
        <v>3308</v>
      </c>
      <c r="B2004" t="str">
        <f>"15267152112"</f>
        <v>15267152112</v>
      </c>
      <c r="C2004" t="str">
        <f>"533523199202111032"</f>
        <v>533523199202111032</v>
      </c>
      <c r="D2004" t="s">
        <v>0</v>
      </c>
      <c r="E2004" t="s">
        <v>0</v>
      </c>
      <c r="F2004" t="str">
        <f>"2018-11-28 14:50:32"</f>
        <v>2018-11-28 14:50:32</v>
      </c>
    </row>
    <row r="2005" spans="1:6" x14ac:dyDescent="0.3">
      <c r="A2005" t="s">
        <v>3309</v>
      </c>
      <c r="B2005" t="str">
        <f>"13823123048"</f>
        <v>13823123048</v>
      </c>
      <c r="C2005" t="str">
        <f>"622626199005093010"</f>
        <v>622626199005093010</v>
      </c>
      <c r="D2005" t="s">
        <v>0</v>
      </c>
      <c r="E2005" t="s">
        <v>0</v>
      </c>
      <c r="F2005" t="str">
        <f>"2018-11-28 14:49:08"</f>
        <v>2018-11-28 14:49:08</v>
      </c>
    </row>
    <row r="2006" spans="1:6" x14ac:dyDescent="0.3">
      <c r="A2006" t="s">
        <v>0</v>
      </c>
      <c r="B2006" t="str">
        <f>"15849217417"</f>
        <v>15849217417</v>
      </c>
      <c r="C2006" t="s">
        <v>0</v>
      </c>
      <c r="D2006" t="s">
        <v>0</v>
      </c>
      <c r="E2006" t="s">
        <v>0</v>
      </c>
      <c r="F2006" t="str">
        <f>"2018-11-28 14:48:02"</f>
        <v>2018-11-28 14:48:02</v>
      </c>
    </row>
    <row r="2007" spans="1:6" x14ac:dyDescent="0.3">
      <c r="A2007" t="s">
        <v>0</v>
      </c>
      <c r="B2007" t="str">
        <f>"15674623734"</f>
        <v>15674623734</v>
      </c>
      <c r="C2007" t="s">
        <v>0</v>
      </c>
      <c r="D2007" t="s">
        <v>0</v>
      </c>
      <c r="E2007" t="s">
        <v>0</v>
      </c>
      <c r="F2007" t="str">
        <f>"2018-11-28 14:45:46"</f>
        <v>2018-11-28 14:45:46</v>
      </c>
    </row>
    <row r="2008" spans="1:6" x14ac:dyDescent="0.3">
      <c r="A2008" t="s">
        <v>0</v>
      </c>
      <c r="B2008" t="str">
        <f>"18199993232"</f>
        <v>18199993232</v>
      </c>
      <c r="C2008" t="s">
        <v>0</v>
      </c>
      <c r="D2008" t="s">
        <v>0</v>
      </c>
      <c r="E2008" t="s">
        <v>0</v>
      </c>
      <c r="F2008" t="str">
        <f>"2018-11-28 14:44:52"</f>
        <v>2018-11-28 14:44:52</v>
      </c>
    </row>
    <row r="2009" spans="1:6" x14ac:dyDescent="0.3">
      <c r="A2009" t="s">
        <v>3310</v>
      </c>
      <c r="B2009" t="str">
        <f>"13032168283"</f>
        <v>13032168283</v>
      </c>
      <c r="C2009" t="str">
        <f>"341224199811143526"</f>
        <v>341224199811143526</v>
      </c>
      <c r="D2009" t="s">
        <v>0</v>
      </c>
      <c r="E2009" t="s">
        <v>0</v>
      </c>
      <c r="F2009" t="str">
        <f>"2018-11-28 14:44:42"</f>
        <v>2018-11-28 14:44:42</v>
      </c>
    </row>
    <row r="2010" spans="1:6" x14ac:dyDescent="0.3">
      <c r="A2010" t="s">
        <v>3311</v>
      </c>
      <c r="B2010" t="str">
        <f>"13756263600"</f>
        <v>13756263600</v>
      </c>
      <c r="C2010" t="str">
        <f>"220721199110063611"</f>
        <v>220721199110063611</v>
      </c>
      <c r="D2010" t="s">
        <v>3312</v>
      </c>
      <c r="E2010" t="s">
        <v>3313</v>
      </c>
      <c r="F2010" t="str">
        <f>"2018-11-28 14:44:15"</f>
        <v>2018-11-28 14:44:15</v>
      </c>
    </row>
    <row r="2011" spans="1:6" x14ac:dyDescent="0.3">
      <c r="A2011" t="s">
        <v>0</v>
      </c>
      <c r="B2011" t="str">
        <f>"15960821955"</f>
        <v>15960821955</v>
      </c>
      <c r="C2011" t="s">
        <v>0</v>
      </c>
      <c r="D2011" t="s">
        <v>0</v>
      </c>
      <c r="E2011" t="s">
        <v>0</v>
      </c>
      <c r="F2011" t="str">
        <f>"2018-11-28 14:43:27"</f>
        <v>2018-11-28 14:43:27</v>
      </c>
    </row>
    <row r="2012" spans="1:6" x14ac:dyDescent="0.3">
      <c r="A2012" t="s">
        <v>0</v>
      </c>
      <c r="B2012" t="str">
        <f>"15578276036"</f>
        <v>15578276036</v>
      </c>
      <c r="C2012" t="s">
        <v>0</v>
      </c>
      <c r="D2012" t="s">
        <v>0</v>
      </c>
      <c r="E2012" t="s">
        <v>0</v>
      </c>
      <c r="F2012" t="str">
        <f>"2018-11-28 14:43:10"</f>
        <v>2018-11-28 14:43:10</v>
      </c>
    </row>
    <row r="2013" spans="1:6" x14ac:dyDescent="0.3">
      <c r="A2013" t="s">
        <v>3314</v>
      </c>
      <c r="B2013" t="str">
        <f>"13798290704"</f>
        <v>13798290704</v>
      </c>
      <c r="C2013" t="str">
        <f>"511025199107062818"</f>
        <v>511025199107062818</v>
      </c>
      <c r="D2013" t="s">
        <v>3315</v>
      </c>
      <c r="E2013" t="s">
        <v>3316</v>
      </c>
      <c r="F2013" t="str">
        <f>"2018-11-28 14:42:48"</f>
        <v>2018-11-28 14:42:48</v>
      </c>
    </row>
    <row r="2014" spans="1:6" x14ac:dyDescent="0.3">
      <c r="A2014" t="s">
        <v>0</v>
      </c>
      <c r="B2014" t="str">
        <f>"18325429285"</f>
        <v>18325429285</v>
      </c>
      <c r="C2014" t="s">
        <v>0</v>
      </c>
      <c r="D2014" t="s">
        <v>0</v>
      </c>
      <c r="E2014" t="s">
        <v>0</v>
      </c>
      <c r="F2014" t="str">
        <f>"2018-11-28 14:40:57"</f>
        <v>2018-11-28 14:40:57</v>
      </c>
    </row>
    <row r="2015" spans="1:6" x14ac:dyDescent="0.3">
      <c r="A2015" t="s">
        <v>0</v>
      </c>
      <c r="B2015" t="str">
        <f>"13635220106"</f>
        <v>13635220106</v>
      </c>
      <c r="C2015" t="s">
        <v>0</v>
      </c>
      <c r="D2015" t="s">
        <v>0</v>
      </c>
      <c r="E2015" t="s">
        <v>0</v>
      </c>
      <c r="F2015" t="str">
        <f>"2018-11-28 14:40:19"</f>
        <v>2018-11-28 14:40:19</v>
      </c>
    </row>
    <row r="2016" spans="1:6" x14ac:dyDescent="0.3">
      <c r="A2016" t="s">
        <v>3317</v>
      </c>
      <c r="B2016" t="str">
        <f>"13331264401"</f>
        <v>13331264401</v>
      </c>
      <c r="C2016" t="str">
        <f>"230208196702221425"</f>
        <v>230208196702221425</v>
      </c>
      <c r="D2016" t="s">
        <v>0</v>
      </c>
      <c r="E2016" t="s">
        <v>0</v>
      </c>
      <c r="F2016" t="str">
        <f>"2018-11-28 14:39:20"</f>
        <v>2018-11-28 14:39:20</v>
      </c>
    </row>
    <row r="2017" spans="1:6" x14ac:dyDescent="0.3">
      <c r="A2017" t="s">
        <v>3318</v>
      </c>
      <c r="B2017" t="str">
        <f>"13613633481"</f>
        <v>13613633481</v>
      </c>
      <c r="C2017" t="str">
        <f>"230125198609262417"</f>
        <v>230125198609262417</v>
      </c>
      <c r="D2017" t="s">
        <v>0</v>
      </c>
      <c r="E2017" t="s">
        <v>0</v>
      </c>
      <c r="F2017" t="str">
        <f>"2018-11-28 14:38:43"</f>
        <v>2018-11-28 14:38:43</v>
      </c>
    </row>
    <row r="2018" spans="1:6" x14ac:dyDescent="0.3">
      <c r="A2018" t="s">
        <v>3319</v>
      </c>
      <c r="B2018" t="str">
        <f>"18972732881"</f>
        <v>18972732881</v>
      </c>
      <c r="C2018" t="str">
        <f>"421122199201255872"</f>
        <v>421122199201255872</v>
      </c>
      <c r="D2018" t="s">
        <v>3320</v>
      </c>
      <c r="E2018" t="s">
        <v>3321</v>
      </c>
      <c r="F2018" t="str">
        <f>"2018-11-28 14:38:30"</f>
        <v>2018-11-28 14:38:30</v>
      </c>
    </row>
    <row r="2019" spans="1:6" x14ac:dyDescent="0.3">
      <c r="A2019" t="s">
        <v>0</v>
      </c>
      <c r="B2019" t="str">
        <f>"13993459362"</f>
        <v>13993459362</v>
      </c>
      <c r="C2019" t="s">
        <v>0</v>
      </c>
      <c r="D2019" t="s">
        <v>0</v>
      </c>
      <c r="E2019" t="s">
        <v>0</v>
      </c>
      <c r="F2019" t="str">
        <f>"2018-11-28 14:37:45"</f>
        <v>2018-11-28 14:37:45</v>
      </c>
    </row>
    <row r="2020" spans="1:6" x14ac:dyDescent="0.3">
      <c r="A2020" t="s">
        <v>3322</v>
      </c>
      <c r="B2020" t="str">
        <f>"13760636727"</f>
        <v>13760636727</v>
      </c>
      <c r="C2020" t="str">
        <f>"420984198804113010"</f>
        <v>420984198804113010</v>
      </c>
      <c r="D2020" t="s">
        <v>3323</v>
      </c>
      <c r="E2020" t="s">
        <v>3324</v>
      </c>
      <c r="F2020" t="str">
        <f>"2018-11-28 14:36:07"</f>
        <v>2018-11-28 14:36:07</v>
      </c>
    </row>
    <row r="2021" spans="1:6" x14ac:dyDescent="0.3">
      <c r="A2021" t="s">
        <v>3325</v>
      </c>
      <c r="B2021" t="str">
        <f>"15716603811"</f>
        <v>15716603811</v>
      </c>
      <c r="C2021" t="str">
        <f>"411329198501130034"</f>
        <v>411329198501130034</v>
      </c>
      <c r="D2021" t="s">
        <v>3326</v>
      </c>
      <c r="E2021" t="s">
        <v>3327</v>
      </c>
      <c r="F2021" t="str">
        <f>"2018-11-28 14:36:03"</f>
        <v>2018-11-28 14:36:03</v>
      </c>
    </row>
    <row r="2022" spans="1:6" x14ac:dyDescent="0.3">
      <c r="A2022" t="s">
        <v>0</v>
      </c>
      <c r="B2022" t="str">
        <f>"18922588530"</f>
        <v>18922588530</v>
      </c>
      <c r="C2022" t="s">
        <v>0</v>
      </c>
      <c r="D2022" t="s">
        <v>0</v>
      </c>
      <c r="E2022" t="s">
        <v>0</v>
      </c>
      <c r="F2022" t="str">
        <f>"2018-11-28 14:35:20"</f>
        <v>2018-11-28 14:35:20</v>
      </c>
    </row>
    <row r="2023" spans="1:6" x14ac:dyDescent="0.3">
      <c r="A2023" t="s">
        <v>0</v>
      </c>
      <c r="B2023" t="str">
        <f>"15509420598"</f>
        <v>15509420598</v>
      </c>
      <c r="C2023" t="s">
        <v>0</v>
      </c>
      <c r="D2023" t="s">
        <v>0</v>
      </c>
      <c r="E2023" t="s">
        <v>0</v>
      </c>
      <c r="F2023" t="str">
        <f>"2018-11-28 14:32:56"</f>
        <v>2018-11-28 14:32:56</v>
      </c>
    </row>
    <row r="2024" spans="1:6" x14ac:dyDescent="0.3">
      <c r="A2024" t="s">
        <v>0</v>
      </c>
      <c r="B2024" t="str">
        <f>"15288048539"</f>
        <v>15288048539</v>
      </c>
      <c r="C2024" t="s">
        <v>0</v>
      </c>
      <c r="D2024" t="s">
        <v>0</v>
      </c>
      <c r="E2024" t="s">
        <v>0</v>
      </c>
      <c r="F2024" t="str">
        <f>"2018-11-28 14:32:35"</f>
        <v>2018-11-28 14:32:35</v>
      </c>
    </row>
    <row r="2025" spans="1:6" x14ac:dyDescent="0.3">
      <c r="A2025" t="s">
        <v>0</v>
      </c>
      <c r="B2025" t="str">
        <f>"18173387442"</f>
        <v>18173387442</v>
      </c>
      <c r="C2025" t="s">
        <v>0</v>
      </c>
      <c r="D2025" t="s">
        <v>0</v>
      </c>
      <c r="E2025" t="s">
        <v>0</v>
      </c>
      <c r="F2025" t="str">
        <f>"2018-11-28 14:31:58"</f>
        <v>2018-11-28 14:31:58</v>
      </c>
    </row>
    <row r="2026" spans="1:6" x14ac:dyDescent="0.3">
      <c r="A2026" t="s">
        <v>3328</v>
      </c>
      <c r="B2026" t="str">
        <f>"13843288332"</f>
        <v>13843288332</v>
      </c>
      <c r="C2026" t="str">
        <f>"220202198711173620"</f>
        <v>220202198711173620</v>
      </c>
      <c r="D2026" t="s">
        <v>3329</v>
      </c>
      <c r="E2026" t="s">
        <v>3330</v>
      </c>
      <c r="F2026" t="str">
        <f>"2018-11-28 14:31:00"</f>
        <v>2018-11-28 14:31:00</v>
      </c>
    </row>
    <row r="2027" spans="1:6" x14ac:dyDescent="0.3">
      <c r="A2027" t="s">
        <v>0</v>
      </c>
      <c r="B2027" t="str">
        <f>"13717282241"</f>
        <v>13717282241</v>
      </c>
      <c r="C2027" t="s">
        <v>0</v>
      </c>
      <c r="D2027" t="s">
        <v>0</v>
      </c>
      <c r="E2027" t="s">
        <v>0</v>
      </c>
      <c r="F2027" t="str">
        <f>"2018-11-28 14:30:57"</f>
        <v>2018-11-28 14:30:57</v>
      </c>
    </row>
    <row r="2028" spans="1:6" x14ac:dyDescent="0.3">
      <c r="A2028" t="s">
        <v>3331</v>
      </c>
      <c r="B2028" t="str">
        <f>"15777055205"</f>
        <v>15777055205</v>
      </c>
      <c r="C2028" t="str">
        <f>"450621199205011715"</f>
        <v>450621199205011715</v>
      </c>
      <c r="D2028" t="s">
        <v>3332</v>
      </c>
      <c r="E2028" t="s">
        <v>3333</v>
      </c>
      <c r="F2028" t="str">
        <f>"2018-11-28 14:30:46"</f>
        <v>2018-11-28 14:30:46</v>
      </c>
    </row>
    <row r="2029" spans="1:6" x14ac:dyDescent="0.3">
      <c r="A2029" t="s">
        <v>0</v>
      </c>
      <c r="B2029" t="str">
        <f>"17322236846"</f>
        <v>17322236846</v>
      </c>
      <c r="C2029" t="s">
        <v>0</v>
      </c>
      <c r="D2029" t="s">
        <v>0</v>
      </c>
      <c r="E2029" t="s">
        <v>0</v>
      </c>
      <c r="F2029" t="str">
        <f>"2018-11-28 14:30:39"</f>
        <v>2018-11-28 14:30:39</v>
      </c>
    </row>
    <row r="2030" spans="1:6" x14ac:dyDescent="0.3">
      <c r="A2030" t="s">
        <v>3334</v>
      </c>
      <c r="B2030" t="str">
        <f>"13556699468"</f>
        <v>13556699468</v>
      </c>
      <c r="C2030" t="str">
        <f>"440582198905017430"</f>
        <v>440582198905017430</v>
      </c>
      <c r="D2030" t="s">
        <v>0</v>
      </c>
      <c r="E2030" t="s">
        <v>0</v>
      </c>
      <c r="F2030" t="str">
        <f>"2018-11-28 14:29:16"</f>
        <v>2018-11-28 14:29:16</v>
      </c>
    </row>
    <row r="2031" spans="1:6" x14ac:dyDescent="0.3">
      <c r="A2031" t="s">
        <v>0</v>
      </c>
      <c r="B2031" t="str">
        <f>"13053960505"</f>
        <v>13053960505</v>
      </c>
      <c r="C2031" t="s">
        <v>0</v>
      </c>
      <c r="D2031" t="s">
        <v>0</v>
      </c>
      <c r="E2031" t="s">
        <v>0</v>
      </c>
      <c r="F2031" t="str">
        <f>"2018-11-28 14:26:50"</f>
        <v>2018-11-28 14:26:50</v>
      </c>
    </row>
    <row r="2032" spans="1:6" x14ac:dyDescent="0.3">
      <c r="A2032" t="s">
        <v>0</v>
      </c>
      <c r="B2032" t="str">
        <f>"18290068500"</f>
        <v>18290068500</v>
      </c>
      <c r="C2032" t="s">
        <v>0</v>
      </c>
      <c r="D2032" t="s">
        <v>0</v>
      </c>
      <c r="E2032" t="s">
        <v>0</v>
      </c>
      <c r="F2032" t="str">
        <f>"2018-11-28 14:26:30"</f>
        <v>2018-11-28 14:26:30</v>
      </c>
    </row>
    <row r="2033" spans="1:6" x14ac:dyDescent="0.3">
      <c r="A2033" t="s">
        <v>3335</v>
      </c>
      <c r="B2033" t="str">
        <f>"18885419264"</f>
        <v>18885419264</v>
      </c>
      <c r="C2033" t="str">
        <f>"522701199001172250"</f>
        <v>522701199001172250</v>
      </c>
      <c r="D2033" t="s">
        <v>3336</v>
      </c>
      <c r="E2033" t="s">
        <v>3337</v>
      </c>
      <c r="F2033" t="str">
        <f>"2018-11-28 14:26:18"</f>
        <v>2018-11-28 14:26:18</v>
      </c>
    </row>
    <row r="2034" spans="1:6" x14ac:dyDescent="0.3">
      <c r="A2034" t="s">
        <v>0</v>
      </c>
      <c r="B2034" t="str">
        <f>"18960156990"</f>
        <v>18960156990</v>
      </c>
      <c r="C2034" t="s">
        <v>0</v>
      </c>
      <c r="D2034" t="s">
        <v>0</v>
      </c>
      <c r="E2034" t="s">
        <v>0</v>
      </c>
      <c r="F2034" t="str">
        <f>"2018-11-28 14:25:38"</f>
        <v>2018-11-28 14:25:38</v>
      </c>
    </row>
    <row r="2035" spans="1:6" x14ac:dyDescent="0.3">
      <c r="A2035" t="s">
        <v>3338</v>
      </c>
      <c r="B2035" t="str">
        <f>"15559200003"</f>
        <v>15559200003</v>
      </c>
      <c r="C2035" t="str">
        <f>"341222199001118182"</f>
        <v>341222199001118182</v>
      </c>
      <c r="D2035" t="s">
        <v>3339</v>
      </c>
      <c r="E2035" t="s">
        <v>3340</v>
      </c>
      <c r="F2035" t="str">
        <f>"2018-11-28 14:25:35"</f>
        <v>2018-11-28 14:25:35</v>
      </c>
    </row>
    <row r="2036" spans="1:6" x14ac:dyDescent="0.3">
      <c r="A2036" t="s">
        <v>3341</v>
      </c>
      <c r="B2036" t="str">
        <f>"18555120622"</f>
        <v>18555120622</v>
      </c>
      <c r="C2036" t="str">
        <f>"341182199412203622"</f>
        <v>341182199412203622</v>
      </c>
      <c r="D2036" t="s">
        <v>3342</v>
      </c>
      <c r="E2036" t="s">
        <v>3343</v>
      </c>
      <c r="F2036" t="str">
        <f>"2018-11-28 14:25:28"</f>
        <v>2018-11-28 14:25:28</v>
      </c>
    </row>
    <row r="2037" spans="1:6" x14ac:dyDescent="0.3">
      <c r="A2037" t="s">
        <v>3344</v>
      </c>
      <c r="B2037" t="str">
        <f>"15093900692"</f>
        <v>15093900692</v>
      </c>
      <c r="C2037" t="str">
        <f>"410522199308274714"</f>
        <v>410522199308274714</v>
      </c>
      <c r="D2037" t="s">
        <v>3345</v>
      </c>
      <c r="E2037" t="s">
        <v>3346</v>
      </c>
      <c r="F2037" t="str">
        <f>"2018-11-28 14:25:22"</f>
        <v>2018-11-28 14:25:22</v>
      </c>
    </row>
    <row r="2038" spans="1:6" x14ac:dyDescent="0.3">
      <c r="A2038" t="s">
        <v>0</v>
      </c>
      <c r="B2038" t="str">
        <f>"15597873462"</f>
        <v>15597873462</v>
      </c>
      <c r="C2038" t="s">
        <v>0</v>
      </c>
      <c r="D2038" t="s">
        <v>0</v>
      </c>
      <c r="E2038" t="s">
        <v>0</v>
      </c>
      <c r="F2038" t="str">
        <f>"2018-11-28 14:25:21"</f>
        <v>2018-11-28 14:25:21</v>
      </c>
    </row>
    <row r="2039" spans="1:6" x14ac:dyDescent="0.3">
      <c r="A2039" t="s">
        <v>3347</v>
      </c>
      <c r="B2039" t="str">
        <f>"13051646809"</f>
        <v>13051646809</v>
      </c>
      <c r="C2039" t="str">
        <f>"142731199410153023"</f>
        <v>142731199410153023</v>
      </c>
      <c r="D2039" t="s">
        <v>3348</v>
      </c>
      <c r="E2039" t="s">
        <v>3349</v>
      </c>
      <c r="F2039" t="str">
        <f>"2018-11-28 14:24:41"</f>
        <v>2018-11-28 14:24:41</v>
      </c>
    </row>
    <row r="2040" spans="1:6" x14ac:dyDescent="0.3">
      <c r="A2040" t="s">
        <v>3350</v>
      </c>
      <c r="B2040" t="str">
        <f>"18578351108"</f>
        <v>18578351108</v>
      </c>
      <c r="C2040" t="str">
        <f>"452729199412030212"</f>
        <v>452729199412030212</v>
      </c>
      <c r="D2040" t="s">
        <v>0</v>
      </c>
      <c r="E2040" t="s">
        <v>0</v>
      </c>
      <c r="F2040" t="str">
        <f>"2018-11-28 14:24:31"</f>
        <v>2018-11-28 14:24:31</v>
      </c>
    </row>
    <row r="2041" spans="1:6" x14ac:dyDescent="0.3">
      <c r="A2041" t="s">
        <v>3351</v>
      </c>
      <c r="B2041" t="str">
        <f>"13630865168"</f>
        <v>13630865168</v>
      </c>
      <c r="C2041" t="str">
        <f>"130623198409012713"</f>
        <v>130623198409012713</v>
      </c>
      <c r="D2041" t="s">
        <v>3352</v>
      </c>
      <c r="E2041" t="s">
        <v>3353</v>
      </c>
      <c r="F2041" t="str">
        <f>"2018-11-28 14:23:42"</f>
        <v>2018-11-28 14:23:42</v>
      </c>
    </row>
    <row r="2042" spans="1:6" x14ac:dyDescent="0.3">
      <c r="A2042" t="s">
        <v>0</v>
      </c>
      <c r="B2042" t="str">
        <f>"15111272995"</f>
        <v>15111272995</v>
      </c>
      <c r="C2042" t="s">
        <v>0</v>
      </c>
      <c r="D2042" t="s">
        <v>0</v>
      </c>
      <c r="E2042" t="s">
        <v>0</v>
      </c>
      <c r="F2042" t="str">
        <f>"2018-11-28 14:21:32"</f>
        <v>2018-11-28 14:21:32</v>
      </c>
    </row>
    <row r="2043" spans="1:6" x14ac:dyDescent="0.3">
      <c r="A2043" t="s">
        <v>3354</v>
      </c>
      <c r="B2043" t="str">
        <f>"15556594666"</f>
        <v>15556594666</v>
      </c>
      <c r="C2043" t="str">
        <f>"342101197804173411"</f>
        <v>342101197804173411</v>
      </c>
      <c r="D2043" t="s">
        <v>3355</v>
      </c>
      <c r="E2043" t="s">
        <v>3356</v>
      </c>
      <c r="F2043" t="str">
        <f>"2018-11-28 14:21:15"</f>
        <v>2018-11-28 14:21:15</v>
      </c>
    </row>
    <row r="2044" spans="1:6" x14ac:dyDescent="0.3">
      <c r="A2044" t="s">
        <v>3357</v>
      </c>
      <c r="B2044" t="str">
        <f>"13559490428"</f>
        <v>13559490428</v>
      </c>
      <c r="C2044" t="str">
        <f>"352228199103041017"</f>
        <v>352228199103041017</v>
      </c>
      <c r="D2044" t="s">
        <v>3358</v>
      </c>
      <c r="E2044" t="s">
        <v>3359</v>
      </c>
      <c r="F2044" t="str">
        <f>"2018-11-28 14:21:11"</f>
        <v>2018-11-28 14:21:11</v>
      </c>
    </row>
    <row r="2045" spans="1:6" x14ac:dyDescent="0.3">
      <c r="A2045" t="s">
        <v>3360</v>
      </c>
      <c r="B2045" t="str">
        <f>"13132595359"</f>
        <v>13132595359</v>
      </c>
      <c r="C2045" t="str">
        <f>"120109198901292511"</f>
        <v>120109198901292511</v>
      </c>
      <c r="D2045" t="s">
        <v>3361</v>
      </c>
      <c r="E2045" t="s">
        <v>3362</v>
      </c>
      <c r="F2045" t="str">
        <f>"2018-11-28 14:18:00"</f>
        <v>2018-11-28 14:18:00</v>
      </c>
    </row>
    <row r="2046" spans="1:6" x14ac:dyDescent="0.3">
      <c r="A2046" t="s">
        <v>3363</v>
      </c>
      <c r="B2046" t="str">
        <f>"18276090817"</f>
        <v>18276090817</v>
      </c>
      <c r="C2046" t="str">
        <f>"450481198605062512"</f>
        <v>450481198605062512</v>
      </c>
      <c r="D2046" t="s">
        <v>3364</v>
      </c>
      <c r="E2046" t="s">
        <v>3364</v>
      </c>
      <c r="F2046" t="str">
        <f>"2018-11-28 14:16:03"</f>
        <v>2018-11-28 14:16:03</v>
      </c>
    </row>
    <row r="2047" spans="1:6" x14ac:dyDescent="0.3">
      <c r="A2047" t="s">
        <v>3365</v>
      </c>
      <c r="B2047" t="str">
        <f>"13927982490"</f>
        <v>13927982490</v>
      </c>
      <c r="C2047" t="str">
        <f>"441522198110050098"</f>
        <v>441522198110050098</v>
      </c>
      <c r="D2047" t="s">
        <v>3366</v>
      </c>
      <c r="E2047" t="s">
        <v>3367</v>
      </c>
      <c r="F2047" t="str">
        <f>"2018-11-28 14:14:48"</f>
        <v>2018-11-28 14:14:48</v>
      </c>
    </row>
    <row r="2048" spans="1:6" x14ac:dyDescent="0.3">
      <c r="A2048" t="s">
        <v>3368</v>
      </c>
      <c r="B2048" t="str">
        <f>"17314790452"</f>
        <v>17314790452</v>
      </c>
      <c r="C2048" t="str">
        <f>"342501199502128210"</f>
        <v>342501199502128210</v>
      </c>
      <c r="D2048" t="s">
        <v>3369</v>
      </c>
      <c r="E2048" t="s">
        <v>3370</v>
      </c>
      <c r="F2048" t="str">
        <f>"2018-11-28 14:14:14"</f>
        <v>2018-11-28 14:14:14</v>
      </c>
    </row>
    <row r="2049" spans="1:6" x14ac:dyDescent="0.3">
      <c r="A2049" t="s">
        <v>3371</v>
      </c>
      <c r="B2049" t="str">
        <f>"17663929861"</f>
        <v>17663929861</v>
      </c>
      <c r="C2049" t="str">
        <f>"362529197301162018"</f>
        <v>362529197301162018</v>
      </c>
      <c r="D2049" t="s">
        <v>3372</v>
      </c>
      <c r="E2049" t="s">
        <v>3373</v>
      </c>
      <c r="F2049" t="str">
        <f>"2018-11-28 14:13:40"</f>
        <v>2018-11-28 14:13:40</v>
      </c>
    </row>
    <row r="2050" spans="1:6" x14ac:dyDescent="0.3">
      <c r="A2050" t="s">
        <v>3374</v>
      </c>
      <c r="B2050" t="str">
        <f>"13711714361"</f>
        <v>13711714361</v>
      </c>
      <c r="C2050" t="str">
        <f>"441881198501150236"</f>
        <v>441881198501150236</v>
      </c>
      <c r="D2050" t="s">
        <v>3375</v>
      </c>
      <c r="E2050" t="s">
        <v>3376</v>
      </c>
      <c r="F2050" t="str">
        <f>"2018-11-28 14:13:38"</f>
        <v>2018-11-28 14:13:38</v>
      </c>
    </row>
    <row r="2051" spans="1:6" x14ac:dyDescent="0.3">
      <c r="A2051" t="s">
        <v>3377</v>
      </c>
      <c r="B2051" t="str">
        <f>"13646330662"</f>
        <v>13646330662</v>
      </c>
      <c r="C2051" t="str">
        <f>"37110219911222381X"</f>
        <v>37110219911222381X</v>
      </c>
      <c r="D2051" t="s">
        <v>3378</v>
      </c>
      <c r="E2051" t="s">
        <v>3379</v>
      </c>
      <c r="F2051" t="str">
        <f>"2018-11-28 14:13:34"</f>
        <v>2018-11-28 14:13:34</v>
      </c>
    </row>
    <row r="2052" spans="1:6" x14ac:dyDescent="0.3">
      <c r="A2052" t="s">
        <v>3380</v>
      </c>
      <c r="B2052" t="str">
        <f>"13321919798"</f>
        <v>13321919798</v>
      </c>
      <c r="C2052" t="str">
        <f>"513721199708017662"</f>
        <v>513721199708017662</v>
      </c>
      <c r="D2052" t="s">
        <v>3381</v>
      </c>
      <c r="E2052" t="s">
        <v>3382</v>
      </c>
      <c r="F2052" t="str">
        <f>"2018-11-28 14:13:11"</f>
        <v>2018-11-28 14:13:11</v>
      </c>
    </row>
    <row r="2053" spans="1:6" x14ac:dyDescent="0.3">
      <c r="A2053" t="s">
        <v>3383</v>
      </c>
      <c r="B2053" t="str">
        <f>"15593262995"</f>
        <v>15593262995</v>
      </c>
      <c r="C2053" t="str">
        <f>"622425199110035157"</f>
        <v>622425199110035157</v>
      </c>
      <c r="D2053" t="s">
        <v>3384</v>
      </c>
      <c r="E2053" t="s">
        <v>3385</v>
      </c>
      <c r="F2053" t="str">
        <f>"2018-11-28 14:12:48"</f>
        <v>2018-11-28 14:12:48</v>
      </c>
    </row>
    <row r="2054" spans="1:6" x14ac:dyDescent="0.3">
      <c r="A2054" t="s">
        <v>3386</v>
      </c>
      <c r="B2054" t="str">
        <f>"15329100381"</f>
        <v>15329100381</v>
      </c>
      <c r="C2054" t="str">
        <f>"510525198612026596"</f>
        <v>510525198612026596</v>
      </c>
      <c r="D2054" t="s">
        <v>3387</v>
      </c>
      <c r="E2054" t="s">
        <v>3388</v>
      </c>
      <c r="F2054" t="str">
        <f>"2018-11-28 14:11:15"</f>
        <v>2018-11-28 14:11:15</v>
      </c>
    </row>
    <row r="2055" spans="1:6" x14ac:dyDescent="0.3">
      <c r="A2055" t="s">
        <v>0</v>
      </c>
      <c r="B2055" t="str">
        <f>"13787195227"</f>
        <v>13787195227</v>
      </c>
      <c r="C2055" t="s">
        <v>0</v>
      </c>
      <c r="D2055" t="s">
        <v>0</v>
      </c>
      <c r="E2055" t="s">
        <v>0</v>
      </c>
      <c r="F2055" t="str">
        <f>"2018-11-28 14:10:10"</f>
        <v>2018-11-28 14:10:10</v>
      </c>
    </row>
    <row r="2056" spans="1:6" x14ac:dyDescent="0.3">
      <c r="A2056" t="s">
        <v>3389</v>
      </c>
      <c r="B2056" t="str">
        <f>"13290503398"</f>
        <v>13290503398</v>
      </c>
      <c r="C2056" t="str">
        <f>"13042719920216492X"</f>
        <v>13042719920216492X</v>
      </c>
      <c r="D2056" t="s">
        <v>3390</v>
      </c>
      <c r="E2056" t="s">
        <v>3391</v>
      </c>
      <c r="F2056" t="str">
        <f>"2018-11-28 14:08:22"</f>
        <v>2018-11-28 14:08:22</v>
      </c>
    </row>
    <row r="2057" spans="1:6" x14ac:dyDescent="0.3">
      <c r="A2057" t="s">
        <v>0</v>
      </c>
      <c r="B2057" t="str">
        <f>"18879015665"</f>
        <v>18879015665</v>
      </c>
      <c r="C2057" t="s">
        <v>0</v>
      </c>
      <c r="D2057" t="s">
        <v>0</v>
      </c>
      <c r="E2057" t="s">
        <v>0</v>
      </c>
      <c r="F2057" t="str">
        <f>"2018-11-28 14:07:00"</f>
        <v>2018-11-28 14:07:00</v>
      </c>
    </row>
    <row r="2058" spans="1:6" x14ac:dyDescent="0.3">
      <c r="A2058" t="s">
        <v>3392</v>
      </c>
      <c r="B2058" t="str">
        <f>"13003821779"</f>
        <v>13003821779</v>
      </c>
      <c r="C2058" t="str">
        <f>"352228199202101054"</f>
        <v>352228199202101054</v>
      </c>
      <c r="D2058" t="s">
        <v>0</v>
      </c>
      <c r="E2058" t="s">
        <v>0</v>
      </c>
      <c r="F2058" t="str">
        <f>"2018-11-28 14:06:37"</f>
        <v>2018-11-28 14:06:37</v>
      </c>
    </row>
    <row r="2059" spans="1:6" x14ac:dyDescent="0.3">
      <c r="A2059" t="s">
        <v>3393</v>
      </c>
      <c r="B2059" t="str">
        <f>"18161448562"</f>
        <v>18161448562</v>
      </c>
      <c r="C2059" t="str">
        <f>"511381198808230354"</f>
        <v>511381198808230354</v>
      </c>
      <c r="D2059" t="s">
        <v>3394</v>
      </c>
      <c r="E2059" t="s">
        <v>3395</v>
      </c>
      <c r="F2059" t="str">
        <f>"2018-11-28 14:05:54"</f>
        <v>2018-11-28 14:05:54</v>
      </c>
    </row>
    <row r="2060" spans="1:6" x14ac:dyDescent="0.3">
      <c r="A2060" t="s">
        <v>3396</v>
      </c>
      <c r="B2060" t="str">
        <f>"18285024654"</f>
        <v>18285024654</v>
      </c>
      <c r="C2060" t="str">
        <f>"522730197805220310"</f>
        <v>522730197805220310</v>
      </c>
      <c r="D2060" t="s">
        <v>3397</v>
      </c>
      <c r="E2060" t="s">
        <v>3398</v>
      </c>
      <c r="F2060" t="str">
        <f>"2018-11-28 14:05:52"</f>
        <v>2018-11-28 14:05:52</v>
      </c>
    </row>
    <row r="2061" spans="1:6" x14ac:dyDescent="0.3">
      <c r="A2061" t="s">
        <v>3399</v>
      </c>
      <c r="B2061" t="str">
        <f>"18760239909"</f>
        <v>18760239909</v>
      </c>
      <c r="C2061" t="str">
        <f>"352224196207013732"</f>
        <v>352224196207013732</v>
      </c>
      <c r="D2061" t="s">
        <v>3400</v>
      </c>
      <c r="E2061" t="s">
        <v>3401</v>
      </c>
      <c r="F2061" t="str">
        <f>"2018-11-28 14:03:16"</f>
        <v>2018-11-28 14:03:16</v>
      </c>
    </row>
    <row r="2062" spans="1:6" x14ac:dyDescent="0.3">
      <c r="A2062" t="s">
        <v>3402</v>
      </c>
      <c r="B2062" t="str">
        <f>"15774307070"</f>
        <v>15774307070</v>
      </c>
      <c r="C2062" t="str">
        <f>"350424198107052214"</f>
        <v>350424198107052214</v>
      </c>
      <c r="D2062" t="s">
        <v>3403</v>
      </c>
      <c r="E2062" t="s">
        <v>3404</v>
      </c>
      <c r="F2062" t="str">
        <f>"2018-11-28 14:03:01"</f>
        <v>2018-11-28 14:03:01</v>
      </c>
    </row>
    <row r="2063" spans="1:6" x14ac:dyDescent="0.3">
      <c r="A2063" t="s">
        <v>3405</v>
      </c>
      <c r="B2063" t="str">
        <f>"13807616131"</f>
        <v>13807616131</v>
      </c>
      <c r="C2063" t="str">
        <f>"460022198203142317"</f>
        <v>460022198203142317</v>
      </c>
      <c r="D2063" t="s">
        <v>3406</v>
      </c>
      <c r="E2063" t="s">
        <v>3407</v>
      </c>
      <c r="F2063" t="str">
        <f>"2018-11-28 14:00:24"</f>
        <v>2018-11-28 14:00:24</v>
      </c>
    </row>
    <row r="2064" spans="1:6" x14ac:dyDescent="0.3">
      <c r="A2064" t="s">
        <v>3408</v>
      </c>
      <c r="B2064" t="str">
        <f>"15827292550"</f>
        <v>15827292550</v>
      </c>
      <c r="C2064" t="str">
        <f>"421302199412221635"</f>
        <v>421302199412221635</v>
      </c>
      <c r="D2064" t="s">
        <v>3409</v>
      </c>
      <c r="E2064" t="s">
        <v>3409</v>
      </c>
      <c r="F2064" t="str">
        <f>"2018-11-28 13:58:43"</f>
        <v>2018-11-28 13:58:43</v>
      </c>
    </row>
    <row r="2065" spans="1:6" x14ac:dyDescent="0.3">
      <c r="A2065" t="s">
        <v>0</v>
      </c>
      <c r="B2065" t="str">
        <f>"15979893794"</f>
        <v>15979893794</v>
      </c>
      <c r="C2065" t="s">
        <v>0</v>
      </c>
      <c r="D2065" t="s">
        <v>0</v>
      </c>
      <c r="E2065" t="s">
        <v>0</v>
      </c>
      <c r="F2065" t="str">
        <f>"2018-11-28 13:56:52"</f>
        <v>2018-11-28 13:56:52</v>
      </c>
    </row>
    <row r="2066" spans="1:6" x14ac:dyDescent="0.3">
      <c r="A2066" t="s">
        <v>3410</v>
      </c>
      <c r="B2066" t="str">
        <f>"13731422978"</f>
        <v>13731422978</v>
      </c>
      <c r="C2066" t="str">
        <f>"130827198307210010"</f>
        <v>130827198307210010</v>
      </c>
      <c r="D2066" t="s">
        <v>0</v>
      </c>
      <c r="E2066" t="s">
        <v>0</v>
      </c>
      <c r="F2066" t="str">
        <f>"2018-11-28 13:56:32"</f>
        <v>2018-11-28 13:56:32</v>
      </c>
    </row>
    <row r="2067" spans="1:6" x14ac:dyDescent="0.3">
      <c r="A2067" t="s">
        <v>3411</v>
      </c>
      <c r="B2067" t="str">
        <f>"15151636245"</f>
        <v>15151636245</v>
      </c>
      <c r="C2067" t="str">
        <f>"610323199007274713"</f>
        <v>610323199007274713</v>
      </c>
      <c r="D2067" t="s">
        <v>3412</v>
      </c>
      <c r="E2067" t="s">
        <v>3413</v>
      </c>
      <c r="F2067" t="str">
        <f>"2018-11-28 13:55:14"</f>
        <v>2018-11-28 13:55:14</v>
      </c>
    </row>
    <row r="2068" spans="1:6" x14ac:dyDescent="0.3">
      <c r="A2068" t="s">
        <v>0</v>
      </c>
      <c r="B2068" t="str">
        <f>"15661454799"</f>
        <v>15661454799</v>
      </c>
      <c r="C2068" t="s">
        <v>0</v>
      </c>
      <c r="D2068" t="s">
        <v>0</v>
      </c>
      <c r="E2068" t="s">
        <v>0</v>
      </c>
      <c r="F2068" t="str">
        <f>"2018-11-28 13:54:45"</f>
        <v>2018-11-28 13:54:45</v>
      </c>
    </row>
    <row r="2069" spans="1:6" x14ac:dyDescent="0.3">
      <c r="A2069" t="s">
        <v>3414</v>
      </c>
      <c r="B2069" t="str">
        <f>"18635711077"</f>
        <v>18635711077</v>
      </c>
      <c r="C2069" t="str">
        <f>"142601199305041018"</f>
        <v>142601199305041018</v>
      </c>
      <c r="D2069" t="s">
        <v>3415</v>
      </c>
      <c r="E2069" t="s">
        <v>3416</v>
      </c>
      <c r="F2069" t="str">
        <f>"2018-11-28 13:54:43"</f>
        <v>2018-11-28 13:54:43</v>
      </c>
    </row>
    <row r="2070" spans="1:6" x14ac:dyDescent="0.3">
      <c r="A2070" t="s">
        <v>3417</v>
      </c>
      <c r="B2070" t="str">
        <f>"13297038972"</f>
        <v>13297038972</v>
      </c>
      <c r="C2070" t="str">
        <f>"429006199507010335"</f>
        <v>429006199507010335</v>
      </c>
      <c r="D2070" t="s">
        <v>0</v>
      </c>
      <c r="E2070" t="s">
        <v>0</v>
      </c>
      <c r="F2070" t="str">
        <f>"2018-11-28 13:52:29"</f>
        <v>2018-11-28 13:52:29</v>
      </c>
    </row>
    <row r="2071" spans="1:6" x14ac:dyDescent="0.3">
      <c r="A2071" t="s">
        <v>3418</v>
      </c>
      <c r="B2071" t="str">
        <f>"13342438377"</f>
        <v>13342438377</v>
      </c>
      <c r="C2071" t="str">
        <f>"231083199204103323"</f>
        <v>231083199204103323</v>
      </c>
      <c r="D2071" t="s">
        <v>3419</v>
      </c>
      <c r="E2071" t="s">
        <v>3420</v>
      </c>
      <c r="F2071" t="str">
        <f>"2018-11-28 13:51:56"</f>
        <v>2018-11-28 13:51:56</v>
      </c>
    </row>
    <row r="2072" spans="1:6" x14ac:dyDescent="0.3">
      <c r="A2072" t="s">
        <v>0</v>
      </c>
      <c r="B2072" t="str">
        <f>"18617061967"</f>
        <v>18617061967</v>
      </c>
      <c r="C2072" t="s">
        <v>0</v>
      </c>
      <c r="D2072" t="s">
        <v>0</v>
      </c>
      <c r="E2072" t="s">
        <v>0</v>
      </c>
      <c r="F2072" t="str">
        <f>"2018-11-28 13:51:48"</f>
        <v>2018-11-28 13:51:48</v>
      </c>
    </row>
    <row r="2073" spans="1:6" x14ac:dyDescent="0.3">
      <c r="A2073" t="s">
        <v>0</v>
      </c>
      <c r="B2073" t="str">
        <f>"15734740561"</f>
        <v>15734740561</v>
      </c>
      <c r="C2073" t="s">
        <v>0</v>
      </c>
      <c r="D2073" t="s">
        <v>0</v>
      </c>
      <c r="E2073" t="s">
        <v>0</v>
      </c>
      <c r="F2073" t="str">
        <f>"2018-11-28 13:50:46"</f>
        <v>2018-11-28 13:50:46</v>
      </c>
    </row>
    <row r="2074" spans="1:6" x14ac:dyDescent="0.3">
      <c r="A2074" t="s">
        <v>3421</v>
      </c>
      <c r="B2074" t="str">
        <f>"15738192225"</f>
        <v>15738192225</v>
      </c>
      <c r="C2074" t="str">
        <f>"410422198103158154"</f>
        <v>410422198103158154</v>
      </c>
      <c r="D2074" t="s">
        <v>3422</v>
      </c>
      <c r="E2074" t="s">
        <v>3423</v>
      </c>
      <c r="F2074" t="str">
        <f>"2018-11-28 13:50:24"</f>
        <v>2018-11-28 13:50:24</v>
      </c>
    </row>
    <row r="2075" spans="1:6" x14ac:dyDescent="0.3">
      <c r="A2075" t="s">
        <v>0</v>
      </c>
      <c r="B2075" t="str">
        <f>"18628470201"</f>
        <v>18628470201</v>
      </c>
      <c r="C2075" t="s">
        <v>0</v>
      </c>
      <c r="D2075" t="s">
        <v>0</v>
      </c>
      <c r="E2075" t="s">
        <v>0</v>
      </c>
      <c r="F2075" t="str">
        <f>"2018-11-28 13:50:20"</f>
        <v>2018-11-28 13:50:20</v>
      </c>
    </row>
    <row r="2076" spans="1:6" x14ac:dyDescent="0.3">
      <c r="A2076" t="s">
        <v>0</v>
      </c>
      <c r="B2076" t="str">
        <f>"15103076897"</f>
        <v>15103076897</v>
      </c>
      <c r="C2076" t="s">
        <v>0</v>
      </c>
      <c r="D2076" t="s">
        <v>0</v>
      </c>
      <c r="E2076" t="s">
        <v>0</v>
      </c>
      <c r="F2076" t="str">
        <f>"2018-11-28 13:50:13"</f>
        <v>2018-11-28 13:50:13</v>
      </c>
    </row>
    <row r="2077" spans="1:6" x14ac:dyDescent="0.3">
      <c r="A2077" t="s">
        <v>3424</v>
      </c>
      <c r="B2077" t="str">
        <f>"15002923085"</f>
        <v>15002923085</v>
      </c>
      <c r="C2077" t="str">
        <f>"321088196608176115"</f>
        <v>321088196608176115</v>
      </c>
      <c r="D2077" t="s">
        <v>3425</v>
      </c>
      <c r="E2077" t="s">
        <v>3426</v>
      </c>
      <c r="F2077" t="str">
        <f>"2018-11-28 13:49:58"</f>
        <v>2018-11-28 13:49:58</v>
      </c>
    </row>
    <row r="2078" spans="1:6" x14ac:dyDescent="0.3">
      <c r="A2078" t="s">
        <v>3427</v>
      </c>
      <c r="B2078" t="str">
        <f>"15231942861"</f>
        <v>15231942861</v>
      </c>
      <c r="C2078" t="str">
        <f>"130535199312124115"</f>
        <v>130535199312124115</v>
      </c>
      <c r="D2078" t="s">
        <v>0</v>
      </c>
      <c r="E2078" t="s">
        <v>0</v>
      </c>
      <c r="F2078" t="str">
        <f>"2018-11-28 13:49:33"</f>
        <v>2018-11-28 13:49:33</v>
      </c>
    </row>
    <row r="2079" spans="1:6" x14ac:dyDescent="0.3">
      <c r="A2079" t="s">
        <v>3428</v>
      </c>
      <c r="B2079" t="str">
        <f>"13874735898"</f>
        <v>13874735898</v>
      </c>
      <c r="C2079" t="str">
        <f>"431102198407123439"</f>
        <v>431102198407123439</v>
      </c>
      <c r="D2079" t="s">
        <v>3429</v>
      </c>
      <c r="E2079" t="s">
        <v>3430</v>
      </c>
      <c r="F2079" t="str">
        <f>"2018-11-28 13:48:49"</f>
        <v>2018-11-28 13:48:49</v>
      </c>
    </row>
    <row r="2080" spans="1:6" x14ac:dyDescent="0.3">
      <c r="A2080" t="s">
        <v>3431</v>
      </c>
      <c r="B2080" t="str">
        <f>"13066597949"</f>
        <v>13066597949</v>
      </c>
      <c r="C2080" t="str">
        <f>"211403199601248020"</f>
        <v>211403199601248020</v>
      </c>
      <c r="D2080" t="s">
        <v>3432</v>
      </c>
      <c r="E2080" t="s">
        <v>3433</v>
      </c>
      <c r="F2080" t="str">
        <f>"2018-11-28 13:48:45"</f>
        <v>2018-11-28 13:48:45</v>
      </c>
    </row>
    <row r="2081" spans="1:6" x14ac:dyDescent="0.3">
      <c r="A2081" t="s">
        <v>0</v>
      </c>
      <c r="B2081" t="str">
        <f>"18771361091"</f>
        <v>18771361091</v>
      </c>
      <c r="C2081" t="s">
        <v>0</v>
      </c>
      <c r="D2081" t="s">
        <v>0</v>
      </c>
      <c r="E2081" t="s">
        <v>0</v>
      </c>
      <c r="F2081" t="str">
        <f>"2018-11-28 13:48:06"</f>
        <v>2018-11-28 13:48:06</v>
      </c>
    </row>
    <row r="2082" spans="1:6" x14ac:dyDescent="0.3">
      <c r="A2082" t="s">
        <v>3434</v>
      </c>
      <c r="B2082" t="str">
        <f>"15145352397"</f>
        <v>15145352397</v>
      </c>
      <c r="C2082" t="str">
        <f>"231083198502285423"</f>
        <v>231083198502285423</v>
      </c>
      <c r="D2082" t="s">
        <v>3435</v>
      </c>
      <c r="E2082" t="s">
        <v>3436</v>
      </c>
      <c r="F2082" t="str">
        <f>"2018-11-28 13:47:48"</f>
        <v>2018-11-28 13:47:48</v>
      </c>
    </row>
    <row r="2083" spans="1:6" x14ac:dyDescent="0.3">
      <c r="A2083" t="s">
        <v>3437</v>
      </c>
      <c r="B2083" t="str">
        <f>"15128889558"</f>
        <v>15128889558</v>
      </c>
      <c r="C2083" t="str">
        <f>"13042819860508001X"</f>
        <v>13042819860508001X</v>
      </c>
      <c r="D2083" t="s">
        <v>3438</v>
      </c>
      <c r="E2083" t="s">
        <v>3439</v>
      </c>
      <c r="F2083" t="str">
        <f>"2018-11-28 13:47:11"</f>
        <v>2018-11-28 13:47:11</v>
      </c>
    </row>
    <row r="2084" spans="1:6" x14ac:dyDescent="0.3">
      <c r="A2084" t="s">
        <v>0</v>
      </c>
      <c r="B2084" t="str">
        <f>"15591034150"</f>
        <v>15591034150</v>
      </c>
      <c r="C2084" t="s">
        <v>0</v>
      </c>
      <c r="D2084" t="s">
        <v>0</v>
      </c>
      <c r="E2084" t="s">
        <v>0</v>
      </c>
      <c r="F2084" t="str">
        <f>"2018-11-28 13:46:54"</f>
        <v>2018-11-28 13:46:54</v>
      </c>
    </row>
    <row r="2085" spans="1:6" x14ac:dyDescent="0.3">
      <c r="A2085" t="s">
        <v>3440</v>
      </c>
      <c r="B2085" t="str">
        <f>"13364061781"</f>
        <v>13364061781</v>
      </c>
      <c r="C2085" t="str">
        <f>"500222199901291211"</f>
        <v>500222199901291211</v>
      </c>
      <c r="D2085" t="s">
        <v>3441</v>
      </c>
      <c r="E2085" t="s">
        <v>3442</v>
      </c>
      <c r="F2085" t="str">
        <f>"2018-11-28 13:46:27"</f>
        <v>2018-11-28 13:46:27</v>
      </c>
    </row>
    <row r="2086" spans="1:6" x14ac:dyDescent="0.3">
      <c r="A2086" t="s">
        <v>0</v>
      </c>
      <c r="B2086" t="str">
        <f>"15105731969"</f>
        <v>15105731969</v>
      </c>
      <c r="C2086" t="s">
        <v>0</v>
      </c>
      <c r="D2086" t="s">
        <v>0</v>
      </c>
      <c r="E2086" t="s">
        <v>0</v>
      </c>
      <c r="F2086" t="str">
        <f>"2018-11-28 13:44:21"</f>
        <v>2018-11-28 13:44:21</v>
      </c>
    </row>
    <row r="2087" spans="1:6" x14ac:dyDescent="0.3">
      <c r="A2087" t="s">
        <v>0</v>
      </c>
      <c r="B2087" t="str">
        <f>"18560956838"</f>
        <v>18560956838</v>
      </c>
      <c r="C2087" t="s">
        <v>0</v>
      </c>
      <c r="D2087" t="s">
        <v>0</v>
      </c>
      <c r="E2087" t="s">
        <v>0</v>
      </c>
      <c r="F2087" t="str">
        <f>"2018-11-28 13:43:25"</f>
        <v>2018-11-28 13:43:25</v>
      </c>
    </row>
    <row r="2088" spans="1:6" x14ac:dyDescent="0.3">
      <c r="A2088" t="s">
        <v>0</v>
      </c>
      <c r="B2088" t="str">
        <f>"18864656119"</f>
        <v>18864656119</v>
      </c>
      <c r="C2088" t="s">
        <v>0</v>
      </c>
      <c r="D2088" t="s">
        <v>0</v>
      </c>
      <c r="E2088" t="s">
        <v>0</v>
      </c>
      <c r="F2088" t="str">
        <f>"2018-11-28 13:42:50"</f>
        <v>2018-11-28 13:42:50</v>
      </c>
    </row>
    <row r="2089" spans="1:6" x14ac:dyDescent="0.3">
      <c r="A2089" t="s">
        <v>3443</v>
      </c>
      <c r="B2089" t="str">
        <f>"17561514467"</f>
        <v>17561514467</v>
      </c>
      <c r="C2089" t="str">
        <f>"220281199001262610"</f>
        <v>220281199001262610</v>
      </c>
      <c r="D2089" t="s">
        <v>3444</v>
      </c>
      <c r="E2089" t="s">
        <v>3445</v>
      </c>
      <c r="F2089" t="str">
        <f>"2018-11-28 13:42:12"</f>
        <v>2018-11-28 13:42:12</v>
      </c>
    </row>
    <row r="2090" spans="1:6" x14ac:dyDescent="0.3">
      <c r="A2090" t="s">
        <v>3446</v>
      </c>
      <c r="B2090" t="str">
        <f>"13792689333"</f>
        <v>13792689333</v>
      </c>
      <c r="C2090" t="str">
        <f>"370783198811020910"</f>
        <v>370783198811020910</v>
      </c>
      <c r="D2090" t="s">
        <v>3447</v>
      </c>
      <c r="E2090" t="s">
        <v>3448</v>
      </c>
      <c r="F2090" t="str">
        <f>"2018-11-28 13:40:56"</f>
        <v>2018-11-28 13:40:56</v>
      </c>
    </row>
    <row r="2091" spans="1:6" x14ac:dyDescent="0.3">
      <c r="A2091" t="s">
        <v>3449</v>
      </c>
      <c r="B2091" t="str">
        <f>"18379817095"</f>
        <v>18379817095</v>
      </c>
      <c r="C2091" t="str">
        <f>"362137198110112811"</f>
        <v>362137198110112811</v>
      </c>
      <c r="D2091" t="s">
        <v>3450</v>
      </c>
      <c r="E2091" t="s">
        <v>3451</v>
      </c>
      <c r="F2091" t="str">
        <f>"2018-11-28 13:40:08"</f>
        <v>2018-11-28 13:40:08</v>
      </c>
    </row>
    <row r="2092" spans="1:6" x14ac:dyDescent="0.3">
      <c r="A2092" t="s">
        <v>3452</v>
      </c>
      <c r="B2092" t="str">
        <f>"15044167712"</f>
        <v>15044167712</v>
      </c>
      <c r="C2092" t="str">
        <f>"220102198312085919"</f>
        <v>220102198312085919</v>
      </c>
      <c r="D2092" t="s">
        <v>3453</v>
      </c>
      <c r="E2092" t="s">
        <v>3454</v>
      </c>
      <c r="F2092" t="str">
        <f>"2018-11-28 13:39:55"</f>
        <v>2018-11-28 13:39:55</v>
      </c>
    </row>
    <row r="2093" spans="1:6" x14ac:dyDescent="0.3">
      <c r="A2093" t="s">
        <v>0</v>
      </c>
      <c r="B2093" t="str">
        <f>"18086622285"</f>
        <v>18086622285</v>
      </c>
      <c r="C2093" t="s">
        <v>0</v>
      </c>
      <c r="D2093" t="s">
        <v>0</v>
      </c>
      <c r="E2093" t="s">
        <v>0</v>
      </c>
      <c r="F2093" t="str">
        <f>"2018-11-28 13:38:40"</f>
        <v>2018-11-28 13:38:40</v>
      </c>
    </row>
    <row r="2094" spans="1:6" x14ac:dyDescent="0.3">
      <c r="A2094" t="s">
        <v>3455</v>
      </c>
      <c r="B2094" t="str">
        <f>"18047444644"</f>
        <v>18047444644</v>
      </c>
      <c r="C2094" t="str">
        <f>"152628198404077419"</f>
        <v>152628198404077419</v>
      </c>
      <c r="D2094" t="s">
        <v>0</v>
      </c>
      <c r="E2094" t="s">
        <v>0</v>
      </c>
      <c r="F2094" t="str">
        <f>"2018-11-28 13:34:13"</f>
        <v>2018-11-28 13:34:13</v>
      </c>
    </row>
    <row r="2095" spans="1:6" x14ac:dyDescent="0.3">
      <c r="A2095" t="s">
        <v>3456</v>
      </c>
      <c r="B2095" t="str">
        <f>"13542910557"</f>
        <v>13542910557</v>
      </c>
      <c r="C2095" t="str">
        <f>"441202198110177011"</f>
        <v>441202198110177011</v>
      </c>
      <c r="D2095" t="s">
        <v>3457</v>
      </c>
      <c r="E2095" t="s">
        <v>3458</v>
      </c>
      <c r="F2095" t="str">
        <f>"2018-11-28 13:32:37"</f>
        <v>2018-11-28 13:32:37</v>
      </c>
    </row>
    <row r="2096" spans="1:6" x14ac:dyDescent="0.3">
      <c r="A2096" t="s">
        <v>3459</v>
      </c>
      <c r="B2096" t="str">
        <f>"17355204551"</f>
        <v>17355204551</v>
      </c>
      <c r="C2096" t="str">
        <f>"340311198808101286"</f>
        <v>340311198808101286</v>
      </c>
      <c r="D2096" t="s">
        <v>3460</v>
      </c>
      <c r="E2096" t="s">
        <v>3461</v>
      </c>
      <c r="F2096" t="str">
        <f>"2018-11-28 13:30:39"</f>
        <v>2018-11-28 13:30:39</v>
      </c>
    </row>
    <row r="2097" spans="1:6" x14ac:dyDescent="0.3">
      <c r="A2097" t="s">
        <v>0</v>
      </c>
      <c r="B2097" t="str">
        <f>"15959481997"</f>
        <v>15959481997</v>
      </c>
      <c r="C2097" t="s">
        <v>0</v>
      </c>
      <c r="D2097" t="s">
        <v>0</v>
      </c>
      <c r="E2097" t="s">
        <v>0</v>
      </c>
      <c r="F2097" t="str">
        <f>"2018-11-28 13:29:26"</f>
        <v>2018-11-28 13:29:26</v>
      </c>
    </row>
    <row r="2098" spans="1:6" x14ac:dyDescent="0.3">
      <c r="A2098" t="s">
        <v>3462</v>
      </c>
      <c r="B2098" t="str">
        <f>"13525551387"</f>
        <v>13525551387</v>
      </c>
      <c r="C2098" t="str">
        <f>"410183199004262045"</f>
        <v>410183199004262045</v>
      </c>
      <c r="D2098" t="s">
        <v>3463</v>
      </c>
      <c r="E2098" t="s">
        <v>3464</v>
      </c>
      <c r="F2098" t="str">
        <f>"2018-11-28 13:27:58"</f>
        <v>2018-11-28 13:27:58</v>
      </c>
    </row>
    <row r="2099" spans="1:6" x14ac:dyDescent="0.3">
      <c r="A2099" t="s">
        <v>3465</v>
      </c>
      <c r="B2099" t="str">
        <f>"18575235401"</f>
        <v>18575235401</v>
      </c>
      <c r="C2099" t="str">
        <f>"350181198909152154"</f>
        <v>350181198909152154</v>
      </c>
      <c r="D2099" t="s">
        <v>3466</v>
      </c>
      <c r="E2099" t="s">
        <v>3467</v>
      </c>
      <c r="F2099" t="str">
        <f>"2018-11-28 13:25:35"</f>
        <v>2018-11-28 13:25:35</v>
      </c>
    </row>
    <row r="2100" spans="1:6" x14ac:dyDescent="0.3">
      <c r="A2100" t="s">
        <v>3468</v>
      </c>
      <c r="B2100" t="str">
        <f>"15149496364"</f>
        <v>15149496364</v>
      </c>
      <c r="C2100" t="str">
        <f>"152723198308102710"</f>
        <v>152723198308102710</v>
      </c>
      <c r="D2100" t="s">
        <v>0</v>
      </c>
      <c r="E2100" t="s">
        <v>0</v>
      </c>
      <c r="F2100" t="str">
        <f>"2018-11-28 13:24:31"</f>
        <v>2018-11-28 13:24:31</v>
      </c>
    </row>
    <row r="2101" spans="1:6" x14ac:dyDescent="0.3">
      <c r="A2101" t="s">
        <v>3469</v>
      </c>
      <c r="B2101" t="str">
        <f>"13823669229"</f>
        <v>13823669229</v>
      </c>
      <c r="C2101" t="str">
        <f>"441323199008050753"</f>
        <v>441323199008050753</v>
      </c>
      <c r="D2101" t="s">
        <v>3470</v>
      </c>
      <c r="E2101" t="s">
        <v>3471</v>
      </c>
      <c r="F2101" t="str">
        <f>"2018-11-28 13:23:59"</f>
        <v>2018-11-28 13:23:59</v>
      </c>
    </row>
    <row r="2102" spans="1:6" x14ac:dyDescent="0.3">
      <c r="A2102" t="s">
        <v>3472</v>
      </c>
      <c r="B2102" t="str">
        <f>"13983312511"</f>
        <v>13983312511</v>
      </c>
      <c r="C2102" t="str">
        <f>"512301196512208959"</f>
        <v>512301196512208959</v>
      </c>
      <c r="D2102" t="s">
        <v>3473</v>
      </c>
      <c r="E2102" t="s">
        <v>3474</v>
      </c>
      <c r="F2102" t="str">
        <f>"2018-11-28 13:20:49"</f>
        <v>2018-11-28 13:20:49</v>
      </c>
    </row>
    <row r="2103" spans="1:6" x14ac:dyDescent="0.3">
      <c r="A2103" t="s">
        <v>3475</v>
      </c>
      <c r="B2103" t="str">
        <f>"13586140567"</f>
        <v>13586140567</v>
      </c>
      <c r="C2103" t="str">
        <f>"332602197911070735"</f>
        <v>332602197911070735</v>
      </c>
      <c r="D2103" t="s">
        <v>0</v>
      </c>
      <c r="E2103" t="s">
        <v>0</v>
      </c>
      <c r="F2103" t="str">
        <f>"2018-11-28 13:20:47"</f>
        <v>2018-11-28 13:20:47</v>
      </c>
    </row>
    <row r="2104" spans="1:6" x14ac:dyDescent="0.3">
      <c r="A2104" t="s">
        <v>3476</v>
      </c>
      <c r="B2104" t="str">
        <f>"18798443956"</f>
        <v>18798443956</v>
      </c>
      <c r="C2104" t="str">
        <f>"522725197206092416"</f>
        <v>522725197206092416</v>
      </c>
      <c r="D2104" t="s">
        <v>3477</v>
      </c>
      <c r="E2104" t="s">
        <v>3478</v>
      </c>
      <c r="F2104" t="str">
        <f>"2018-11-28 13:17:29"</f>
        <v>2018-11-28 13:17:29</v>
      </c>
    </row>
    <row r="2105" spans="1:6" x14ac:dyDescent="0.3">
      <c r="A2105" t="s">
        <v>3479</v>
      </c>
      <c r="B2105" t="str">
        <f>"18081774817"</f>
        <v>18081774817</v>
      </c>
      <c r="C2105" t="str">
        <f>"511025199002180017"</f>
        <v>511025199002180017</v>
      </c>
      <c r="D2105" t="s">
        <v>3480</v>
      </c>
      <c r="E2105" t="s">
        <v>3481</v>
      </c>
      <c r="F2105" t="str">
        <f>"2018-11-28 13:16:22"</f>
        <v>2018-11-28 13:16:22</v>
      </c>
    </row>
    <row r="2106" spans="1:6" x14ac:dyDescent="0.3">
      <c r="A2106" t="s">
        <v>3482</v>
      </c>
      <c r="B2106" t="str">
        <f>"18832777317"</f>
        <v>18832777317</v>
      </c>
      <c r="C2106" t="str">
        <f>"130925198807175437"</f>
        <v>130925198807175437</v>
      </c>
      <c r="D2106" t="s">
        <v>3483</v>
      </c>
      <c r="E2106" t="s">
        <v>3484</v>
      </c>
      <c r="F2106" t="str">
        <f>"2018-11-28 13:14:25"</f>
        <v>2018-11-28 13:14:25</v>
      </c>
    </row>
    <row r="2107" spans="1:6" x14ac:dyDescent="0.3">
      <c r="A2107" t="s">
        <v>3485</v>
      </c>
      <c r="B2107" t="str">
        <f>"15884788866"</f>
        <v>15884788866</v>
      </c>
      <c r="C2107" t="str">
        <f>"510502198606296624"</f>
        <v>510502198606296624</v>
      </c>
      <c r="D2107" t="s">
        <v>3486</v>
      </c>
      <c r="E2107" t="s">
        <v>3487</v>
      </c>
      <c r="F2107" t="str">
        <f>"2018-11-28 13:13:42"</f>
        <v>2018-11-28 13:13:42</v>
      </c>
    </row>
    <row r="2108" spans="1:6" x14ac:dyDescent="0.3">
      <c r="A2108" t="s">
        <v>3488</v>
      </c>
      <c r="B2108" t="str">
        <f>"17715496709"</f>
        <v>17715496709</v>
      </c>
      <c r="C2108" t="str">
        <f>"320821198006272311"</f>
        <v>320821198006272311</v>
      </c>
      <c r="D2108" t="s">
        <v>3489</v>
      </c>
      <c r="E2108" t="s">
        <v>3490</v>
      </c>
      <c r="F2108" t="str">
        <f>"2018-11-28 13:13:37"</f>
        <v>2018-11-28 13:13:37</v>
      </c>
    </row>
    <row r="2109" spans="1:6" x14ac:dyDescent="0.3">
      <c r="A2109" t="s">
        <v>3491</v>
      </c>
      <c r="B2109" t="str">
        <f>"13792382693"</f>
        <v>13792382693</v>
      </c>
      <c r="C2109" t="str">
        <f>"370811198102160834"</f>
        <v>370811198102160834</v>
      </c>
      <c r="D2109" t="s">
        <v>3492</v>
      </c>
      <c r="E2109" t="s">
        <v>3493</v>
      </c>
      <c r="F2109" t="str">
        <f>"2018-11-28 13:13:16"</f>
        <v>2018-11-28 13:13:16</v>
      </c>
    </row>
    <row r="2110" spans="1:6" x14ac:dyDescent="0.3">
      <c r="A2110" t="s">
        <v>0</v>
      </c>
      <c r="B2110" t="str">
        <f>"17318119130"</f>
        <v>17318119130</v>
      </c>
      <c r="C2110" t="s">
        <v>0</v>
      </c>
      <c r="D2110" t="s">
        <v>0</v>
      </c>
      <c r="E2110" t="s">
        <v>0</v>
      </c>
      <c r="F2110" t="str">
        <f>"2018-11-28 13:13:03"</f>
        <v>2018-11-28 13:13:03</v>
      </c>
    </row>
    <row r="2111" spans="1:6" x14ac:dyDescent="0.3">
      <c r="A2111" t="s">
        <v>3494</v>
      </c>
      <c r="B2111" t="str">
        <f>"13467101028"</f>
        <v>13467101028</v>
      </c>
      <c r="C2111" t="str">
        <f>"14260319820111302X"</f>
        <v>14260319820111302X</v>
      </c>
      <c r="D2111" t="s">
        <v>3495</v>
      </c>
      <c r="E2111" t="s">
        <v>3496</v>
      </c>
      <c r="F2111" t="str">
        <f>"2018-11-28 13:12:16"</f>
        <v>2018-11-28 13:12:16</v>
      </c>
    </row>
    <row r="2112" spans="1:6" x14ac:dyDescent="0.3">
      <c r="A2112" t="s">
        <v>3497</v>
      </c>
      <c r="B2112" t="str">
        <f>"18996003046"</f>
        <v>18996003046</v>
      </c>
      <c r="C2112" t="str">
        <f>"500227198808137110"</f>
        <v>500227198808137110</v>
      </c>
      <c r="D2112" t="s">
        <v>3498</v>
      </c>
      <c r="E2112" t="s">
        <v>3499</v>
      </c>
      <c r="F2112" t="str">
        <f>"2018-11-28 13:11:37"</f>
        <v>2018-11-28 13:11:37</v>
      </c>
    </row>
    <row r="2113" spans="1:6" x14ac:dyDescent="0.3">
      <c r="A2113" t="s">
        <v>0</v>
      </c>
      <c r="B2113" t="str">
        <f>"13323119653"</f>
        <v>13323119653</v>
      </c>
      <c r="C2113" t="s">
        <v>0</v>
      </c>
      <c r="D2113" t="s">
        <v>0</v>
      </c>
      <c r="E2113" t="s">
        <v>0</v>
      </c>
      <c r="F2113" t="str">
        <f>"2018-11-28 13:10:31"</f>
        <v>2018-11-28 13:10:31</v>
      </c>
    </row>
    <row r="2114" spans="1:6" x14ac:dyDescent="0.3">
      <c r="A2114" t="s">
        <v>0</v>
      </c>
      <c r="B2114" t="str">
        <f>"18718924555"</f>
        <v>18718924555</v>
      </c>
      <c r="C2114" t="s">
        <v>0</v>
      </c>
      <c r="D2114" t="s">
        <v>0</v>
      </c>
      <c r="E2114" t="s">
        <v>0</v>
      </c>
      <c r="F2114" t="str">
        <f>"2018-11-28 13:07:23"</f>
        <v>2018-11-28 13:07:23</v>
      </c>
    </row>
    <row r="2115" spans="1:6" x14ac:dyDescent="0.3">
      <c r="A2115" t="s">
        <v>3500</v>
      </c>
      <c r="B2115" t="str">
        <f>"13811690244"</f>
        <v>13811690244</v>
      </c>
      <c r="C2115" t="str">
        <f>"37012619840905651X"</f>
        <v>37012619840905651X</v>
      </c>
      <c r="D2115" t="s">
        <v>3501</v>
      </c>
      <c r="E2115" t="s">
        <v>3502</v>
      </c>
      <c r="F2115" t="str">
        <f>"2018-11-28 13:07:11"</f>
        <v>2018-11-28 13:07:11</v>
      </c>
    </row>
    <row r="2116" spans="1:6" x14ac:dyDescent="0.3">
      <c r="A2116" t="s">
        <v>3503</v>
      </c>
      <c r="B2116" t="str">
        <f>"18703641128"</f>
        <v>18703641128</v>
      </c>
      <c r="C2116" t="str">
        <f>"410521199205104011"</f>
        <v>410521199205104011</v>
      </c>
      <c r="D2116" t="s">
        <v>3504</v>
      </c>
      <c r="E2116" t="s">
        <v>3505</v>
      </c>
      <c r="F2116" t="str">
        <f>"2018-11-28 13:05:32"</f>
        <v>2018-11-28 13:05:32</v>
      </c>
    </row>
    <row r="2117" spans="1:6" x14ac:dyDescent="0.3">
      <c r="A2117" t="s">
        <v>3506</v>
      </c>
      <c r="B2117" t="str">
        <f>"13424335559"</f>
        <v>13424335559</v>
      </c>
      <c r="C2117" t="str">
        <f>"230503199312140812"</f>
        <v>230503199312140812</v>
      </c>
      <c r="D2117" t="s">
        <v>3507</v>
      </c>
      <c r="E2117" t="s">
        <v>3508</v>
      </c>
      <c r="F2117" t="str">
        <f>"2018-11-28 13:04:52"</f>
        <v>2018-11-28 13:04:52</v>
      </c>
    </row>
    <row r="2118" spans="1:6" x14ac:dyDescent="0.3">
      <c r="A2118" t="s">
        <v>3509</v>
      </c>
      <c r="B2118" t="str">
        <f>"15101974923"</f>
        <v>15101974923</v>
      </c>
      <c r="C2118" t="str">
        <f>"620523199505012620"</f>
        <v>620523199505012620</v>
      </c>
      <c r="D2118" t="s">
        <v>3510</v>
      </c>
      <c r="E2118" t="s">
        <v>3511</v>
      </c>
      <c r="F2118" t="str">
        <f>"2018-11-28 13:04:40"</f>
        <v>2018-11-28 13:04:40</v>
      </c>
    </row>
    <row r="2119" spans="1:6" x14ac:dyDescent="0.3">
      <c r="A2119" t="s">
        <v>3512</v>
      </c>
      <c r="B2119" t="str">
        <f>"15036670516"</f>
        <v>15036670516</v>
      </c>
      <c r="C2119" t="str">
        <f>"411481198807239615"</f>
        <v>411481198807239615</v>
      </c>
      <c r="D2119" t="s">
        <v>3513</v>
      </c>
      <c r="E2119" t="s">
        <v>3514</v>
      </c>
      <c r="F2119" t="str">
        <f>"2018-11-28 13:03:40"</f>
        <v>2018-11-28 13:03:40</v>
      </c>
    </row>
    <row r="2120" spans="1:6" x14ac:dyDescent="0.3">
      <c r="A2120" t="s">
        <v>0</v>
      </c>
      <c r="B2120" t="str">
        <f>"15350435670"</f>
        <v>15350435670</v>
      </c>
      <c r="C2120" t="s">
        <v>0</v>
      </c>
      <c r="D2120" t="s">
        <v>0</v>
      </c>
      <c r="E2120" t="s">
        <v>0</v>
      </c>
      <c r="F2120" t="str">
        <f>"2018-11-28 13:03:39"</f>
        <v>2018-11-28 13:03:39</v>
      </c>
    </row>
    <row r="2121" spans="1:6" x14ac:dyDescent="0.3">
      <c r="A2121" t="s">
        <v>3515</v>
      </c>
      <c r="B2121" t="str">
        <f>"18287618458"</f>
        <v>18287618458</v>
      </c>
      <c r="C2121" t="str">
        <f>"450922198607212331"</f>
        <v>450922198607212331</v>
      </c>
      <c r="D2121" t="s">
        <v>3516</v>
      </c>
      <c r="E2121" t="s">
        <v>3517</v>
      </c>
      <c r="F2121" t="str">
        <f>"2018-11-28 13:03:31"</f>
        <v>2018-11-28 13:03:31</v>
      </c>
    </row>
    <row r="2122" spans="1:6" x14ac:dyDescent="0.3">
      <c r="A2122" t="s">
        <v>3518</v>
      </c>
      <c r="B2122" t="str">
        <f>"18726024155"</f>
        <v>18726024155</v>
      </c>
      <c r="C2122" t="str">
        <f>"340521199109183049"</f>
        <v>340521199109183049</v>
      </c>
      <c r="D2122" t="s">
        <v>3519</v>
      </c>
      <c r="E2122" t="s">
        <v>3520</v>
      </c>
      <c r="F2122" t="str">
        <f>"2018-11-28 13:01:53"</f>
        <v>2018-11-28 13:01:53</v>
      </c>
    </row>
    <row r="2123" spans="1:6" x14ac:dyDescent="0.3">
      <c r="A2123" t="s">
        <v>3521</v>
      </c>
      <c r="B2123" t="str">
        <f>"18766270702"</f>
        <v>18766270702</v>
      </c>
      <c r="C2123" t="str">
        <f>"370282199103200049"</f>
        <v>370282199103200049</v>
      </c>
      <c r="D2123" t="s">
        <v>3522</v>
      </c>
      <c r="E2123" t="s">
        <v>3523</v>
      </c>
      <c r="F2123" t="str">
        <f>"2018-11-28 12:59:38"</f>
        <v>2018-11-28 12:59:38</v>
      </c>
    </row>
    <row r="2124" spans="1:6" x14ac:dyDescent="0.3">
      <c r="A2124" t="s">
        <v>0</v>
      </c>
      <c r="B2124" t="str">
        <f>"13097944613"</f>
        <v>13097944613</v>
      </c>
      <c r="C2124" t="s">
        <v>0</v>
      </c>
      <c r="D2124" t="s">
        <v>0</v>
      </c>
      <c r="E2124" t="s">
        <v>0</v>
      </c>
      <c r="F2124" t="str">
        <f>"2018-11-28 12:58:46"</f>
        <v>2018-11-28 12:58:46</v>
      </c>
    </row>
    <row r="2125" spans="1:6" x14ac:dyDescent="0.3">
      <c r="A2125" t="s">
        <v>0</v>
      </c>
      <c r="B2125" t="str">
        <f>"15665853519"</f>
        <v>15665853519</v>
      </c>
      <c r="C2125" t="s">
        <v>0</v>
      </c>
      <c r="D2125" t="s">
        <v>0</v>
      </c>
      <c r="E2125" t="s">
        <v>0</v>
      </c>
      <c r="F2125" t="str">
        <f>"2018-11-28 12:57:32"</f>
        <v>2018-11-28 12:57:32</v>
      </c>
    </row>
    <row r="2126" spans="1:6" x14ac:dyDescent="0.3">
      <c r="A2126" t="s">
        <v>3524</v>
      </c>
      <c r="B2126" t="str">
        <f>"13866572888"</f>
        <v>13866572888</v>
      </c>
      <c r="C2126" t="str">
        <f>"342923198106136644"</f>
        <v>342923198106136644</v>
      </c>
      <c r="D2126" t="s">
        <v>0</v>
      </c>
      <c r="E2126" t="s">
        <v>0</v>
      </c>
      <c r="F2126" t="str">
        <f>"2018-11-28 12:56:34"</f>
        <v>2018-11-28 12:56:34</v>
      </c>
    </row>
    <row r="2127" spans="1:6" x14ac:dyDescent="0.3">
      <c r="A2127" t="s">
        <v>0</v>
      </c>
      <c r="B2127" t="str">
        <f>"18734586805"</f>
        <v>18734586805</v>
      </c>
      <c r="C2127" t="s">
        <v>0</v>
      </c>
      <c r="D2127" t="s">
        <v>0</v>
      </c>
      <c r="E2127" t="s">
        <v>0</v>
      </c>
      <c r="F2127" t="str">
        <f>"2018-11-28 12:55:50"</f>
        <v>2018-11-28 12:55:50</v>
      </c>
    </row>
    <row r="2128" spans="1:6" x14ac:dyDescent="0.3">
      <c r="A2128" t="s">
        <v>0</v>
      </c>
      <c r="B2128" t="str">
        <f>"13100482594"</f>
        <v>13100482594</v>
      </c>
      <c r="C2128" t="s">
        <v>0</v>
      </c>
      <c r="D2128" t="s">
        <v>0</v>
      </c>
      <c r="E2128" t="s">
        <v>0</v>
      </c>
      <c r="F2128" t="str">
        <f>"2018-11-28 12:53:55"</f>
        <v>2018-11-28 12:53:55</v>
      </c>
    </row>
    <row r="2129" spans="1:6" x14ac:dyDescent="0.3">
      <c r="A2129" t="s">
        <v>0</v>
      </c>
      <c r="B2129" t="str">
        <f>"18758585266"</f>
        <v>18758585266</v>
      </c>
      <c r="C2129" t="s">
        <v>0</v>
      </c>
      <c r="D2129" t="s">
        <v>0</v>
      </c>
      <c r="E2129" t="s">
        <v>0</v>
      </c>
      <c r="F2129" t="str">
        <f>"2018-11-28 12:52:42"</f>
        <v>2018-11-28 12:52:42</v>
      </c>
    </row>
    <row r="2130" spans="1:6" x14ac:dyDescent="0.3">
      <c r="A2130" t="s">
        <v>3525</v>
      </c>
      <c r="B2130" t="str">
        <f>"13038301458"</f>
        <v>13038301458</v>
      </c>
      <c r="C2130" t="str">
        <f>"500223198809037570"</f>
        <v>500223198809037570</v>
      </c>
      <c r="D2130" t="s">
        <v>3526</v>
      </c>
      <c r="E2130" t="s">
        <v>3527</v>
      </c>
      <c r="F2130" t="str">
        <f>"2018-11-28 12:51:39"</f>
        <v>2018-11-28 12:51:39</v>
      </c>
    </row>
    <row r="2131" spans="1:6" x14ac:dyDescent="0.3">
      <c r="A2131" t="s">
        <v>3528</v>
      </c>
      <c r="B2131" t="str">
        <f>"18232257330"</f>
        <v>18232257330</v>
      </c>
      <c r="C2131" t="str">
        <f>"130823198704220022"</f>
        <v>130823198704220022</v>
      </c>
      <c r="D2131" t="s">
        <v>0</v>
      </c>
      <c r="E2131" t="s">
        <v>0</v>
      </c>
      <c r="F2131" t="str">
        <f>"2018-11-28 12:51:17"</f>
        <v>2018-11-28 12:51:17</v>
      </c>
    </row>
    <row r="2132" spans="1:6" x14ac:dyDescent="0.3">
      <c r="A2132" t="s">
        <v>3529</v>
      </c>
      <c r="B2132" t="str">
        <f>"18734428812"</f>
        <v>18734428812</v>
      </c>
      <c r="C2132" t="str">
        <f>"140702199408307157"</f>
        <v>140702199408307157</v>
      </c>
      <c r="D2132" t="s">
        <v>3530</v>
      </c>
      <c r="E2132" t="s">
        <v>3531</v>
      </c>
      <c r="F2132" t="str">
        <f>"2018-11-28 12:48:23"</f>
        <v>2018-11-28 12:48:23</v>
      </c>
    </row>
    <row r="2133" spans="1:6" x14ac:dyDescent="0.3">
      <c r="A2133" t="s">
        <v>3532</v>
      </c>
      <c r="B2133" t="str">
        <f>"18638839092"</f>
        <v>18638839092</v>
      </c>
      <c r="C2133" t="str">
        <f>"410305197606220523"</f>
        <v>410305197606220523</v>
      </c>
      <c r="D2133" t="s">
        <v>3533</v>
      </c>
      <c r="E2133" t="s">
        <v>3534</v>
      </c>
      <c r="F2133" t="str">
        <f>"2018-11-28 12:47:38"</f>
        <v>2018-11-28 12:47:38</v>
      </c>
    </row>
    <row r="2134" spans="1:6" x14ac:dyDescent="0.3">
      <c r="A2134" t="s">
        <v>0</v>
      </c>
      <c r="B2134" t="str">
        <f>"15577574404"</f>
        <v>15577574404</v>
      </c>
      <c r="C2134" t="s">
        <v>0</v>
      </c>
      <c r="D2134" t="s">
        <v>0</v>
      </c>
      <c r="E2134" t="s">
        <v>0</v>
      </c>
      <c r="F2134" t="str">
        <f>"2018-11-28 12:45:35"</f>
        <v>2018-11-28 12:45:35</v>
      </c>
    </row>
    <row r="2135" spans="1:6" x14ac:dyDescent="0.3">
      <c r="A2135" t="s">
        <v>3535</v>
      </c>
      <c r="B2135" t="str">
        <f>"15198756107"</f>
        <v>15198756107</v>
      </c>
      <c r="C2135" t="str">
        <f>"530128199903282114"</f>
        <v>530128199903282114</v>
      </c>
      <c r="D2135" t="s">
        <v>3536</v>
      </c>
      <c r="E2135" t="s">
        <v>3537</v>
      </c>
      <c r="F2135" t="str">
        <f>"2018-11-28 12:43:19"</f>
        <v>2018-11-28 12:43:19</v>
      </c>
    </row>
    <row r="2136" spans="1:6" x14ac:dyDescent="0.3">
      <c r="A2136" t="s">
        <v>0</v>
      </c>
      <c r="B2136" t="str">
        <f>"13595098996"</f>
        <v>13595098996</v>
      </c>
      <c r="C2136" t="s">
        <v>0</v>
      </c>
      <c r="D2136" t="s">
        <v>0</v>
      </c>
      <c r="E2136" t="s">
        <v>0</v>
      </c>
      <c r="F2136" t="str">
        <f>"2018-11-28 12:43:07"</f>
        <v>2018-11-28 12:43:07</v>
      </c>
    </row>
    <row r="2137" spans="1:6" x14ac:dyDescent="0.3">
      <c r="A2137" t="s">
        <v>3538</v>
      </c>
      <c r="B2137" t="str">
        <f>"15648979553"</f>
        <v>15648979553</v>
      </c>
      <c r="C2137" t="str">
        <f>"130727200008092231"</f>
        <v>130727200008092231</v>
      </c>
      <c r="D2137" t="s">
        <v>0</v>
      </c>
      <c r="E2137" t="s">
        <v>0</v>
      </c>
      <c r="F2137" t="str">
        <f>"2018-11-28 12:42:22"</f>
        <v>2018-11-28 12:42:22</v>
      </c>
    </row>
    <row r="2138" spans="1:6" x14ac:dyDescent="0.3">
      <c r="A2138" t="s">
        <v>3539</v>
      </c>
      <c r="B2138" t="str">
        <f>"13551418592"</f>
        <v>13551418592</v>
      </c>
      <c r="C2138" t="str">
        <f>"513029196902090061"</f>
        <v>513029196902090061</v>
      </c>
      <c r="D2138" t="s">
        <v>3540</v>
      </c>
      <c r="E2138" t="s">
        <v>3541</v>
      </c>
      <c r="F2138" t="str">
        <f>"2018-11-28 12:41:21"</f>
        <v>2018-11-28 12:41:21</v>
      </c>
    </row>
    <row r="2139" spans="1:6" x14ac:dyDescent="0.3">
      <c r="A2139" t="s">
        <v>3542</v>
      </c>
      <c r="B2139" t="str">
        <f>"18758661976"</f>
        <v>18758661976</v>
      </c>
      <c r="C2139" t="str">
        <f>"332624198903082149"</f>
        <v>332624198903082149</v>
      </c>
      <c r="D2139" t="s">
        <v>0</v>
      </c>
      <c r="E2139" t="s">
        <v>0</v>
      </c>
      <c r="F2139" t="str">
        <f>"2018-11-28 12:40:25"</f>
        <v>2018-11-28 12:40:25</v>
      </c>
    </row>
    <row r="2140" spans="1:6" x14ac:dyDescent="0.3">
      <c r="A2140" t="s">
        <v>0</v>
      </c>
      <c r="B2140" t="str">
        <f>"17621345235"</f>
        <v>17621345235</v>
      </c>
      <c r="C2140" t="s">
        <v>0</v>
      </c>
      <c r="D2140" t="s">
        <v>0</v>
      </c>
      <c r="E2140" t="s">
        <v>0</v>
      </c>
      <c r="F2140" t="str">
        <f>"2018-11-28 12:38:31"</f>
        <v>2018-11-28 12:38:31</v>
      </c>
    </row>
    <row r="2141" spans="1:6" x14ac:dyDescent="0.3">
      <c r="A2141" t="s">
        <v>0</v>
      </c>
      <c r="B2141" t="str">
        <f>"13014937174"</f>
        <v>13014937174</v>
      </c>
      <c r="C2141" t="s">
        <v>0</v>
      </c>
      <c r="D2141" t="s">
        <v>0</v>
      </c>
      <c r="E2141" t="s">
        <v>0</v>
      </c>
      <c r="F2141" t="str">
        <f>"2018-11-28 12:37:38"</f>
        <v>2018-11-28 12:37:38</v>
      </c>
    </row>
    <row r="2142" spans="1:6" x14ac:dyDescent="0.3">
      <c r="A2142" t="s">
        <v>0</v>
      </c>
      <c r="B2142" t="str">
        <f>"15584571209"</f>
        <v>15584571209</v>
      </c>
      <c r="C2142" t="s">
        <v>0</v>
      </c>
      <c r="D2142" t="s">
        <v>0</v>
      </c>
      <c r="E2142" t="s">
        <v>0</v>
      </c>
      <c r="F2142" t="str">
        <f>"2018-11-28 12:36:59"</f>
        <v>2018-11-28 12:36:59</v>
      </c>
    </row>
    <row r="2143" spans="1:6" x14ac:dyDescent="0.3">
      <c r="A2143" t="s">
        <v>3543</v>
      </c>
      <c r="B2143" t="str">
        <f>"17868860048"</f>
        <v>17868860048</v>
      </c>
      <c r="C2143" t="str">
        <f>"610125199211193517"</f>
        <v>610125199211193517</v>
      </c>
      <c r="D2143" t="s">
        <v>0</v>
      </c>
      <c r="E2143" t="s">
        <v>0</v>
      </c>
      <c r="F2143" t="str">
        <f>"2018-11-28 12:36:33"</f>
        <v>2018-11-28 12:36:33</v>
      </c>
    </row>
    <row r="2144" spans="1:6" x14ac:dyDescent="0.3">
      <c r="A2144" t="s">
        <v>3544</v>
      </c>
      <c r="B2144" t="str">
        <f>"13868199664"</f>
        <v>13868199664</v>
      </c>
      <c r="C2144" t="str">
        <f>"330183198112164317"</f>
        <v>330183198112164317</v>
      </c>
      <c r="D2144" t="s">
        <v>3545</v>
      </c>
      <c r="E2144" t="s">
        <v>3546</v>
      </c>
      <c r="F2144" t="str">
        <f>"2018-11-28 12:36:21"</f>
        <v>2018-11-28 12:36:21</v>
      </c>
    </row>
    <row r="2145" spans="1:6" x14ac:dyDescent="0.3">
      <c r="A2145" t="s">
        <v>0</v>
      </c>
      <c r="B2145" t="str">
        <f>"18240461400"</f>
        <v>18240461400</v>
      </c>
      <c r="C2145" t="s">
        <v>0</v>
      </c>
      <c r="D2145" t="s">
        <v>0</v>
      </c>
      <c r="E2145" t="s">
        <v>0</v>
      </c>
      <c r="F2145" t="str">
        <f>"2018-11-28 12:36:14"</f>
        <v>2018-11-28 12:36:14</v>
      </c>
    </row>
    <row r="2146" spans="1:6" x14ac:dyDescent="0.3">
      <c r="A2146" t="s">
        <v>3547</v>
      </c>
      <c r="B2146" t="str">
        <f>"13599672510"</f>
        <v>13599672510</v>
      </c>
      <c r="C2146" t="str">
        <f>"350600199308273018"</f>
        <v>350600199308273018</v>
      </c>
      <c r="D2146" t="s">
        <v>3548</v>
      </c>
      <c r="E2146" t="s">
        <v>3549</v>
      </c>
      <c r="F2146" t="str">
        <f>"2018-11-28 12:36:13"</f>
        <v>2018-11-28 12:36:13</v>
      </c>
    </row>
    <row r="2147" spans="1:6" x14ac:dyDescent="0.3">
      <c r="A2147" t="s">
        <v>3550</v>
      </c>
      <c r="B2147" t="str">
        <f>"17860109206"</f>
        <v>17860109206</v>
      </c>
      <c r="C2147" t="str">
        <f>"371502198905207075"</f>
        <v>371502198905207075</v>
      </c>
      <c r="D2147" t="s">
        <v>3551</v>
      </c>
      <c r="E2147" t="s">
        <v>3552</v>
      </c>
      <c r="F2147" t="str">
        <f>"2018-11-28 12:36:10"</f>
        <v>2018-11-28 12:36:10</v>
      </c>
    </row>
    <row r="2148" spans="1:6" x14ac:dyDescent="0.3">
      <c r="A2148" t="s">
        <v>0</v>
      </c>
      <c r="B2148" t="str">
        <f>"13567714767"</f>
        <v>13567714767</v>
      </c>
      <c r="C2148" t="s">
        <v>0</v>
      </c>
      <c r="D2148" t="s">
        <v>0</v>
      </c>
      <c r="E2148" t="s">
        <v>0</v>
      </c>
      <c r="F2148" t="str">
        <f>"2018-11-28 12:33:53"</f>
        <v>2018-11-28 12:33:53</v>
      </c>
    </row>
    <row r="2149" spans="1:6" x14ac:dyDescent="0.3">
      <c r="A2149" t="s">
        <v>3553</v>
      </c>
      <c r="B2149" t="str">
        <f>"13826736644"</f>
        <v>13826736644</v>
      </c>
      <c r="C2149" t="str">
        <f>"441227197610060314"</f>
        <v>441227197610060314</v>
      </c>
      <c r="D2149" t="s">
        <v>3554</v>
      </c>
      <c r="E2149" t="s">
        <v>3555</v>
      </c>
      <c r="F2149" t="str">
        <f>"2018-11-28 12:33:08"</f>
        <v>2018-11-28 12:33:08</v>
      </c>
    </row>
    <row r="2150" spans="1:6" x14ac:dyDescent="0.3">
      <c r="A2150" t="s">
        <v>3556</v>
      </c>
      <c r="B2150" t="str">
        <f>"13404777727"</f>
        <v>13404777727</v>
      </c>
      <c r="C2150" t="str">
        <f>"220802198110160624"</f>
        <v>220802198110160624</v>
      </c>
      <c r="D2150" t="s">
        <v>3557</v>
      </c>
      <c r="E2150" t="s">
        <v>3558</v>
      </c>
      <c r="F2150" t="str">
        <f>"2018-11-28 12:31:30"</f>
        <v>2018-11-28 12:31:30</v>
      </c>
    </row>
    <row r="2151" spans="1:6" x14ac:dyDescent="0.3">
      <c r="A2151" t="s">
        <v>0</v>
      </c>
      <c r="B2151" t="str">
        <f>"13187706777"</f>
        <v>13187706777</v>
      </c>
      <c r="C2151" t="s">
        <v>0</v>
      </c>
      <c r="D2151" t="s">
        <v>0</v>
      </c>
      <c r="E2151" t="s">
        <v>0</v>
      </c>
      <c r="F2151" t="str">
        <f>"2018-11-28 12:31:29"</f>
        <v>2018-11-28 12:31:29</v>
      </c>
    </row>
    <row r="2152" spans="1:6" x14ac:dyDescent="0.3">
      <c r="A2152" t="s">
        <v>0</v>
      </c>
      <c r="B2152" t="str">
        <f>"13822451471"</f>
        <v>13822451471</v>
      </c>
      <c r="C2152" t="s">
        <v>0</v>
      </c>
      <c r="D2152" t="s">
        <v>0</v>
      </c>
      <c r="E2152" t="s">
        <v>0</v>
      </c>
      <c r="F2152" t="str">
        <f>"2018-11-28 12:25:01"</f>
        <v>2018-11-28 12:25:01</v>
      </c>
    </row>
    <row r="2153" spans="1:6" x14ac:dyDescent="0.3">
      <c r="A2153" t="s">
        <v>0</v>
      </c>
      <c r="B2153" t="str">
        <f>"15562621375"</f>
        <v>15562621375</v>
      </c>
      <c r="C2153" t="s">
        <v>0</v>
      </c>
      <c r="D2153" t="s">
        <v>0</v>
      </c>
      <c r="E2153" t="s">
        <v>0</v>
      </c>
      <c r="F2153" t="str">
        <f>"2018-11-28 12:24:52"</f>
        <v>2018-11-28 12:24:52</v>
      </c>
    </row>
    <row r="2154" spans="1:6" x14ac:dyDescent="0.3">
      <c r="A2154" t="s">
        <v>3559</v>
      </c>
      <c r="B2154" t="str">
        <f>"18093234410"</f>
        <v>18093234410</v>
      </c>
      <c r="C2154" t="str">
        <f>"622425198812145137"</f>
        <v>622425198812145137</v>
      </c>
      <c r="D2154" t="s">
        <v>3560</v>
      </c>
      <c r="E2154" t="s">
        <v>3561</v>
      </c>
      <c r="F2154" t="str">
        <f>"2018-11-28 12:24:20"</f>
        <v>2018-11-28 12:24:20</v>
      </c>
    </row>
    <row r="2155" spans="1:6" x14ac:dyDescent="0.3">
      <c r="A2155" t="s">
        <v>0</v>
      </c>
      <c r="B2155" t="str">
        <f>"15829669338"</f>
        <v>15829669338</v>
      </c>
      <c r="C2155" t="s">
        <v>0</v>
      </c>
      <c r="D2155" t="s">
        <v>0</v>
      </c>
      <c r="E2155" t="s">
        <v>0</v>
      </c>
      <c r="F2155" t="str">
        <f>"2018-11-28 12:21:48"</f>
        <v>2018-11-28 12:21:48</v>
      </c>
    </row>
    <row r="2156" spans="1:6" x14ac:dyDescent="0.3">
      <c r="A2156" t="s">
        <v>3562</v>
      </c>
      <c r="B2156" t="str">
        <f>"18267447015"</f>
        <v>18267447015</v>
      </c>
      <c r="C2156" t="str">
        <f>"452230198610191010"</f>
        <v>452230198610191010</v>
      </c>
      <c r="D2156" t="s">
        <v>3563</v>
      </c>
      <c r="E2156" t="s">
        <v>3564</v>
      </c>
      <c r="F2156" t="str">
        <f>"2018-11-28 12:20:09"</f>
        <v>2018-11-28 12:20:09</v>
      </c>
    </row>
    <row r="2157" spans="1:6" x14ac:dyDescent="0.3">
      <c r="A2157" t="s">
        <v>3565</v>
      </c>
      <c r="B2157" t="str">
        <f>"17718583286"</f>
        <v>17718583286</v>
      </c>
      <c r="C2157" t="str">
        <f>"513023196410224010"</f>
        <v>513023196410224010</v>
      </c>
      <c r="D2157" t="s">
        <v>0</v>
      </c>
      <c r="E2157" t="s">
        <v>0</v>
      </c>
      <c r="F2157" t="str">
        <f>"2018-11-28 12:18:57"</f>
        <v>2018-11-28 12:18:57</v>
      </c>
    </row>
    <row r="2158" spans="1:6" x14ac:dyDescent="0.3">
      <c r="A2158" t="s">
        <v>2206</v>
      </c>
      <c r="B2158" t="str">
        <f>"13085965678"</f>
        <v>13085965678</v>
      </c>
      <c r="C2158" t="str">
        <f>"622101198711080744"</f>
        <v>622101198711080744</v>
      </c>
      <c r="D2158" t="s">
        <v>3566</v>
      </c>
      <c r="E2158" t="s">
        <v>3567</v>
      </c>
      <c r="F2158" t="str">
        <f>"2018-11-28 12:17:59"</f>
        <v>2018-11-28 12:17:59</v>
      </c>
    </row>
    <row r="2159" spans="1:6" x14ac:dyDescent="0.3">
      <c r="A2159" t="s">
        <v>0</v>
      </c>
      <c r="B2159" t="str">
        <f>"13752960076"</f>
        <v>13752960076</v>
      </c>
      <c r="C2159" t="s">
        <v>0</v>
      </c>
      <c r="D2159" t="s">
        <v>0</v>
      </c>
      <c r="E2159" t="s">
        <v>0</v>
      </c>
      <c r="F2159" t="str">
        <f>"2018-11-28 12:17:12"</f>
        <v>2018-11-28 12:17:12</v>
      </c>
    </row>
    <row r="2160" spans="1:6" x14ac:dyDescent="0.3">
      <c r="A2160" t="s">
        <v>3568</v>
      </c>
      <c r="B2160" t="str">
        <f>"18698337096"</f>
        <v>18698337096</v>
      </c>
      <c r="C2160" t="str">
        <f>"350600198604273552"</f>
        <v>350600198604273552</v>
      </c>
      <c r="D2160" t="s">
        <v>3569</v>
      </c>
      <c r="E2160" t="s">
        <v>3570</v>
      </c>
      <c r="F2160" t="str">
        <f>"2018-11-28 12:16:40"</f>
        <v>2018-11-28 12:16:40</v>
      </c>
    </row>
    <row r="2161" spans="1:6" x14ac:dyDescent="0.3">
      <c r="A2161" t="s">
        <v>0</v>
      </c>
      <c r="B2161" t="str">
        <f>"15927149081"</f>
        <v>15927149081</v>
      </c>
      <c r="C2161" t="s">
        <v>0</v>
      </c>
      <c r="D2161" t="s">
        <v>0</v>
      </c>
      <c r="E2161" t="s">
        <v>0</v>
      </c>
      <c r="F2161" t="str">
        <f>"2018-11-28 12:16:16"</f>
        <v>2018-11-28 12:16:16</v>
      </c>
    </row>
    <row r="2162" spans="1:6" x14ac:dyDescent="0.3">
      <c r="A2162" t="s">
        <v>3571</v>
      </c>
      <c r="B2162" t="str">
        <f>"15188655394"</f>
        <v>15188655394</v>
      </c>
      <c r="C2162" t="str">
        <f>"130681198202013616"</f>
        <v>130681198202013616</v>
      </c>
      <c r="D2162" t="s">
        <v>3572</v>
      </c>
      <c r="E2162" t="s">
        <v>3573</v>
      </c>
      <c r="F2162" t="str">
        <f>"2018-11-28 12:14:23"</f>
        <v>2018-11-28 12:14:23</v>
      </c>
    </row>
    <row r="2163" spans="1:6" x14ac:dyDescent="0.3">
      <c r="A2163" t="s">
        <v>0</v>
      </c>
      <c r="B2163" t="str">
        <f>"17678073714"</f>
        <v>17678073714</v>
      </c>
      <c r="C2163" t="s">
        <v>0</v>
      </c>
      <c r="D2163" t="s">
        <v>0</v>
      </c>
      <c r="E2163" t="s">
        <v>0</v>
      </c>
      <c r="F2163" t="str">
        <f>"2018-11-28 12:12:41"</f>
        <v>2018-11-28 12:12:41</v>
      </c>
    </row>
    <row r="2164" spans="1:6" x14ac:dyDescent="0.3">
      <c r="A2164" t="s">
        <v>0</v>
      </c>
      <c r="B2164" t="str">
        <f>"15941426081"</f>
        <v>15941426081</v>
      </c>
      <c r="C2164" t="s">
        <v>0</v>
      </c>
      <c r="D2164" t="s">
        <v>0</v>
      </c>
      <c r="E2164" t="s">
        <v>0</v>
      </c>
      <c r="F2164" t="str">
        <f>"2018-11-28 12:11:39"</f>
        <v>2018-11-28 12:11:39</v>
      </c>
    </row>
    <row r="2165" spans="1:6" x14ac:dyDescent="0.3">
      <c r="A2165" t="s">
        <v>3574</v>
      </c>
      <c r="B2165" t="str">
        <f>"15905825050"</f>
        <v>15905825050</v>
      </c>
      <c r="C2165" t="str">
        <f>"330522199002211315"</f>
        <v>330522199002211315</v>
      </c>
      <c r="D2165" t="s">
        <v>3575</v>
      </c>
      <c r="E2165" t="s">
        <v>3576</v>
      </c>
      <c r="F2165" t="str">
        <f>"2018-11-28 12:10:22"</f>
        <v>2018-11-28 12:10:22</v>
      </c>
    </row>
    <row r="2166" spans="1:6" x14ac:dyDescent="0.3">
      <c r="A2166" t="s">
        <v>3577</v>
      </c>
      <c r="B2166" t="str">
        <f>"13250335238"</f>
        <v>13250335238</v>
      </c>
      <c r="C2166" t="str">
        <f>"440582198904092359"</f>
        <v>440582198904092359</v>
      </c>
      <c r="D2166" t="s">
        <v>0</v>
      </c>
      <c r="E2166" t="s">
        <v>0</v>
      </c>
      <c r="F2166" t="str">
        <f>"2018-11-28 12:09:15"</f>
        <v>2018-11-28 12:09:15</v>
      </c>
    </row>
    <row r="2167" spans="1:6" x14ac:dyDescent="0.3">
      <c r="A2167" t="s">
        <v>3578</v>
      </c>
      <c r="B2167" t="str">
        <f>"13686242803"</f>
        <v>13686242803</v>
      </c>
      <c r="C2167" t="str">
        <f>"431024198408053631"</f>
        <v>431024198408053631</v>
      </c>
      <c r="D2167" t="s">
        <v>3579</v>
      </c>
      <c r="E2167" t="s">
        <v>3580</v>
      </c>
      <c r="F2167" t="str">
        <f>"2018-11-28 12:08:59"</f>
        <v>2018-11-28 12:08:59</v>
      </c>
    </row>
    <row r="2168" spans="1:6" x14ac:dyDescent="0.3">
      <c r="A2168" t="s">
        <v>3581</v>
      </c>
      <c r="B2168" t="str">
        <f>"18656110427"</f>
        <v>18656110427</v>
      </c>
      <c r="C2168" t="str">
        <f>"340603198904270625"</f>
        <v>340603198904270625</v>
      </c>
      <c r="D2168" t="s">
        <v>0</v>
      </c>
      <c r="E2168" t="s">
        <v>0</v>
      </c>
      <c r="F2168" t="str">
        <f>"2018-11-28 12:08:45"</f>
        <v>2018-11-28 12:08:45</v>
      </c>
    </row>
    <row r="2169" spans="1:6" x14ac:dyDescent="0.3">
      <c r="A2169" t="s">
        <v>3582</v>
      </c>
      <c r="B2169" t="str">
        <f>"15955184412"</f>
        <v>15955184412</v>
      </c>
      <c r="C2169" t="str">
        <f>"340311199504063510"</f>
        <v>340311199504063510</v>
      </c>
      <c r="D2169" t="s">
        <v>3583</v>
      </c>
      <c r="E2169" t="s">
        <v>3584</v>
      </c>
      <c r="F2169" t="str">
        <f>"2018-11-28 12:06:38"</f>
        <v>2018-11-28 12:06:38</v>
      </c>
    </row>
    <row r="2170" spans="1:6" x14ac:dyDescent="0.3">
      <c r="A2170" t="s">
        <v>3585</v>
      </c>
      <c r="B2170" t="str">
        <f>"15914534601"</f>
        <v>15914534601</v>
      </c>
      <c r="C2170" t="str">
        <f>"440183198808070031"</f>
        <v>440183198808070031</v>
      </c>
      <c r="D2170" t="s">
        <v>3586</v>
      </c>
      <c r="E2170" t="s">
        <v>3587</v>
      </c>
      <c r="F2170" t="str">
        <f>"2018-11-28 12:04:55"</f>
        <v>2018-11-28 12:04:55</v>
      </c>
    </row>
    <row r="2171" spans="1:6" x14ac:dyDescent="0.3">
      <c r="A2171" t="s">
        <v>3588</v>
      </c>
      <c r="B2171" t="str">
        <f>"15604948025"</f>
        <v>15604948025</v>
      </c>
      <c r="C2171" t="str">
        <f>"210921198910264037"</f>
        <v>210921198910264037</v>
      </c>
      <c r="D2171" t="s">
        <v>0</v>
      </c>
      <c r="E2171" t="s">
        <v>0</v>
      </c>
      <c r="F2171" t="str">
        <f>"2018-11-28 12:04:53"</f>
        <v>2018-11-28 12:04:53</v>
      </c>
    </row>
    <row r="2172" spans="1:6" x14ac:dyDescent="0.3">
      <c r="A2172" t="s">
        <v>3589</v>
      </c>
      <c r="B2172" t="str">
        <f>"18865224876"</f>
        <v>18865224876</v>
      </c>
      <c r="C2172" t="str">
        <f>"371581199707162419"</f>
        <v>371581199707162419</v>
      </c>
      <c r="D2172" t="s">
        <v>3590</v>
      </c>
      <c r="E2172" t="s">
        <v>3591</v>
      </c>
      <c r="F2172" t="str">
        <f>"2018-11-28 12:04:38"</f>
        <v>2018-11-28 12:04:38</v>
      </c>
    </row>
    <row r="2173" spans="1:6" x14ac:dyDescent="0.3">
      <c r="A2173" t="s">
        <v>3592</v>
      </c>
      <c r="B2173" t="str">
        <f>"18289390031"</f>
        <v>18289390031</v>
      </c>
      <c r="C2173" t="str">
        <f>"460006198603055212"</f>
        <v>460006198603055212</v>
      </c>
      <c r="D2173" t="s">
        <v>3593</v>
      </c>
      <c r="E2173" t="s">
        <v>3594</v>
      </c>
      <c r="F2173" t="str">
        <f>"2018-11-28 12:03:24"</f>
        <v>2018-11-28 12:03:24</v>
      </c>
    </row>
    <row r="2174" spans="1:6" x14ac:dyDescent="0.3">
      <c r="A2174" t="s">
        <v>3595</v>
      </c>
      <c r="B2174" t="str">
        <f>"13371686700"</f>
        <v>13371686700</v>
      </c>
      <c r="C2174" t="str">
        <f>"110101198001150013"</f>
        <v>110101198001150013</v>
      </c>
      <c r="D2174" t="s">
        <v>3596</v>
      </c>
      <c r="E2174" t="s">
        <v>3597</v>
      </c>
      <c r="F2174" t="str">
        <f>"2018-11-28 12:03:18"</f>
        <v>2018-11-28 12:03:18</v>
      </c>
    </row>
    <row r="2175" spans="1:6" x14ac:dyDescent="0.3">
      <c r="A2175" t="s">
        <v>0</v>
      </c>
      <c r="B2175" t="str">
        <f>"13377752771"</f>
        <v>13377752771</v>
      </c>
      <c r="C2175" t="s">
        <v>0</v>
      </c>
      <c r="D2175" t="s">
        <v>0</v>
      </c>
      <c r="E2175" t="s">
        <v>0</v>
      </c>
      <c r="F2175" t="str">
        <f>"2018-11-28 12:02:46"</f>
        <v>2018-11-28 12:02:46</v>
      </c>
    </row>
    <row r="2176" spans="1:6" x14ac:dyDescent="0.3">
      <c r="A2176" t="s">
        <v>0</v>
      </c>
      <c r="B2176" t="str">
        <f>"13615878285"</f>
        <v>13615878285</v>
      </c>
      <c r="C2176" t="s">
        <v>0</v>
      </c>
      <c r="D2176" t="s">
        <v>0</v>
      </c>
      <c r="E2176" t="s">
        <v>0</v>
      </c>
      <c r="F2176" t="str">
        <f>"2018-11-28 11:56:31"</f>
        <v>2018-11-28 11:56:31</v>
      </c>
    </row>
    <row r="2177" spans="1:6" x14ac:dyDescent="0.3">
      <c r="A2177" t="s">
        <v>0</v>
      </c>
      <c r="B2177" t="str">
        <f>"18605062888"</f>
        <v>18605062888</v>
      </c>
      <c r="C2177" t="s">
        <v>0</v>
      </c>
      <c r="D2177" t="s">
        <v>0</v>
      </c>
      <c r="E2177" t="s">
        <v>0</v>
      </c>
      <c r="F2177" t="str">
        <f>"2018-11-28 11:56:14"</f>
        <v>2018-11-28 11:56:14</v>
      </c>
    </row>
    <row r="2178" spans="1:6" x14ac:dyDescent="0.3">
      <c r="A2178" t="s">
        <v>3598</v>
      </c>
      <c r="B2178" t="str">
        <f>"15193412890"</f>
        <v>15193412890</v>
      </c>
      <c r="C2178" t="str">
        <f>"622201199308182724"</f>
        <v>622201199308182724</v>
      </c>
      <c r="D2178" t="s">
        <v>3599</v>
      </c>
      <c r="E2178" t="s">
        <v>3600</v>
      </c>
      <c r="F2178" t="str">
        <f>"2018-11-28 11:55:54"</f>
        <v>2018-11-28 11:55:54</v>
      </c>
    </row>
    <row r="2179" spans="1:6" x14ac:dyDescent="0.3">
      <c r="A2179" t="s">
        <v>3601</v>
      </c>
      <c r="B2179" t="str">
        <f>"15582356567"</f>
        <v>15582356567</v>
      </c>
      <c r="C2179" t="str">
        <f>"14032219890217757X"</f>
        <v>14032219890217757X</v>
      </c>
      <c r="D2179" t="s">
        <v>0</v>
      </c>
      <c r="E2179" t="s">
        <v>0</v>
      </c>
      <c r="F2179" t="str">
        <f>"2018-11-28 11:51:03"</f>
        <v>2018-11-28 11:51:03</v>
      </c>
    </row>
    <row r="2180" spans="1:6" x14ac:dyDescent="0.3">
      <c r="A2180" t="s">
        <v>3602</v>
      </c>
      <c r="B2180" t="str">
        <f>"13615813225"</f>
        <v>13615813225</v>
      </c>
      <c r="C2180" t="str">
        <f>"339005198610126712"</f>
        <v>339005198610126712</v>
      </c>
      <c r="D2180" t="s">
        <v>3603</v>
      </c>
      <c r="E2180" t="s">
        <v>3604</v>
      </c>
      <c r="F2180" t="str">
        <f>"2018-11-28 11:50:53"</f>
        <v>2018-11-28 11:50:53</v>
      </c>
    </row>
    <row r="2181" spans="1:6" x14ac:dyDescent="0.3">
      <c r="A2181" t="s">
        <v>0</v>
      </c>
      <c r="B2181" t="str">
        <f>"18369875976"</f>
        <v>18369875976</v>
      </c>
      <c r="C2181" t="s">
        <v>0</v>
      </c>
      <c r="D2181" t="s">
        <v>0</v>
      </c>
      <c r="E2181" t="s">
        <v>0</v>
      </c>
      <c r="F2181" t="str">
        <f>"2018-11-28 11:49:30"</f>
        <v>2018-11-28 11:49:30</v>
      </c>
    </row>
    <row r="2182" spans="1:6" x14ac:dyDescent="0.3">
      <c r="A2182" t="s">
        <v>3605</v>
      </c>
      <c r="B2182" t="str">
        <f>"13893047437"</f>
        <v>13893047437</v>
      </c>
      <c r="C2182" t="str">
        <f>"620421199607033635"</f>
        <v>620421199607033635</v>
      </c>
      <c r="D2182" t="s">
        <v>0</v>
      </c>
      <c r="E2182" t="s">
        <v>0</v>
      </c>
      <c r="F2182" t="str">
        <f>"2018-11-28 11:49:21"</f>
        <v>2018-11-28 11:49:21</v>
      </c>
    </row>
    <row r="2183" spans="1:6" x14ac:dyDescent="0.3">
      <c r="A2183" t="s">
        <v>0</v>
      </c>
      <c r="B2183" t="str">
        <f>"15767689753"</f>
        <v>15767689753</v>
      </c>
      <c r="C2183" t="s">
        <v>0</v>
      </c>
      <c r="D2183" t="s">
        <v>0</v>
      </c>
      <c r="E2183" t="s">
        <v>0</v>
      </c>
      <c r="F2183" t="str">
        <f>"2018-11-28 11:49:17"</f>
        <v>2018-11-28 11:49:17</v>
      </c>
    </row>
    <row r="2184" spans="1:6" x14ac:dyDescent="0.3">
      <c r="A2184" t="s">
        <v>3606</v>
      </c>
      <c r="B2184" t="str">
        <f>"15934463554"</f>
        <v>15934463554</v>
      </c>
      <c r="C2184" t="str">
        <f>"142602199407042528"</f>
        <v>142602199407042528</v>
      </c>
      <c r="D2184" t="s">
        <v>0</v>
      </c>
      <c r="E2184" t="s">
        <v>0</v>
      </c>
      <c r="F2184" t="str">
        <f>"2018-11-28 11:48:25"</f>
        <v>2018-11-28 11:48:25</v>
      </c>
    </row>
    <row r="2185" spans="1:6" x14ac:dyDescent="0.3">
      <c r="A2185" t="s">
        <v>0</v>
      </c>
      <c r="B2185" t="str">
        <f>"13536514817"</f>
        <v>13536514817</v>
      </c>
      <c r="C2185" t="s">
        <v>0</v>
      </c>
      <c r="D2185" t="s">
        <v>0</v>
      </c>
      <c r="E2185" t="s">
        <v>0</v>
      </c>
      <c r="F2185" t="str">
        <f>"2018-11-28 11:48:20"</f>
        <v>2018-11-28 11:48:20</v>
      </c>
    </row>
    <row r="2186" spans="1:6" x14ac:dyDescent="0.3">
      <c r="A2186" t="s">
        <v>3607</v>
      </c>
      <c r="B2186" t="str">
        <f>"15062468119"</f>
        <v>15062468119</v>
      </c>
      <c r="C2186" t="str">
        <f>"320586198612150535"</f>
        <v>320586198612150535</v>
      </c>
      <c r="D2186" t="s">
        <v>3608</v>
      </c>
      <c r="E2186" t="s">
        <v>3609</v>
      </c>
      <c r="F2186" t="str">
        <f>"2018-11-28 11:47:30"</f>
        <v>2018-11-28 11:47:30</v>
      </c>
    </row>
    <row r="2187" spans="1:6" x14ac:dyDescent="0.3">
      <c r="A2187" t="s">
        <v>3610</v>
      </c>
      <c r="B2187" t="str">
        <f>"13002776583"</f>
        <v>13002776583</v>
      </c>
      <c r="C2187" t="str">
        <f>"370982199701151628"</f>
        <v>370982199701151628</v>
      </c>
      <c r="D2187" t="s">
        <v>0</v>
      </c>
      <c r="E2187" t="s">
        <v>0</v>
      </c>
      <c r="F2187" t="str">
        <f>"2018-11-28 11:46:46"</f>
        <v>2018-11-28 11:46:46</v>
      </c>
    </row>
    <row r="2188" spans="1:6" x14ac:dyDescent="0.3">
      <c r="A2188" t="s">
        <v>3611</v>
      </c>
      <c r="B2188" t="str">
        <f>"13858545214"</f>
        <v>13858545214</v>
      </c>
      <c r="C2188" t="str">
        <f>"330682198410260412"</f>
        <v>330682198410260412</v>
      </c>
      <c r="D2188" t="s">
        <v>3612</v>
      </c>
      <c r="E2188" t="s">
        <v>3613</v>
      </c>
      <c r="F2188" t="str">
        <f>"2018-11-28 11:45:37"</f>
        <v>2018-11-28 11:45:37</v>
      </c>
    </row>
    <row r="2189" spans="1:6" x14ac:dyDescent="0.3">
      <c r="A2189" t="s">
        <v>0</v>
      </c>
      <c r="B2189" t="str">
        <f>"13546415801"</f>
        <v>13546415801</v>
      </c>
      <c r="C2189" t="s">
        <v>0</v>
      </c>
      <c r="D2189" t="s">
        <v>0</v>
      </c>
      <c r="E2189" t="s">
        <v>0</v>
      </c>
      <c r="F2189" t="str">
        <f>"2018-11-28 11:45:25"</f>
        <v>2018-11-28 11:45:25</v>
      </c>
    </row>
    <row r="2190" spans="1:6" x14ac:dyDescent="0.3">
      <c r="A2190" t="s">
        <v>0</v>
      </c>
      <c r="B2190" t="str">
        <f>"18219070925"</f>
        <v>18219070925</v>
      </c>
      <c r="C2190" t="s">
        <v>0</v>
      </c>
      <c r="D2190" t="s">
        <v>0</v>
      </c>
      <c r="E2190" t="s">
        <v>0</v>
      </c>
      <c r="F2190" t="str">
        <f>"2018-11-28 11:44:42"</f>
        <v>2018-11-28 11:44:42</v>
      </c>
    </row>
    <row r="2191" spans="1:6" x14ac:dyDescent="0.3">
      <c r="A2191" t="s">
        <v>3614</v>
      </c>
      <c r="B2191" t="str">
        <f>"18725724622"</f>
        <v>18725724622</v>
      </c>
      <c r="C2191" t="str">
        <f>"500113198802149416"</f>
        <v>500113198802149416</v>
      </c>
      <c r="D2191" t="s">
        <v>3615</v>
      </c>
      <c r="E2191" t="s">
        <v>3616</v>
      </c>
      <c r="F2191" t="str">
        <f>"2018-11-28 11:44:20"</f>
        <v>2018-11-28 11:44:20</v>
      </c>
    </row>
    <row r="2192" spans="1:6" x14ac:dyDescent="0.3">
      <c r="A2192" t="s">
        <v>0</v>
      </c>
      <c r="B2192" t="str">
        <f>"13911770594"</f>
        <v>13911770594</v>
      </c>
      <c r="C2192" t="s">
        <v>0</v>
      </c>
      <c r="D2192" t="s">
        <v>0</v>
      </c>
      <c r="E2192" t="s">
        <v>0</v>
      </c>
      <c r="F2192" t="str">
        <f>"2018-11-28 11:42:25"</f>
        <v>2018-11-28 11:42:25</v>
      </c>
    </row>
    <row r="2193" spans="1:6" x14ac:dyDescent="0.3">
      <c r="A2193" t="s">
        <v>3617</v>
      </c>
      <c r="B2193" t="str">
        <f>"15766550084"</f>
        <v>15766550084</v>
      </c>
      <c r="C2193" t="str">
        <f>"441802198808143027"</f>
        <v>441802198808143027</v>
      </c>
      <c r="D2193" t="s">
        <v>3618</v>
      </c>
      <c r="E2193" t="s">
        <v>3619</v>
      </c>
      <c r="F2193" t="str">
        <f>"2018-11-28 11:42:00"</f>
        <v>2018-11-28 11:42:00</v>
      </c>
    </row>
    <row r="2194" spans="1:6" x14ac:dyDescent="0.3">
      <c r="A2194" t="s">
        <v>3620</v>
      </c>
      <c r="B2194" t="str">
        <f>"15287500024"</f>
        <v>15287500024</v>
      </c>
      <c r="C2194" t="str">
        <f>"532929199809241748"</f>
        <v>532929199809241748</v>
      </c>
      <c r="D2194" t="s">
        <v>3621</v>
      </c>
      <c r="E2194" t="s">
        <v>3622</v>
      </c>
      <c r="F2194" t="str">
        <f>"2018-11-28 11:37:57"</f>
        <v>2018-11-28 11:37:57</v>
      </c>
    </row>
    <row r="2195" spans="1:6" x14ac:dyDescent="0.3">
      <c r="A2195" t="s">
        <v>0</v>
      </c>
      <c r="B2195" t="str">
        <f>"18194083731"</f>
        <v>18194083731</v>
      </c>
      <c r="C2195" t="s">
        <v>0</v>
      </c>
      <c r="D2195" t="s">
        <v>0</v>
      </c>
      <c r="E2195" t="s">
        <v>0</v>
      </c>
      <c r="F2195" t="str">
        <f>"2018-11-28 11:35:08"</f>
        <v>2018-11-28 11:35:08</v>
      </c>
    </row>
    <row r="2196" spans="1:6" x14ac:dyDescent="0.3">
      <c r="A2196" t="s">
        <v>3623</v>
      </c>
      <c r="B2196" t="str">
        <f>"15163612486"</f>
        <v>15163612486</v>
      </c>
      <c r="C2196" t="str">
        <f>"37078619850308361X"</f>
        <v>37078619850308361X</v>
      </c>
      <c r="D2196" t="s">
        <v>3624</v>
      </c>
      <c r="E2196" t="s">
        <v>3625</v>
      </c>
      <c r="F2196" t="str">
        <f>"2018-11-28 11:33:12"</f>
        <v>2018-11-28 11:33:12</v>
      </c>
    </row>
    <row r="2197" spans="1:6" x14ac:dyDescent="0.3">
      <c r="A2197" t="s">
        <v>0</v>
      </c>
      <c r="B2197" t="str">
        <f>"15659289879"</f>
        <v>15659289879</v>
      </c>
      <c r="C2197" t="s">
        <v>0</v>
      </c>
      <c r="D2197" t="s">
        <v>0</v>
      </c>
      <c r="E2197" t="s">
        <v>0</v>
      </c>
      <c r="F2197" t="str">
        <f>"2018-11-28 11:32:42"</f>
        <v>2018-11-28 11:32:42</v>
      </c>
    </row>
    <row r="2198" spans="1:6" x14ac:dyDescent="0.3">
      <c r="A2198" t="s">
        <v>3626</v>
      </c>
      <c r="B2198" t="str">
        <f>"18777780201"</f>
        <v>18777780201</v>
      </c>
      <c r="C2198" t="str">
        <f>"450722198702150473"</f>
        <v>450722198702150473</v>
      </c>
      <c r="D2198" t="s">
        <v>3627</v>
      </c>
      <c r="E2198" t="s">
        <v>3628</v>
      </c>
      <c r="F2198" t="str">
        <f>"2018-11-28 11:31:58"</f>
        <v>2018-11-28 11:31:58</v>
      </c>
    </row>
    <row r="2199" spans="1:6" x14ac:dyDescent="0.3">
      <c r="A2199" t="s">
        <v>3629</v>
      </c>
      <c r="B2199" t="str">
        <f>"13159017878"</f>
        <v>13159017878</v>
      </c>
      <c r="C2199" t="str">
        <f>"350583198308268316"</f>
        <v>350583198308268316</v>
      </c>
      <c r="D2199" t="s">
        <v>3630</v>
      </c>
      <c r="E2199" t="s">
        <v>3630</v>
      </c>
      <c r="F2199" t="str">
        <f>"2018-11-28 11:31:12"</f>
        <v>2018-11-28 11:31:12</v>
      </c>
    </row>
    <row r="2200" spans="1:6" x14ac:dyDescent="0.3">
      <c r="A2200" t="s">
        <v>0</v>
      </c>
      <c r="B2200" t="str">
        <f>"13250785130"</f>
        <v>13250785130</v>
      </c>
      <c r="C2200" t="s">
        <v>0</v>
      </c>
      <c r="D2200" t="s">
        <v>0</v>
      </c>
      <c r="E2200" t="s">
        <v>0</v>
      </c>
      <c r="F2200" t="str">
        <f>"2018-11-28 11:30:21"</f>
        <v>2018-11-28 11:30:21</v>
      </c>
    </row>
    <row r="2201" spans="1:6" x14ac:dyDescent="0.3">
      <c r="A2201" t="s">
        <v>137</v>
      </c>
      <c r="B2201" t="str">
        <f>"17606450121"</f>
        <v>17606450121</v>
      </c>
      <c r="C2201" t="str">
        <f>"370627198202222414"</f>
        <v>370627198202222414</v>
      </c>
      <c r="D2201" t="s">
        <v>3631</v>
      </c>
      <c r="E2201" t="s">
        <v>3632</v>
      </c>
      <c r="F2201" t="str">
        <f>"2018-11-28 11:29:53"</f>
        <v>2018-11-28 11:29:53</v>
      </c>
    </row>
    <row r="2202" spans="1:6" x14ac:dyDescent="0.3">
      <c r="A2202" t="s">
        <v>3633</v>
      </c>
      <c r="B2202" t="str">
        <f>"13087611444"</f>
        <v>13087611444</v>
      </c>
      <c r="C2202" t="str">
        <f>"610526199401202515"</f>
        <v>610526199401202515</v>
      </c>
      <c r="D2202" t="s">
        <v>3634</v>
      </c>
      <c r="E2202" t="s">
        <v>3635</v>
      </c>
      <c r="F2202" t="str">
        <f>"2018-11-28 11:28:28"</f>
        <v>2018-11-28 11:28:28</v>
      </c>
    </row>
    <row r="2203" spans="1:6" x14ac:dyDescent="0.3">
      <c r="A2203" t="s">
        <v>0</v>
      </c>
      <c r="B2203" t="str">
        <f>"18065296002"</f>
        <v>18065296002</v>
      </c>
      <c r="C2203" t="s">
        <v>0</v>
      </c>
      <c r="D2203" t="s">
        <v>0</v>
      </c>
      <c r="E2203" t="s">
        <v>0</v>
      </c>
      <c r="F2203" t="str">
        <f>"2018-11-28 11:28:07"</f>
        <v>2018-11-28 11:28:07</v>
      </c>
    </row>
    <row r="2204" spans="1:6" x14ac:dyDescent="0.3">
      <c r="A2204" t="s">
        <v>0</v>
      </c>
      <c r="B2204" t="str">
        <f>"18673210400"</f>
        <v>18673210400</v>
      </c>
      <c r="C2204" t="s">
        <v>0</v>
      </c>
      <c r="D2204" t="s">
        <v>0</v>
      </c>
      <c r="E2204" t="s">
        <v>0</v>
      </c>
      <c r="F2204" t="str">
        <f>"2018-11-28 11:28:06"</f>
        <v>2018-11-28 11:28:06</v>
      </c>
    </row>
    <row r="2205" spans="1:6" x14ac:dyDescent="0.3">
      <c r="A2205" t="s">
        <v>3636</v>
      </c>
      <c r="B2205" t="str">
        <f>"13728259918"</f>
        <v>13728259918</v>
      </c>
      <c r="C2205" t="str">
        <f>"440982198212215671"</f>
        <v>440982198212215671</v>
      </c>
      <c r="D2205" t="s">
        <v>0</v>
      </c>
      <c r="E2205" t="s">
        <v>0</v>
      </c>
      <c r="F2205" t="str">
        <f>"2018-11-28 11:21:19"</f>
        <v>2018-11-28 11:21:19</v>
      </c>
    </row>
    <row r="2206" spans="1:6" x14ac:dyDescent="0.3">
      <c r="A2206" t="s">
        <v>0</v>
      </c>
      <c r="B2206" t="str">
        <f>"15921507019"</f>
        <v>15921507019</v>
      </c>
      <c r="C2206" t="s">
        <v>0</v>
      </c>
      <c r="D2206" t="s">
        <v>0</v>
      </c>
      <c r="E2206" t="s">
        <v>0</v>
      </c>
      <c r="F2206" t="str">
        <f>"2018-11-28 11:20:06"</f>
        <v>2018-11-28 11:20:06</v>
      </c>
    </row>
    <row r="2207" spans="1:6" x14ac:dyDescent="0.3">
      <c r="A2207" t="s">
        <v>3637</v>
      </c>
      <c r="B2207" t="str">
        <f>"13255358606"</f>
        <v>13255358606</v>
      </c>
      <c r="C2207" t="str">
        <f>"370683199004162612"</f>
        <v>370683199004162612</v>
      </c>
      <c r="D2207" t="s">
        <v>3638</v>
      </c>
      <c r="E2207" t="s">
        <v>3639</v>
      </c>
      <c r="F2207" t="str">
        <f>"2018-11-28 11:19:24"</f>
        <v>2018-11-28 11:19:24</v>
      </c>
    </row>
    <row r="2208" spans="1:6" x14ac:dyDescent="0.3">
      <c r="A2208" t="s">
        <v>3640</v>
      </c>
      <c r="B2208" t="str">
        <f>"18242642737"</f>
        <v>18242642737</v>
      </c>
      <c r="C2208" t="str">
        <f>"211203199708150524"</f>
        <v>211203199708150524</v>
      </c>
      <c r="D2208" t="s">
        <v>3641</v>
      </c>
      <c r="E2208" t="s">
        <v>3642</v>
      </c>
      <c r="F2208" t="str">
        <f>"2018-11-28 11:16:51"</f>
        <v>2018-11-28 11:16:51</v>
      </c>
    </row>
    <row r="2209" spans="1:6" x14ac:dyDescent="0.3">
      <c r="A2209" t="s">
        <v>3643</v>
      </c>
      <c r="B2209" t="str">
        <f>"13814262615"</f>
        <v>13814262615</v>
      </c>
      <c r="C2209" t="str">
        <f>"320202198811124053"</f>
        <v>320202198811124053</v>
      </c>
      <c r="D2209" t="s">
        <v>3644</v>
      </c>
      <c r="E2209" t="s">
        <v>3645</v>
      </c>
      <c r="F2209" t="str">
        <f>"2018-11-28 11:16:33"</f>
        <v>2018-11-28 11:16:33</v>
      </c>
    </row>
    <row r="2210" spans="1:6" x14ac:dyDescent="0.3">
      <c r="A2210" t="s">
        <v>3646</v>
      </c>
      <c r="B2210" t="str">
        <f>"18820239155"</f>
        <v>18820239155</v>
      </c>
      <c r="C2210" t="str">
        <f>"411321198203223231"</f>
        <v>411321198203223231</v>
      </c>
      <c r="D2210" t="s">
        <v>3647</v>
      </c>
      <c r="E2210" t="s">
        <v>3648</v>
      </c>
      <c r="F2210" t="str">
        <f>"2018-11-28 11:15:26"</f>
        <v>2018-11-28 11:15:26</v>
      </c>
    </row>
    <row r="2211" spans="1:6" x14ac:dyDescent="0.3">
      <c r="A2211" t="s">
        <v>3649</v>
      </c>
      <c r="B2211" t="str">
        <f>"13478037649"</f>
        <v>13478037649</v>
      </c>
      <c r="C2211" t="str">
        <f>"210321199508120651"</f>
        <v>210321199508120651</v>
      </c>
      <c r="D2211" t="s">
        <v>3650</v>
      </c>
      <c r="E2211" t="s">
        <v>3651</v>
      </c>
      <c r="F2211" t="str">
        <f>"2018-11-28 11:14:36"</f>
        <v>2018-11-28 11:14:36</v>
      </c>
    </row>
    <row r="2212" spans="1:6" x14ac:dyDescent="0.3">
      <c r="A2212" t="s">
        <v>3652</v>
      </c>
      <c r="B2212" t="str">
        <f>"15353576131"</f>
        <v>15353576131</v>
      </c>
      <c r="C2212" t="str">
        <f>"610521199112112976"</f>
        <v>610521199112112976</v>
      </c>
      <c r="D2212" t="s">
        <v>3653</v>
      </c>
      <c r="E2212" t="s">
        <v>3654</v>
      </c>
      <c r="F2212" t="str">
        <f>"2018-11-28 11:12:21"</f>
        <v>2018-11-28 11:12:21</v>
      </c>
    </row>
    <row r="2213" spans="1:6" x14ac:dyDescent="0.3">
      <c r="A2213" t="s">
        <v>0</v>
      </c>
      <c r="B2213" t="str">
        <f>"15060951737"</f>
        <v>15060951737</v>
      </c>
      <c r="C2213" t="s">
        <v>0</v>
      </c>
      <c r="D2213" t="s">
        <v>0</v>
      </c>
      <c r="E2213" t="s">
        <v>0</v>
      </c>
      <c r="F2213" t="str">
        <f>"2018-11-28 11:10:45"</f>
        <v>2018-11-28 11:10:45</v>
      </c>
    </row>
    <row r="2214" spans="1:6" x14ac:dyDescent="0.3">
      <c r="A2214" t="s">
        <v>3655</v>
      </c>
      <c r="B2214" t="str">
        <f>"18877367488"</f>
        <v>18877367488</v>
      </c>
      <c r="C2214" t="str">
        <f>"450322198405152059"</f>
        <v>450322198405152059</v>
      </c>
      <c r="D2214" t="s">
        <v>3656</v>
      </c>
      <c r="E2214" t="s">
        <v>3656</v>
      </c>
      <c r="F2214" t="str">
        <f>"2018-11-28 11:09:31"</f>
        <v>2018-11-28 11:09:31</v>
      </c>
    </row>
    <row r="2215" spans="1:6" x14ac:dyDescent="0.3">
      <c r="A2215" t="s">
        <v>3657</v>
      </c>
      <c r="B2215" t="str">
        <f>"15778887034"</f>
        <v>15778887034</v>
      </c>
      <c r="C2215" t="str">
        <f>"452625199602140905"</f>
        <v>452625199602140905</v>
      </c>
      <c r="D2215" t="s">
        <v>3658</v>
      </c>
      <c r="E2215" t="s">
        <v>3659</v>
      </c>
      <c r="F2215" t="str">
        <f>"2018-11-28 11:09:03"</f>
        <v>2018-11-28 11:09:03</v>
      </c>
    </row>
    <row r="2216" spans="1:6" x14ac:dyDescent="0.3">
      <c r="A2216" t="s">
        <v>3660</v>
      </c>
      <c r="B2216" t="str">
        <f>"13594134066"</f>
        <v>13594134066</v>
      </c>
      <c r="C2216" t="str">
        <f>"510202198305061219"</f>
        <v>510202198305061219</v>
      </c>
      <c r="D2216" t="s">
        <v>3661</v>
      </c>
      <c r="E2216" t="s">
        <v>3662</v>
      </c>
      <c r="F2216" t="str">
        <f>"2018-11-28 11:01:57"</f>
        <v>2018-11-28 11:01:57</v>
      </c>
    </row>
    <row r="2217" spans="1:6" x14ac:dyDescent="0.3">
      <c r="A2217" t="s">
        <v>3663</v>
      </c>
      <c r="B2217" t="str">
        <f>"18883502218"</f>
        <v>18883502218</v>
      </c>
      <c r="C2217" t="str">
        <f>"500236199108087352"</f>
        <v>500236199108087352</v>
      </c>
      <c r="D2217" t="s">
        <v>3664</v>
      </c>
      <c r="E2217" t="s">
        <v>3665</v>
      </c>
      <c r="F2217" t="str">
        <f>"2018-11-28 11:00:52"</f>
        <v>2018-11-28 11:00:52</v>
      </c>
    </row>
    <row r="2218" spans="1:6" x14ac:dyDescent="0.3">
      <c r="A2218" t="s">
        <v>3666</v>
      </c>
      <c r="B2218" t="str">
        <f>"17704859029"</f>
        <v>17704859029</v>
      </c>
      <c r="C2218" t="str">
        <f>"41042219740401597X"</f>
        <v>41042219740401597X</v>
      </c>
      <c r="D2218" t="s">
        <v>0</v>
      </c>
      <c r="E2218" t="s">
        <v>0</v>
      </c>
      <c r="F2218" t="str">
        <f>"2018-11-28 10:53:35"</f>
        <v>2018-11-28 10:53:35</v>
      </c>
    </row>
    <row r="2219" spans="1:6" x14ac:dyDescent="0.3">
      <c r="A2219" t="s">
        <v>3667</v>
      </c>
      <c r="B2219" t="str">
        <f>"15084435571"</f>
        <v>15084435571</v>
      </c>
      <c r="C2219" t="str">
        <f>"51122119820122735X"</f>
        <v>51122119820122735X</v>
      </c>
      <c r="D2219" t="s">
        <v>3668</v>
      </c>
      <c r="E2219" t="s">
        <v>3669</v>
      </c>
      <c r="F2219" t="str">
        <f>"2018-11-28 10:52:23"</f>
        <v>2018-11-28 10:52:23</v>
      </c>
    </row>
    <row r="2220" spans="1:6" x14ac:dyDescent="0.3">
      <c r="A2220" t="s">
        <v>0</v>
      </c>
      <c r="B2220" t="str">
        <f>"17316859866"</f>
        <v>17316859866</v>
      </c>
      <c r="C2220" t="s">
        <v>0</v>
      </c>
      <c r="D2220" t="s">
        <v>0</v>
      </c>
      <c r="E2220" t="s">
        <v>0</v>
      </c>
      <c r="F2220" t="str">
        <f>"2018-11-28 10:50:23"</f>
        <v>2018-11-28 10:50:23</v>
      </c>
    </row>
    <row r="2221" spans="1:6" x14ac:dyDescent="0.3">
      <c r="A2221" t="s">
        <v>0</v>
      </c>
      <c r="B2221" t="str">
        <f>"15174337950"</f>
        <v>15174337950</v>
      </c>
      <c r="C2221" t="s">
        <v>0</v>
      </c>
      <c r="D2221" t="s">
        <v>0</v>
      </c>
      <c r="E2221" t="s">
        <v>0</v>
      </c>
      <c r="F2221" t="str">
        <f>"2018-11-28 10:36:52"</f>
        <v>2018-11-28 10:36:52</v>
      </c>
    </row>
    <row r="2222" spans="1:6" x14ac:dyDescent="0.3">
      <c r="A2222" t="s">
        <v>3670</v>
      </c>
      <c r="B2222" t="str">
        <f>"15804478151"</f>
        <v>15804478151</v>
      </c>
      <c r="C2222" t="str">
        <f>"220181198401184615"</f>
        <v>220181198401184615</v>
      </c>
      <c r="D2222" t="s">
        <v>3671</v>
      </c>
      <c r="E2222" t="s">
        <v>3672</v>
      </c>
      <c r="F2222" t="str">
        <f>"2018-11-28 10:33:28"</f>
        <v>2018-11-28 10:33:28</v>
      </c>
    </row>
    <row r="2223" spans="1:6" x14ac:dyDescent="0.3">
      <c r="A2223" t="s">
        <v>0</v>
      </c>
      <c r="B2223" t="str">
        <f>"13221514092"</f>
        <v>13221514092</v>
      </c>
      <c r="C2223" t="s">
        <v>0</v>
      </c>
      <c r="D2223" t="s">
        <v>0</v>
      </c>
      <c r="E2223" t="s">
        <v>0</v>
      </c>
      <c r="F2223" t="str">
        <f>"2018-11-28 10:27:24"</f>
        <v>2018-11-28 10:27:24</v>
      </c>
    </row>
    <row r="2224" spans="1:6" x14ac:dyDescent="0.3">
      <c r="A2224" t="s">
        <v>3673</v>
      </c>
      <c r="B2224" t="str">
        <f>"18081234233"</f>
        <v>18081234233</v>
      </c>
      <c r="C2224" t="str">
        <f>"510623199606121914"</f>
        <v>510623199606121914</v>
      </c>
      <c r="D2224" t="s">
        <v>3674</v>
      </c>
      <c r="E2224" t="s">
        <v>3675</v>
      </c>
      <c r="F2224" t="str">
        <f>"2018-11-28 10:24:55"</f>
        <v>2018-11-28 10:24:55</v>
      </c>
    </row>
    <row r="2225" spans="1:6" x14ac:dyDescent="0.3">
      <c r="A2225" t="s">
        <v>3676</v>
      </c>
      <c r="B2225" t="str">
        <f>"13739919449"</f>
        <v>13739919449</v>
      </c>
      <c r="C2225" t="str">
        <f>"150104198601142611"</f>
        <v>150104198601142611</v>
      </c>
      <c r="D2225" t="s">
        <v>3677</v>
      </c>
      <c r="E2225" t="s">
        <v>3678</v>
      </c>
      <c r="F2225" t="str">
        <f>"2018-11-28 10:23:04"</f>
        <v>2018-11-28 10:23:04</v>
      </c>
    </row>
    <row r="2226" spans="1:6" x14ac:dyDescent="0.3">
      <c r="A2226" t="s">
        <v>0</v>
      </c>
      <c r="B2226" t="str">
        <f>"13279484519"</f>
        <v>13279484519</v>
      </c>
      <c r="C2226" t="s">
        <v>0</v>
      </c>
      <c r="D2226" t="s">
        <v>0</v>
      </c>
      <c r="E2226" t="s">
        <v>0</v>
      </c>
      <c r="F2226" t="str">
        <f>"2018-11-28 10:19:33"</f>
        <v>2018-11-28 10:19:33</v>
      </c>
    </row>
    <row r="2227" spans="1:6" x14ac:dyDescent="0.3">
      <c r="A2227" t="s">
        <v>3679</v>
      </c>
      <c r="B2227" t="str">
        <f>"17711772924"</f>
        <v>17711772924</v>
      </c>
      <c r="C2227" t="str">
        <f>"510216197501120013"</f>
        <v>510216197501120013</v>
      </c>
      <c r="D2227" t="s">
        <v>3680</v>
      </c>
      <c r="E2227" t="s">
        <v>3681</v>
      </c>
      <c r="F2227" t="str">
        <f>"2018-11-28 10:18:35"</f>
        <v>2018-11-28 10:18:35</v>
      </c>
    </row>
    <row r="2228" spans="1:6" x14ac:dyDescent="0.3">
      <c r="A2228" t="s">
        <v>3682</v>
      </c>
      <c r="B2228" t="str">
        <f>"15297208856"</f>
        <v>15297208856</v>
      </c>
      <c r="C2228" t="str">
        <f>"410221199202208812"</f>
        <v>410221199202208812</v>
      </c>
      <c r="D2228" t="s">
        <v>3683</v>
      </c>
      <c r="E2228" t="s">
        <v>3684</v>
      </c>
      <c r="F2228" t="str">
        <f>"2018-11-28 10:16:54"</f>
        <v>2018-11-28 10:16:54</v>
      </c>
    </row>
    <row r="2229" spans="1:6" x14ac:dyDescent="0.3">
      <c r="A2229" t="s">
        <v>3685</v>
      </c>
      <c r="B2229" t="str">
        <f>"13629835826"</f>
        <v>13629835826</v>
      </c>
      <c r="C2229" t="str">
        <f>"410527198811186233"</f>
        <v>410527198811186233</v>
      </c>
      <c r="D2229" t="s">
        <v>3686</v>
      </c>
      <c r="E2229" t="s">
        <v>3687</v>
      </c>
      <c r="F2229" t="str">
        <f>"2018-11-28 10:13:31"</f>
        <v>2018-11-28 10:13:31</v>
      </c>
    </row>
    <row r="2230" spans="1:6" x14ac:dyDescent="0.3">
      <c r="A2230" t="s">
        <v>3688</v>
      </c>
      <c r="B2230" t="str">
        <f>"18638382096"</f>
        <v>18638382096</v>
      </c>
      <c r="C2230" t="str">
        <f>"411528199210102980"</f>
        <v>411528199210102980</v>
      </c>
      <c r="D2230" t="s">
        <v>3689</v>
      </c>
      <c r="E2230" t="s">
        <v>3690</v>
      </c>
      <c r="F2230" t="str">
        <f>"2018-11-28 10:11:19"</f>
        <v>2018-11-28 10:11:19</v>
      </c>
    </row>
    <row r="2231" spans="1:6" x14ac:dyDescent="0.3">
      <c r="A2231" t="s">
        <v>3691</v>
      </c>
      <c r="B2231" t="str">
        <f>"15217898680"</f>
        <v>15217898680</v>
      </c>
      <c r="C2231" t="str">
        <f>"452425198210171213"</f>
        <v>452425198210171213</v>
      </c>
      <c r="D2231" t="s">
        <v>0</v>
      </c>
      <c r="E2231" t="s">
        <v>0</v>
      </c>
      <c r="F2231" t="str">
        <f>"2018-11-28 09:56:39"</f>
        <v>2018-11-28 09:56:39</v>
      </c>
    </row>
    <row r="2232" spans="1:6" x14ac:dyDescent="0.3">
      <c r="A2232" t="s">
        <v>0</v>
      </c>
      <c r="B2232" t="str">
        <f>"13277744891"</f>
        <v>13277744891</v>
      </c>
      <c r="C2232" t="s">
        <v>0</v>
      </c>
      <c r="D2232" t="s">
        <v>0</v>
      </c>
      <c r="E2232" t="s">
        <v>0</v>
      </c>
      <c r="F2232" t="str">
        <f>"2018-11-28 09:48:53"</f>
        <v>2018-11-28 09:48:53</v>
      </c>
    </row>
    <row r="2233" spans="1:6" x14ac:dyDescent="0.3">
      <c r="A2233" t="s">
        <v>3692</v>
      </c>
      <c r="B2233" t="str">
        <f>"15223183030"</f>
        <v>15223183030</v>
      </c>
      <c r="C2233" t="str">
        <f>"500382199102240401"</f>
        <v>500382199102240401</v>
      </c>
      <c r="D2233" t="s">
        <v>0</v>
      </c>
      <c r="E2233" t="s">
        <v>0</v>
      </c>
      <c r="F2233" t="str">
        <f>"2018-11-28 09:48:16"</f>
        <v>2018-11-28 09:48:16</v>
      </c>
    </row>
    <row r="2234" spans="1:6" x14ac:dyDescent="0.3">
      <c r="A2234" t="s">
        <v>0</v>
      </c>
      <c r="B2234" t="str">
        <f>"15088544348"</f>
        <v>15088544348</v>
      </c>
      <c r="C2234" t="s">
        <v>0</v>
      </c>
      <c r="D2234" t="s">
        <v>0</v>
      </c>
      <c r="E2234" t="s">
        <v>0</v>
      </c>
      <c r="F2234" t="str">
        <f>"2018-11-28 09:34:58"</f>
        <v>2018-11-28 09:34:58</v>
      </c>
    </row>
    <row r="2235" spans="1:6" x14ac:dyDescent="0.3">
      <c r="A2235" t="s">
        <v>0</v>
      </c>
      <c r="B2235" t="str">
        <f>"15200709817"</f>
        <v>15200709817</v>
      </c>
      <c r="C2235" t="s">
        <v>0</v>
      </c>
      <c r="D2235" t="s">
        <v>0</v>
      </c>
      <c r="E2235" t="s">
        <v>0</v>
      </c>
      <c r="F2235" t="str">
        <f>"2018-11-28 09:29:07"</f>
        <v>2018-11-28 09:29:07</v>
      </c>
    </row>
    <row r="2236" spans="1:6" x14ac:dyDescent="0.3">
      <c r="A2236" t="s">
        <v>0</v>
      </c>
      <c r="B2236" t="str">
        <f>"18130890506"</f>
        <v>18130890506</v>
      </c>
      <c r="C2236" t="s">
        <v>0</v>
      </c>
      <c r="D2236" t="s">
        <v>0</v>
      </c>
      <c r="E2236" t="s">
        <v>0</v>
      </c>
      <c r="F2236" t="str">
        <f>"2018-11-28 09:28:08"</f>
        <v>2018-11-28 09:28:08</v>
      </c>
    </row>
    <row r="2237" spans="1:6" x14ac:dyDescent="0.3">
      <c r="A2237" t="s">
        <v>0</v>
      </c>
      <c r="B2237" t="str">
        <f>"13049925604"</f>
        <v>13049925604</v>
      </c>
      <c r="C2237" t="s">
        <v>0</v>
      </c>
      <c r="D2237" t="s">
        <v>0</v>
      </c>
      <c r="E2237" t="s">
        <v>0</v>
      </c>
      <c r="F2237" t="str">
        <f>"2018-11-28 09:26:09"</f>
        <v>2018-11-28 09:26:09</v>
      </c>
    </row>
    <row r="2238" spans="1:6" x14ac:dyDescent="0.3">
      <c r="A2238" t="s">
        <v>3693</v>
      </c>
      <c r="B2238" t="str">
        <f>"15185461617"</f>
        <v>15185461617</v>
      </c>
      <c r="C2238" t="str">
        <f>"522726199702202333"</f>
        <v>522726199702202333</v>
      </c>
      <c r="D2238" t="s">
        <v>3694</v>
      </c>
      <c r="E2238" t="s">
        <v>3695</v>
      </c>
      <c r="F2238" t="str">
        <f>"2018-11-28 09:26:00"</f>
        <v>2018-11-28 09:26:00</v>
      </c>
    </row>
    <row r="2239" spans="1:6" x14ac:dyDescent="0.3">
      <c r="A2239" t="s">
        <v>3696</v>
      </c>
      <c r="B2239" t="str">
        <f>"13677753630"</f>
        <v>13677753630</v>
      </c>
      <c r="C2239" t="str">
        <f>"450923198709117075"</f>
        <v>450923198709117075</v>
      </c>
      <c r="D2239" t="s">
        <v>0</v>
      </c>
      <c r="E2239" t="s">
        <v>0</v>
      </c>
      <c r="F2239" t="str">
        <f>"2018-11-28 09:22:44"</f>
        <v>2018-11-28 09:22:44</v>
      </c>
    </row>
    <row r="2240" spans="1:6" x14ac:dyDescent="0.3">
      <c r="A2240" t="s">
        <v>3697</v>
      </c>
      <c r="B2240" t="str">
        <f>"15124172344"</f>
        <v>15124172344</v>
      </c>
      <c r="C2240" t="str">
        <f>"210304196407170019"</f>
        <v>210304196407170019</v>
      </c>
      <c r="D2240" t="s">
        <v>0</v>
      </c>
      <c r="E2240" t="s">
        <v>0</v>
      </c>
      <c r="F2240" t="str">
        <f>"2018-11-28 09:10:16"</f>
        <v>2018-11-28 09:10:16</v>
      </c>
    </row>
    <row r="2241" spans="1:6" x14ac:dyDescent="0.3">
      <c r="A2241" t="s">
        <v>3698</v>
      </c>
      <c r="B2241" t="str">
        <f>"13620903278"</f>
        <v>13620903278</v>
      </c>
      <c r="C2241" t="str">
        <f>"440582198107052995"</f>
        <v>440582198107052995</v>
      </c>
      <c r="D2241" t="s">
        <v>3699</v>
      </c>
      <c r="E2241" t="s">
        <v>3700</v>
      </c>
      <c r="F2241" t="str">
        <f>"2018-11-28 08:57:15"</f>
        <v>2018-11-28 08:57:15</v>
      </c>
    </row>
    <row r="2242" spans="1:6" x14ac:dyDescent="0.3">
      <c r="A2242" t="s">
        <v>3701</v>
      </c>
      <c r="B2242" t="str">
        <f>"13792292030"</f>
        <v>13792292030</v>
      </c>
      <c r="C2242" t="str">
        <f>"37012519960625664X"</f>
        <v>37012519960625664X</v>
      </c>
      <c r="D2242" t="s">
        <v>3702</v>
      </c>
      <c r="E2242" t="s">
        <v>3702</v>
      </c>
      <c r="F2242" t="str">
        <f>"2018-11-28 08:54:54"</f>
        <v>2018-11-28 08:54:54</v>
      </c>
    </row>
    <row r="2243" spans="1:6" x14ac:dyDescent="0.3">
      <c r="A2243" t="s">
        <v>3703</v>
      </c>
      <c r="B2243" t="str">
        <f>"17661570765"</f>
        <v>17661570765</v>
      </c>
      <c r="C2243" t="str">
        <f>"371328199710286030"</f>
        <v>371328199710286030</v>
      </c>
      <c r="D2243" t="s">
        <v>3704</v>
      </c>
      <c r="E2243" t="s">
        <v>3705</v>
      </c>
      <c r="F2243" t="str">
        <f>"2018-11-28 08:52:26"</f>
        <v>2018-11-28 08:52:26</v>
      </c>
    </row>
    <row r="2244" spans="1:6" x14ac:dyDescent="0.3">
      <c r="A2244" t="s">
        <v>3706</v>
      </c>
      <c r="B2244" t="str">
        <f>"15922670502"</f>
        <v>15922670502</v>
      </c>
      <c r="C2244" t="str">
        <f>"500383198704037875"</f>
        <v>500383198704037875</v>
      </c>
      <c r="D2244" t="s">
        <v>3707</v>
      </c>
      <c r="E2244" t="s">
        <v>3708</v>
      </c>
      <c r="F2244" t="str">
        <f>"2018-11-28 08:41:12"</f>
        <v>2018-11-28 08:41:12</v>
      </c>
    </row>
    <row r="2245" spans="1:6" x14ac:dyDescent="0.3">
      <c r="A2245" t="s">
        <v>0</v>
      </c>
      <c r="B2245" t="str">
        <f>"18761390860"</f>
        <v>18761390860</v>
      </c>
      <c r="C2245" t="s">
        <v>0</v>
      </c>
      <c r="D2245" t="s">
        <v>0</v>
      </c>
      <c r="E2245" t="s">
        <v>0</v>
      </c>
      <c r="F2245" t="str">
        <f>"2018-11-28 08:28:37"</f>
        <v>2018-11-28 08:28:37</v>
      </c>
    </row>
    <row r="2246" spans="1:6" x14ac:dyDescent="0.3">
      <c r="A2246" t="s">
        <v>3709</v>
      </c>
      <c r="B2246" t="str">
        <f>"15836271713"</f>
        <v>15836271713</v>
      </c>
      <c r="C2246" t="str">
        <f>"412727199105187412"</f>
        <v>412727199105187412</v>
      </c>
      <c r="D2246" t="s">
        <v>3710</v>
      </c>
      <c r="E2246" t="s">
        <v>3711</v>
      </c>
      <c r="F2246" t="str">
        <f>"2018-11-28 08:26:26"</f>
        <v>2018-11-28 08:26:26</v>
      </c>
    </row>
    <row r="2247" spans="1:6" x14ac:dyDescent="0.3">
      <c r="A2247" t="s">
        <v>0</v>
      </c>
      <c r="B2247" t="str">
        <f>"15987708712"</f>
        <v>15987708712</v>
      </c>
      <c r="C2247" t="s">
        <v>0</v>
      </c>
      <c r="D2247" t="s">
        <v>0</v>
      </c>
      <c r="E2247" t="s">
        <v>0</v>
      </c>
      <c r="F2247" t="str">
        <f>"2018-11-28 07:46:07"</f>
        <v>2018-11-28 07:46:07</v>
      </c>
    </row>
    <row r="2248" spans="1:6" x14ac:dyDescent="0.3">
      <c r="A2248" t="s">
        <v>3712</v>
      </c>
      <c r="B2248" t="str">
        <f>"15368759069"</f>
        <v>15368759069</v>
      </c>
      <c r="C2248" t="str">
        <f>"533001198508110016"</f>
        <v>533001198508110016</v>
      </c>
      <c r="D2248" t="s">
        <v>3713</v>
      </c>
      <c r="E2248" t="s">
        <v>3714</v>
      </c>
      <c r="F2248" t="str">
        <f>"2018-11-28 07:14:19"</f>
        <v>2018-11-28 07:14:19</v>
      </c>
    </row>
    <row r="2249" spans="1:6" x14ac:dyDescent="0.3">
      <c r="A2249" t="s">
        <v>0</v>
      </c>
      <c r="B2249" t="str">
        <f>"15813222497"</f>
        <v>15813222497</v>
      </c>
      <c r="C2249" t="s">
        <v>0</v>
      </c>
      <c r="D2249" t="s">
        <v>0</v>
      </c>
      <c r="E2249" t="s">
        <v>0</v>
      </c>
      <c r="F2249" t="str">
        <f>"2018-11-28 07:11:32"</f>
        <v>2018-11-28 07:11:32</v>
      </c>
    </row>
    <row r="2250" spans="1:6" x14ac:dyDescent="0.3">
      <c r="A2250" t="s">
        <v>3715</v>
      </c>
      <c r="B2250" t="str">
        <f>"18223132781"</f>
        <v>18223132781</v>
      </c>
      <c r="C2250" t="str">
        <f>"500239199902218013"</f>
        <v>500239199902218013</v>
      </c>
      <c r="D2250" t="s">
        <v>3716</v>
      </c>
      <c r="E2250" t="s">
        <v>3717</v>
      </c>
      <c r="F2250" t="str">
        <f>"2018-11-28 06:18:08"</f>
        <v>2018-11-28 06:18:08</v>
      </c>
    </row>
    <row r="2251" spans="1:6" x14ac:dyDescent="0.3">
      <c r="A2251" t="s">
        <v>3718</v>
      </c>
      <c r="B2251" t="str">
        <f>"18213711877"</f>
        <v>18213711877</v>
      </c>
      <c r="C2251" t="str">
        <f>"530328199001020917"</f>
        <v>530328199001020917</v>
      </c>
      <c r="D2251" t="s">
        <v>3719</v>
      </c>
      <c r="E2251" t="s">
        <v>3720</v>
      </c>
      <c r="F2251" t="str">
        <f>"2018-11-28 06:10:33"</f>
        <v>2018-11-28 06:10:33</v>
      </c>
    </row>
    <row r="2252" spans="1:6" x14ac:dyDescent="0.3">
      <c r="A2252" t="s">
        <v>0</v>
      </c>
      <c r="B2252" t="str">
        <f>"15658631474"</f>
        <v>15658631474</v>
      </c>
      <c r="C2252" t="s">
        <v>0</v>
      </c>
      <c r="D2252" t="s">
        <v>0</v>
      </c>
      <c r="E2252" t="s">
        <v>0</v>
      </c>
      <c r="F2252" t="str">
        <f>"2018-11-28 05:46:06"</f>
        <v>2018-11-28 05:46:06</v>
      </c>
    </row>
    <row r="2253" spans="1:6" x14ac:dyDescent="0.3">
      <c r="A2253" t="s">
        <v>0</v>
      </c>
      <c r="B2253" t="str">
        <f>"13049956348"</f>
        <v>13049956348</v>
      </c>
      <c r="C2253" t="s">
        <v>0</v>
      </c>
      <c r="D2253" t="s">
        <v>0</v>
      </c>
      <c r="E2253" t="s">
        <v>0</v>
      </c>
      <c r="F2253" t="str">
        <f>"2018-11-28 05:26:22"</f>
        <v>2018-11-28 05:26:22</v>
      </c>
    </row>
    <row r="2254" spans="1:6" x14ac:dyDescent="0.3">
      <c r="A2254" t="s">
        <v>0</v>
      </c>
      <c r="B2254" t="str">
        <f>"13715755726"</f>
        <v>13715755726</v>
      </c>
      <c r="C2254" t="s">
        <v>0</v>
      </c>
      <c r="D2254" t="s">
        <v>0</v>
      </c>
      <c r="E2254" t="s">
        <v>0</v>
      </c>
      <c r="F2254" t="str">
        <f>"2018-11-28 05:21:01"</f>
        <v>2018-11-28 05:21:01</v>
      </c>
    </row>
    <row r="2255" spans="1:6" x14ac:dyDescent="0.3">
      <c r="A2255" t="s">
        <v>0</v>
      </c>
      <c r="B2255" t="str">
        <f>"13818445632"</f>
        <v>13818445632</v>
      </c>
      <c r="C2255" t="s">
        <v>0</v>
      </c>
      <c r="D2255" t="s">
        <v>0</v>
      </c>
      <c r="E2255" t="s">
        <v>0</v>
      </c>
      <c r="F2255" t="str">
        <f>"2018-11-28 04:17:20"</f>
        <v>2018-11-28 04:17:20</v>
      </c>
    </row>
    <row r="2256" spans="1:6" x14ac:dyDescent="0.3">
      <c r="A2256" t="s">
        <v>3721</v>
      </c>
      <c r="B2256" t="str">
        <f>"15187448677"</f>
        <v>15187448677</v>
      </c>
      <c r="C2256" t="str">
        <f>"532201198207063922"</f>
        <v>532201198207063922</v>
      </c>
      <c r="D2256" t="s">
        <v>3722</v>
      </c>
      <c r="E2256" t="s">
        <v>3723</v>
      </c>
      <c r="F2256" t="str">
        <f>"2018-11-28 03:41:33"</f>
        <v>2018-11-28 03:41:33</v>
      </c>
    </row>
    <row r="2257" spans="1:6" x14ac:dyDescent="0.3">
      <c r="A2257" t="s">
        <v>1965</v>
      </c>
      <c r="B2257" t="str">
        <f>"18608774958"</f>
        <v>18608774958</v>
      </c>
      <c r="C2257" t="str">
        <f>"532426197409120036"</f>
        <v>532426197409120036</v>
      </c>
      <c r="D2257" t="s">
        <v>3724</v>
      </c>
      <c r="E2257" t="s">
        <v>3725</v>
      </c>
      <c r="F2257" t="str">
        <f>"2018-11-28 03:34:15"</f>
        <v>2018-11-28 03:34:15</v>
      </c>
    </row>
    <row r="2258" spans="1:6" x14ac:dyDescent="0.3">
      <c r="A2258" t="s">
        <v>3726</v>
      </c>
      <c r="B2258" t="str">
        <f>"13873565323"</f>
        <v>13873565323</v>
      </c>
      <c r="C2258" t="str">
        <f>"431003198203154111"</f>
        <v>431003198203154111</v>
      </c>
      <c r="D2258" t="s">
        <v>3727</v>
      </c>
      <c r="E2258" t="s">
        <v>3728</v>
      </c>
      <c r="F2258" t="str">
        <f>"2018-11-28 03:07:01"</f>
        <v>2018-11-28 03:07:01</v>
      </c>
    </row>
    <row r="2259" spans="1:6" x14ac:dyDescent="0.3">
      <c r="A2259" t="s">
        <v>3729</v>
      </c>
      <c r="B2259" t="str">
        <f>"18585288509"</f>
        <v>18585288509</v>
      </c>
      <c r="C2259" t="str">
        <f>"522126199108257531"</f>
        <v>522126199108257531</v>
      </c>
      <c r="D2259" t="s">
        <v>3730</v>
      </c>
      <c r="E2259" t="s">
        <v>3731</v>
      </c>
      <c r="F2259" t="str">
        <f>"2018-11-28 03:03:58"</f>
        <v>2018-11-28 03:03:58</v>
      </c>
    </row>
    <row r="2260" spans="1:6" x14ac:dyDescent="0.3">
      <c r="A2260" t="s">
        <v>3732</v>
      </c>
      <c r="B2260" t="str">
        <f>"13711038349"</f>
        <v>13711038349</v>
      </c>
      <c r="C2260" t="str">
        <f>"441721198503043037"</f>
        <v>441721198503043037</v>
      </c>
      <c r="D2260" t="s">
        <v>3733</v>
      </c>
      <c r="E2260" t="s">
        <v>3734</v>
      </c>
      <c r="F2260" t="str">
        <f>"2018-11-28 02:24:26"</f>
        <v>2018-11-28 02:24:26</v>
      </c>
    </row>
    <row r="2261" spans="1:6" x14ac:dyDescent="0.3">
      <c r="A2261" t="s">
        <v>3735</v>
      </c>
      <c r="B2261" t="str">
        <f>"18620385416"</f>
        <v>18620385416</v>
      </c>
      <c r="C2261" t="str">
        <f>"441781199209085982"</f>
        <v>441781199209085982</v>
      </c>
      <c r="D2261" t="s">
        <v>3736</v>
      </c>
      <c r="E2261" t="s">
        <v>3737</v>
      </c>
      <c r="F2261" t="str">
        <f>"2018-11-28 02:02:17"</f>
        <v>2018-11-28 02:02:17</v>
      </c>
    </row>
    <row r="2262" spans="1:6" x14ac:dyDescent="0.3">
      <c r="A2262" t="s">
        <v>0</v>
      </c>
      <c r="B2262" t="str">
        <f>"13532394842"</f>
        <v>13532394842</v>
      </c>
      <c r="C2262" t="s">
        <v>0</v>
      </c>
      <c r="D2262" t="s">
        <v>0</v>
      </c>
      <c r="E2262" t="s">
        <v>0</v>
      </c>
      <c r="F2262" t="str">
        <f>"2018-11-28 01:51:57"</f>
        <v>2018-11-28 01:51:57</v>
      </c>
    </row>
    <row r="2263" spans="1:6" x14ac:dyDescent="0.3">
      <c r="A2263" t="s">
        <v>3738</v>
      </c>
      <c r="B2263" t="str">
        <f>"18639970001"</f>
        <v>18639970001</v>
      </c>
      <c r="C2263" t="str">
        <f>"510112198608010010"</f>
        <v>510112198608010010</v>
      </c>
      <c r="D2263" t="s">
        <v>3739</v>
      </c>
      <c r="E2263" t="s">
        <v>3740</v>
      </c>
      <c r="F2263" t="str">
        <f>"2018-11-28 01:32:38"</f>
        <v>2018-11-28 01:32:38</v>
      </c>
    </row>
    <row r="2264" spans="1:6" x14ac:dyDescent="0.3">
      <c r="A2264" t="s">
        <v>3741</v>
      </c>
      <c r="B2264" t="str">
        <f>"15016546256"</f>
        <v>15016546256</v>
      </c>
      <c r="C2264" t="str">
        <f>"445224198111146331"</f>
        <v>445224198111146331</v>
      </c>
      <c r="D2264" t="s">
        <v>3742</v>
      </c>
      <c r="E2264" t="s">
        <v>3743</v>
      </c>
      <c r="F2264" t="str">
        <f>"2018-11-28 00:39:25"</f>
        <v>2018-11-28 00:39:25</v>
      </c>
    </row>
    <row r="2265" spans="1:6" x14ac:dyDescent="0.3">
      <c r="A2265" t="s">
        <v>0</v>
      </c>
      <c r="B2265" t="str">
        <f>"15577643490"</f>
        <v>15577643490</v>
      </c>
      <c r="C2265" t="s">
        <v>0</v>
      </c>
      <c r="D2265" t="s">
        <v>0</v>
      </c>
      <c r="E2265" t="s">
        <v>0</v>
      </c>
      <c r="F2265" t="str">
        <f>"2018-11-27 23:37:45"</f>
        <v>2018-11-27 23:37:45</v>
      </c>
    </row>
    <row r="2266" spans="1:6" x14ac:dyDescent="0.3">
      <c r="A2266" t="s">
        <v>3744</v>
      </c>
      <c r="B2266" t="str">
        <f>"18817084913"</f>
        <v>18817084913</v>
      </c>
      <c r="C2266" t="str">
        <f>"430722199902120712"</f>
        <v>430722199902120712</v>
      </c>
      <c r="D2266" t="s">
        <v>3745</v>
      </c>
      <c r="E2266" t="s">
        <v>3745</v>
      </c>
      <c r="F2266" t="str">
        <f>"2018-11-27 23:25:00"</f>
        <v>2018-11-27 23:25:00</v>
      </c>
    </row>
    <row r="2267" spans="1:6" x14ac:dyDescent="0.3">
      <c r="A2267" t="s">
        <v>3746</v>
      </c>
      <c r="B2267" t="str">
        <f>"15843937867"</f>
        <v>15843937867</v>
      </c>
      <c r="C2267" t="str">
        <f>"220681199205163376"</f>
        <v>220681199205163376</v>
      </c>
      <c r="D2267" t="s">
        <v>0</v>
      </c>
      <c r="E2267" t="s">
        <v>0</v>
      </c>
      <c r="F2267" t="str">
        <f>"2018-11-27 23:15:23"</f>
        <v>2018-11-27 23:15:23</v>
      </c>
    </row>
    <row r="2268" spans="1:6" x14ac:dyDescent="0.3">
      <c r="A2268" t="s">
        <v>3747</v>
      </c>
      <c r="B2268" t="str">
        <f>"13928415028"</f>
        <v>13928415028</v>
      </c>
      <c r="C2268" t="str">
        <f>"622301197504220536"</f>
        <v>622301197504220536</v>
      </c>
      <c r="D2268" t="s">
        <v>0</v>
      </c>
      <c r="E2268" t="s">
        <v>0</v>
      </c>
      <c r="F2268" t="str">
        <f>"2018-11-27 23:13:43"</f>
        <v>2018-11-27 23:13:43</v>
      </c>
    </row>
    <row r="2269" spans="1:6" x14ac:dyDescent="0.3">
      <c r="A2269" t="s">
        <v>0</v>
      </c>
      <c r="B2269" t="str">
        <f>"13216434142"</f>
        <v>13216434142</v>
      </c>
      <c r="C2269" t="s">
        <v>0</v>
      </c>
      <c r="D2269" t="s">
        <v>0</v>
      </c>
      <c r="E2269" t="s">
        <v>0</v>
      </c>
      <c r="F2269" t="str">
        <f>"2018-11-27 23:07:14"</f>
        <v>2018-11-27 23:07:14</v>
      </c>
    </row>
    <row r="2270" spans="1:6" x14ac:dyDescent="0.3">
      <c r="A2270" t="s">
        <v>3748</v>
      </c>
      <c r="B2270" t="str">
        <f>"17552308828"</f>
        <v>17552308828</v>
      </c>
      <c r="C2270" t="str">
        <f>"321281199609152457"</f>
        <v>321281199609152457</v>
      </c>
      <c r="D2270" t="s">
        <v>3749</v>
      </c>
      <c r="E2270" t="s">
        <v>3750</v>
      </c>
      <c r="F2270" t="str">
        <f>"2018-11-27 23:06:46"</f>
        <v>2018-11-27 23:06:46</v>
      </c>
    </row>
    <row r="2271" spans="1:6" x14ac:dyDescent="0.3">
      <c r="A2271" t="s">
        <v>0</v>
      </c>
      <c r="B2271" t="str">
        <f>"13248481547"</f>
        <v>13248481547</v>
      </c>
      <c r="C2271" t="s">
        <v>0</v>
      </c>
      <c r="D2271" t="s">
        <v>0</v>
      </c>
      <c r="E2271" t="s">
        <v>0</v>
      </c>
      <c r="F2271" t="str">
        <f>"2018-11-27 22:59:39"</f>
        <v>2018-11-27 22:59:39</v>
      </c>
    </row>
    <row r="2272" spans="1:6" x14ac:dyDescent="0.3">
      <c r="A2272" t="s">
        <v>3751</v>
      </c>
      <c r="B2272" t="str">
        <f>"18575369718"</f>
        <v>18575369718</v>
      </c>
      <c r="C2272" t="str">
        <f>"612427198511070013"</f>
        <v>612427198511070013</v>
      </c>
      <c r="D2272" t="s">
        <v>3752</v>
      </c>
      <c r="E2272" t="s">
        <v>3753</v>
      </c>
      <c r="F2272" t="str">
        <f>"2018-11-27 22:59:24"</f>
        <v>2018-11-27 22:59:24</v>
      </c>
    </row>
    <row r="2273" spans="1:6" x14ac:dyDescent="0.3">
      <c r="A2273" t="s">
        <v>0</v>
      </c>
      <c r="B2273" t="str">
        <f>"15553020314"</f>
        <v>15553020314</v>
      </c>
      <c r="C2273" t="s">
        <v>0</v>
      </c>
      <c r="D2273" t="s">
        <v>0</v>
      </c>
      <c r="E2273" t="s">
        <v>0</v>
      </c>
      <c r="F2273" t="str">
        <f>"2018-11-27 22:59:03"</f>
        <v>2018-11-27 22:59:03</v>
      </c>
    </row>
    <row r="2274" spans="1:6" x14ac:dyDescent="0.3">
      <c r="A2274" t="s">
        <v>3754</v>
      </c>
      <c r="B2274" t="str">
        <f>"18782277398"</f>
        <v>18782277398</v>
      </c>
      <c r="C2274" t="str">
        <f>"513822199301296366"</f>
        <v>513822199301296366</v>
      </c>
      <c r="D2274" t="s">
        <v>0</v>
      </c>
      <c r="E2274" t="s">
        <v>0</v>
      </c>
      <c r="F2274" t="str">
        <f>"2018-11-27 22:29:05"</f>
        <v>2018-11-27 22:29:05</v>
      </c>
    </row>
    <row r="2275" spans="1:6" x14ac:dyDescent="0.3">
      <c r="A2275" t="s">
        <v>0</v>
      </c>
      <c r="B2275" t="str">
        <f>"15967914485"</f>
        <v>15967914485</v>
      </c>
      <c r="C2275" t="s">
        <v>0</v>
      </c>
      <c r="D2275" t="s">
        <v>0</v>
      </c>
      <c r="E2275" t="s">
        <v>0</v>
      </c>
      <c r="F2275" t="str">
        <f>"2018-11-27 22:26:36"</f>
        <v>2018-11-27 22:26:36</v>
      </c>
    </row>
    <row r="2276" spans="1:6" x14ac:dyDescent="0.3">
      <c r="A2276" t="s">
        <v>0</v>
      </c>
      <c r="B2276" t="str">
        <f>"13088649139"</f>
        <v>13088649139</v>
      </c>
      <c r="C2276" t="s">
        <v>0</v>
      </c>
      <c r="D2276" t="s">
        <v>0</v>
      </c>
      <c r="E2276" t="s">
        <v>0</v>
      </c>
      <c r="F2276" t="str">
        <f>"2018-11-27 22:18:12"</f>
        <v>2018-11-27 22:18:12</v>
      </c>
    </row>
    <row r="2277" spans="1:6" x14ac:dyDescent="0.3">
      <c r="A2277" t="s">
        <v>0</v>
      </c>
      <c r="B2277" t="str">
        <f>"15578178545"</f>
        <v>15578178545</v>
      </c>
      <c r="C2277" t="s">
        <v>0</v>
      </c>
      <c r="D2277" t="s">
        <v>0</v>
      </c>
      <c r="E2277" t="s">
        <v>0</v>
      </c>
      <c r="F2277" t="str">
        <f>"2018-11-27 22:15:29"</f>
        <v>2018-11-27 22:15:29</v>
      </c>
    </row>
    <row r="2278" spans="1:6" x14ac:dyDescent="0.3">
      <c r="A2278" t="s">
        <v>3755</v>
      </c>
      <c r="B2278" t="str">
        <f>"18113651225"</f>
        <v>18113651225</v>
      </c>
      <c r="C2278" t="str">
        <f>"513822199304168191"</f>
        <v>513822199304168191</v>
      </c>
      <c r="D2278" t="s">
        <v>0</v>
      </c>
      <c r="E2278" t="s">
        <v>0</v>
      </c>
      <c r="F2278" t="str">
        <f>"2018-11-27 22:14:28"</f>
        <v>2018-11-27 22:14:28</v>
      </c>
    </row>
    <row r="2279" spans="1:6" x14ac:dyDescent="0.3">
      <c r="A2279" t="s">
        <v>3756</v>
      </c>
      <c r="B2279" t="str">
        <f>"15000300930"</f>
        <v>15000300930</v>
      </c>
      <c r="C2279" t="str">
        <f>"310101198504081520"</f>
        <v>310101198504081520</v>
      </c>
      <c r="D2279" t="s">
        <v>0</v>
      </c>
      <c r="E2279" t="s">
        <v>0</v>
      </c>
      <c r="F2279" t="str">
        <f>"2018-11-27 22:06:08"</f>
        <v>2018-11-27 22:06:08</v>
      </c>
    </row>
    <row r="2280" spans="1:6" x14ac:dyDescent="0.3">
      <c r="A2280" t="s">
        <v>0</v>
      </c>
      <c r="B2280" t="str">
        <f>"13216276004"</f>
        <v>13216276004</v>
      </c>
      <c r="C2280" t="s">
        <v>0</v>
      </c>
      <c r="D2280" t="s">
        <v>0</v>
      </c>
      <c r="E2280" t="s">
        <v>0</v>
      </c>
      <c r="F2280" t="str">
        <f>"2018-11-27 21:58:42"</f>
        <v>2018-11-27 21:58:42</v>
      </c>
    </row>
    <row r="2281" spans="1:6" x14ac:dyDescent="0.3">
      <c r="A2281" t="s">
        <v>3757</v>
      </c>
      <c r="B2281" t="str">
        <f>"15533233656"</f>
        <v>15533233656</v>
      </c>
      <c r="C2281" t="str">
        <f>"132433197706193513"</f>
        <v>132433197706193513</v>
      </c>
      <c r="D2281" t="s">
        <v>3758</v>
      </c>
      <c r="E2281" t="s">
        <v>3759</v>
      </c>
      <c r="F2281" t="str">
        <f>"2018-11-27 21:58:19"</f>
        <v>2018-11-27 21:58:19</v>
      </c>
    </row>
    <row r="2282" spans="1:6" x14ac:dyDescent="0.3">
      <c r="A2282" t="s">
        <v>0</v>
      </c>
      <c r="B2282" t="str">
        <f>"17785398372"</f>
        <v>17785398372</v>
      </c>
      <c r="C2282" t="s">
        <v>0</v>
      </c>
      <c r="D2282" t="s">
        <v>0</v>
      </c>
      <c r="E2282" t="s">
        <v>0</v>
      </c>
      <c r="F2282" t="str">
        <f>"2018-11-27 21:55:36"</f>
        <v>2018-11-27 21:55:36</v>
      </c>
    </row>
    <row r="2283" spans="1:6" x14ac:dyDescent="0.3">
      <c r="A2283" t="s">
        <v>0</v>
      </c>
      <c r="B2283" t="str">
        <f>"15027693706"</f>
        <v>15027693706</v>
      </c>
      <c r="C2283" t="s">
        <v>0</v>
      </c>
      <c r="D2283" t="s">
        <v>0</v>
      </c>
      <c r="E2283" t="s">
        <v>0</v>
      </c>
      <c r="F2283" t="str">
        <f>"2018-11-27 21:46:51"</f>
        <v>2018-11-27 21:46:51</v>
      </c>
    </row>
    <row r="2284" spans="1:6" x14ac:dyDescent="0.3">
      <c r="A2284" t="s">
        <v>0</v>
      </c>
      <c r="B2284" t="str">
        <f>"15813586263"</f>
        <v>15813586263</v>
      </c>
      <c r="C2284" t="s">
        <v>0</v>
      </c>
      <c r="D2284" t="s">
        <v>0</v>
      </c>
      <c r="E2284" t="s">
        <v>0</v>
      </c>
      <c r="F2284" t="str">
        <f>"2018-11-27 21:44:57"</f>
        <v>2018-11-27 21:44:57</v>
      </c>
    </row>
    <row r="2285" spans="1:6" x14ac:dyDescent="0.3">
      <c r="A2285" t="s">
        <v>0</v>
      </c>
      <c r="B2285" t="str">
        <f>"15071676133"</f>
        <v>15071676133</v>
      </c>
      <c r="C2285" t="s">
        <v>0</v>
      </c>
      <c r="D2285" t="s">
        <v>0</v>
      </c>
      <c r="E2285" t="s">
        <v>0</v>
      </c>
      <c r="F2285" t="str">
        <f>"2018-11-27 21:37:50"</f>
        <v>2018-11-27 21:37:50</v>
      </c>
    </row>
    <row r="2286" spans="1:6" x14ac:dyDescent="0.3">
      <c r="A2286" t="s">
        <v>3760</v>
      </c>
      <c r="B2286" t="str">
        <f>"13772349501"</f>
        <v>13772349501</v>
      </c>
      <c r="C2286" t="str">
        <f>"612731199107221815"</f>
        <v>612731199107221815</v>
      </c>
      <c r="D2286" t="s">
        <v>3761</v>
      </c>
      <c r="E2286" t="s">
        <v>3762</v>
      </c>
      <c r="F2286" t="str">
        <f>"2018-11-27 21:30:09"</f>
        <v>2018-11-27 21:30:09</v>
      </c>
    </row>
    <row r="2287" spans="1:6" x14ac:dyDescent="0.3">
      <c r="A2287" t="s">
        <v>0</v>
      </c>
      <c r="B2287" t="str">
        <f>"15577863480"</f>
        <v>15577863480</v>
      </c>
      <c r="C2287" t="s">
        <v>0</v>
      </c>
      <c r="D2287" t="s">
        <v>0</v>
      </c>
      <c r="E2287" t="s">
        <v>0</v>
      </c>
      <c r="F2287" t="str">
        <f>"2018-11-27 21:24:39"</f>
        <v>2018-11-27 21:24:39</v>
      </c>
    </row>
    <row r="2288" spans="1:6" x14ac:dyDescent="0.3">
      <c r="A2288" t="s">
        <v>3763</v>
      </c>
      <c r="B2288" t="str">
        <f>"18779777586"</f>
        <v>18779777586</v>
      </c>
      <c r="C2288" t="str">
        <f>"360727199211172840"</f>
        <v>360727199211172840</v>
      </c>
      <c r="D2288" t="s">
        <v>3764</v>
      </c>
      <c r="E2288" t="s">
        <v>3765</v>
      </c>
      <c r="F2288" t="str">
        <f>"2018-11-27 21:21:54"</f>
        <v>2018-11-27 21:21:54</v>
      </c>
    </row>
    <row r="2289" spans="1:6" x14ac:dyDescent="0.3">
      <c r="A2289" t="s">
        <v>3766</v>
      </c>
      <c r="B2289" t="str">
        <f>"18510908880"</f>
        <v>18510908880</v>
      </c>
      <c r="C2289" t="str">
        <f>"110226199304100037"</f>
        <v>110226199304100037</v>
      </c>
      <c r="D2289" t="s">
        <v>3767</v>
      </c>
      <c r="E2289" t="s">
        <v>3768</v>
      </c>
      <c r="F2289" t="str">
        <f>"2018-11-27 21:19:41"</f>
        <v>2018-11-27 21:19:41</v>
      </c>
    </row>
    <row r="2290" spans="1:6" x14ac:dyDescent="0.3">
      <c r="A2290" t="s">
        <v>3769</v>
      </c>
      <c r="B2290" t="str">
        <f>"17665159861"</f>
        <v>17665159861</v>
      </c>
      <c r="C2290" t="str">
        <f>"440982199411035395"</f>
        <v>440982199411035395</v>
      </c>
      <c r="D2290" t="s">
        <v>3770</v>
      </c>
      <c r="E2290" t="s">
        <v>3771</v>
      </c>
      <c r="F2290" t="str">
        <f>"2018-11-27 21:15:08"</f>
        <v>2018-11-27 21:15:08</v>
      </c>
    </row>
    <row r="2291" spans="1:6" x14ac:dyDescent="0.3">
      <c r="A2291" t="s">
        <v>3772</v>
      </c>
      <c r="B2291" t="str">
        <f>"13636196578"</f>
        <v>13636196578</v>
      </c>
      <c r="C2291" t="str">
        <f>"420321198203234417"</f>
        <v>420321198203234417</v>
      </c>
      <c r="D2291" t="s">
        <v>3773</v>
      </c>
      <c r="E2291" t="s">
        <v>3774</v>
      </c>
      <c r="F2291" t="str">
        <f>"2018-11-27 21:14:13"</f>
        <v>2018-11-27 21:14:13</v>
      </c>
    </row>
    <row r="2292" spans="1:6" x14ac:dyDescent="0.3">
      <c r="A2292" t="s">
        <v>0</v>
      </c>
      <c r="B2292" t="str">
        <f>"13105296759"</f>
        <v>13105296759</v>
      </c>
      <c r="C2292" t="s">
        <v>0</v>
      </c>
      <c r="D2292" t="s">
        <v>0</v>
      </c>
      <c r="E2292" t="s">
        <v>0</v>
      </c>
      <c r="F2292" t="str">
        <f>"2018-11-27 21:09:28"</f>
        <v>2018-11-27 21:09:28</v>
      </c>
    </row>
    <row r="2293" spans="1:6" x14ac:dyDescent="0.3">
      <c r="A2293" t="s">
        <v>0</v>
      </c>
      <c r="B2293" t="str">
        <f>"13867434018"</f>
        <v>13867434018</v>
      </c>
      <c r="C2293" t="s">
        <v>0</v>
      </c>
      <c r="D2293" t="s">
        <v>0</v>
      </c>
      <c r="E2293" t="s">
        <v>0</v>
      </c>
      <c r="F2293" t="str">
        <f>"2018-11-27 21:07:42"</f>
        <v>2018-11-27 21:07:42</v>
      </c>
    </row>
    <row r="2294" spans="1:6" x14ac:dyDescent="0.3">
      <c r="A2294" t="s">
        <v>3775</v>
      </c>
      <c r="B2294" t="str">
        <f>"15198157381"</f>
        <v>15198157381</v>
      </c>
      <c r="C2294" t="str">
        <f>"510725199310208664"</f>
        <v>510725199310208664</v>
      </c>
      <c r="D2294" t="s">
        <v>3776</v>
      </c>
      <c r="E2294" t="s">
        <v>3777</v>
      </c>
      <c r="F2294" t="str">
        <f>"2018-11-27 21:06:43"</f>
        <v>2018-11-27 21:06:43</v>
      </c>
    </row>
    <row r="2295" spans="1:6" x14ac:dyDescent="0.3">
      <c r="A2295" t="s">
        <v>3778</v>
      </c>
      <c r="B2295" t="str">
        <f>"15936414633"</f>
        <v>15936414633</v>
      </c>
      <c r="C2295" t="str">
        <f>"411302198105073453"</f>
        <v>411302198105073453</v>
      </c>
      <c r="D2295" t="s">
        <v>3779</v>
      </c>
      <c r="E2295" t="s">
        <v>3780</v>
      </c>
      <c r="F2295" t="str">
        <f>"2018-11-27 21:05:50"</f>
        <v>2018-11-27 21:05:50</v>
      </c>
    </row>
    <row r="2296" spans="1:6" x14ac:dyDescent="0.3">
      <c r="A2296" t="s">
        <v>3781</v>
      </c>
      <c r="B2296" t="str">
        <f>"17623884275"</f>
        <v>17623884275</v>
      </c>
      <c r="C2296" t="str">
        <f>"50010219930623625X"</f>
        <v>50010219930623625X</v>
      </c>
      <c r="D2296" t="s">
        <v>3782</v>
      </c>
      <c r="E2296" t="s">
        <v>3783</v>
      </c>
      <c r="F2296" t="str">
        <f>"2018-11-27 21:04:37"</f>
        <v>2018-11-27 21:04:37</v>
      </c>
    </row>
    <row r="2297" spans="1:6" x14ac:dyDescent="0.3">
      <c r="A2297" t="s">
        <v>3784</v>
      </c>
      <c r="B2297" t="str">
        <f>"14778134866"</f>
        <v>14778134866</v>
      </c>
      <c r="C2297" t="str">
        <f>"440983199709106033"</f>
        <v>440983199709106033</v>
      </c>
      <c r="D2297" t="s">
        <v>3785</v>
      </c>
      <c r="E2297" t="s">
        <v>3785</v>
      </c>
      <c r="F2297" t="str">
        <f>"2018-11-27 20:57:15"</f>
        <v>2018-11-27 20:57:15</v>
      </c>
    </row>
    <row r="2298" spans="1:6" x14ac:dyDescent="0.3">
      <c r="A2298" t="s">
        <v>0</v>
      </c>
      <c r="B2298" t="str">
        <f>"15919727682"</f>
        <v>15919727682</v>
      </c>
      <c r="C2298" t="s">
        <v>0</v>
      </c>
      <c r="D2298" t="s">
        <v>0</v>
      </c>
      <c r="E2298" t="s">
        <v>0</v>
      </c>
      <c r="F2298" t="str">
        <f>"2018-11-27 20:54:09"</f>
        <v>2018-11-27 20:54:09</v>
      </c>
    </row>
    <row r="2299" spans="1:6" x14ac:dyDescent="0.3">
      <c r="A2299" t="s">
        <v>3786</v>
      </c>
      <c r="B2299" t="str">
        <f>"18209807899"</f>
        <v>18209807899</v>
      </c>
      <c r="C2299" t="str">
        <f>"522128198505136539"</f>
        <v>522128198505136539</v>
      </c>
      <c r="D2299" t="s">
        <v>3787</v>
      </c>
      <c r="E2299" t="s">
        <v>3788</v>
      </c>
      <c r="F2299" t="str">
        <f>"2018-11-27 20:53:28"</f>
        <v>2018-11-27 20:53:28</v>
      </c>
    </row>
    <row r="2300" spans="1:6" x14ac:dyDescent="0.3">
      <c r="A2300" t="s">
        <v>3789</v>
      </c>
      <c r="B2300" t="str">
        <f>"13775833207"</f>
        <v>13775833207</v>
      </c>
      <c r="C2300" t="str">
        <f>"320325196806030010"</f>
        <v>320325196806030010</v>
      </c>
      <c r="D2300" t="s">
        <v>3790</v>
      </c>
      <c r="E2300" t="s">
        <v>3791</v>
      </c>
      <c r="F2300" t="str">
        <f>"2018-11-27 20:52:11"</f>
        <v>2018-11-27 20:52:11</v>
      </c>
    </row>
    <row r="2301" spans="1:6" x14ac:dyDescent="0.3">
      <c r="A2301" t="s">
        <v>3792</v>
      </c>
      <c r="B2301" t="str">
        <f>"13622008391"</f>
        <v>13622008391</v>
      </c>
      <c r="C2301" t="str">
        <f>"622822199302034573"</f>
        <v>622822199302034573</v>
      </c>
      <c r="D2301" t="s">
        <v>3793</v>
      </c>
      <c r="E2301" t="s">
        <v>3794</v>
      </c>
      <c r="F2301" t="str">
        <f>"2018-11-27 20:45:42"</f>
        <v>2018-11-27 20:45:42</v>
      </c>
    </row>
    <row r="2302" spans="1:6" x14ac:dyDescent="0.3">
      <c r="A2302" t="s">
        <v>3795</v>
      </c>
      <c r="B2302" t="str">
        <f>"13486912781"</f>
        <v>13486912781</v>
      </c>
      <c r="C2302" t="str">
        <f>"330724199003012629"</f>
        <v>330724199003012629</v>
      </c>
      <c r="D2302" t="s">
        <v>0</v>
      </c>
      <c r="E2302" t="s">
        <v>0</v>
      </c>
      <c r="F2302" t="str">
        <f>"2018-11-27 20:45:05"</f>
        <v>2018-11-27 20:45:05</v>
      </c>
    </row>
    <row r="2303" spans="1:6" x14ac:dyDescent="0.3">
      <c r="A2303" t="s">
        <v>3796</v>
      </c>
      <c r="B2303" t="str">
        <f>"17693252820"</f>
        <v>17693252820</v>
      </c>
      <c r="C2303" t="str">
        <f>"622421198808155214"</f>
        <v>622421198808155214</v>
      </c>
      <c r="D2303" t="s">
        <v>3797</v>
      </c>
      <c r="E2303" t="s">
        <v>3798</v>
      </c>
      <c r="F2303" t="str">
        <f>"2018-11-27 20:41:00"</f>
        <v>2018-11-27 20:41:00</v>
      </c>
    </row>
    <row r="2304" spans="1:6" x14ac:dyDescent="0.3">
      <c r="A2304" t="s">
        <v>3799</v>
      </c>
      <c r="B2304" t="str">
        <f>"18148870404"</f>
        <v>18148870404</v>
      </c>
      <c r="C2304" t="str">
        <f>"441623199208110358"</f>
        <v>441623199208110358</v>
      </c>
      <c r="D2304" t="s">
        <v>3800</v>
      </c>
      <c r="E2304" t="s">
        <v>3801</v>
      </c>
      <c r="F2304" t="str">
        <f>"2018-11-27 20:39:40"</f>
        <v>2018-11-27 20:39:40</v>
      </c>
    </row>
    <row r="2305" spans="1:6" x14ac:dyDescent="0.3">
      <c r="A2305" t="s">
        <v>0</v>
      </c>
      <c r="B2305" t="str">
        <f>"15087475697"</f>
        <v>15087475697</v>
      </c>
      <c r="C2305" t="s">
        <v>0</v>
      </c>
      <c r="D2305" t="s">
        <v>0</v>
      </c>
      <c r="E2305" t="s">
        <v>0</v>
      </c>
      <c r="F2305" t="str">
        <f>"2018-11-27 20:38:43"</f>
        <v>2018-11-27 20:38:43</v>
      </c>
    </row>
    <row r="2306" spans="1:6" x14ac:dyDescent="0.3">
      <c r="A2306" t="s">
        <v>3802</v>
      </c>
      <c r="B2306" t="str">
        <f>"18368468252"</f>
        <v>18368468252</v>
      </c>
      <c r="C2306" t="str">
        <f>"320703199410220536"</f>
        <v>320703199410220536</v>
      </c>
      <c r="D2306" t="s">
        <v>3803</v>
      </c>
      <c r="E2306" t="s">
        <v>3804</v>
      </c>
      <c r="F2306" t="str">
        <f>"2018-11-27 20:37:59"</f>
        <v>2018-11-27 20:37:59</v>
      </c>
    </row>
    <row r="2307" spans="1:6" x14ac:dyDescent="0.3">
      <c r="A2307" t="s">
        <v>0</v>
      </c>
      <c r="B2307" t="str">
        <f>"15917554700"</f>
        <v>15917554700</v>
      </c>
      <c r="C2307" t="s">
        <v>0</v>
      </c>
      <c r="D2307" t="s">
        <v>0</v>
      </c>
      <c r="E2307" t="s">
        <v>0</v>
      </c>
      <c r="F2307" t="str">
        <f>"2018-11-27 20:32:37"</f>
        <v>2018-11-27 20:32:37</v>
      </c>
    </row>
    <row r="2308" spans="1:6" x14ac:dyDescent="0.3">
      <c r="A2308" t="s">
        <v>3805</v>
      </c>
      <c r="B2308" t="str">
        <f>"17789623676"</f>
        <v>17789623676</v>
      </c>
      <c r="C2308" t="str">
        <f>"620102199110063622"</f>
        <v>620102199110063622</v>
      </c>
      <c r="D2308" t="s">
        <v>3806</v>
      </c>
      <c r="E2308" t="s">
        <v>3807</v>
      </c>
      <c r="F2308" t="str">
        <f>"2018-11-27 20:30:50"</f>
        <v>2018-11-27 20:30:50</v>
      </c>
    </row>
    <row r="2309" spans="1:6" x14ac:dyDescent="0.3">
      <c r="A2309" t="s">
        <v>0</v>
      </c>
      <c r="B2309" t="str">
        <f>"15116200245"</f>
        <v>15116200245</v>
      </c>
      <c r="C2309" t="s">
        <v>0</v>
      </c>
      <c r="D2309" t="s">
        <v>0</v>
      </c>
      <c r="E2309" t="s">
        <v>0</v>
      </c>
      <c r="F2309" t="str">
        <f>"2018-11-27 20:30:40"</f>
        <v>2018-11-27 20:30:40</v>
      </c>
    </row>
    <row r="2310" spans="1:6" x14ac:dyDescent="0.3">
      <c r="A2310" t="s">
        <v>3808</v>
      </c>
      <c r="B2310" t="str">
        <f>"18345216644"</f>
        <v>18345216644</v>
      </c>
      <c r="C2310" t="str">
        <f>"230204198007210410"</f>
        <v>230204198007210410</v>
      </c>
      <c r="D2310" t="s">
        <v>0</v>
      </c>
      <c r="E2310" t="s">
        <v>0</v>
      </c>
      <c r="F2310" t="str">
        <f>"2018-11-27 20:30:19"</f>
        <v>2018-11-27 20:30:19</v>
      </c>
    </row>
    <row r="2311" spans="1:6" x14ac:dyDescent="0.3">
      <c r="A2311" t="s">
        <v>3809</v>
      </c>
      <c r="B2311" t="str">
        <f>"15293759900"</f>
        <v>15293759900</v>
      </c>
      <c r="C2311" t="str">
        <f>"622101198011032311"</f>
        <v>622101198011032311</v>
      </c>
      <c r="D2311" t="s">
        <v>3810</v>
      </c>
      <c r="E2311" t="s">
        <v>3811</v>
      </c>
      <c r="F2311" t="str">
        <f>"2018-11-27 20:25:38"</f>
        <v>2018-11-27 20:25:38</v>
      </c>
    </row>
    <row r="2312" spans="1:6" x14ac:dyDescent="0.3">
      <c r="A2312" t="s">
        <v>0</v>
      </c>
      <c r="B2312" t="str">
        <f>"13028920405"</f>
        <v>13028920405</v>
      </c>
      <c r="C2312" t="s">
        <v>0</v>
      </c>
      <c r="D2312" t="s">
        <v>0</v>
      </c>
      <c r="E2312" t="s">
        <v>0</v>
      </c>
      <c r="F2312" t="str">
        <f>"2018-11-27 20:23:17"</f>
        <v>2018-11-27 20:23:17</v>
      </c>
    </row>
    <row r="2313" spans="1:6" x14ac:dyDescent="0.3">
      <c r="A2313" t="s">
        <v>3812</v>
      </c>
      <c r="B2313" t="str">
        <f>"18359271531"</f>
        <v>18359271531</v>
      </c>
      <c r="C2313" t="str">
        <f>"350881199009011615"</f>
        <v>350881199009011615</v>
      </c>
      <c r="D2313" t="s">
        <v>3813</v>
      </c>
      <c r="E2313" t="s">
        <v>3814</v>
      </c>
      <c r="F2313" t="str">
        <f>"2018-11-27 20:22:07"</f>
        <v>2018-11-27 20:22:07</v>
      </c>
    </row>
    <row r="2314" spans="1:6" x14ac:dyDescent="0.3">
      <c r="A2314" t="s">
        <v>0</v>
      </c>
      <c r="B2314" t="str">
        <f>"13004262902"</f>
        <v>13004262902</v>
      </c>
      <c r="C2314" t="s">
        <v>0</v>
      </c>
      <c r="D2314" t="s">
        <v>0</v>
      </c>
      <c r="E2314" t="s">
        <v>0</v>
      </c>
      <c r="F2314" t="str">
        <f>"2018-11-27 20:21:05"</f>
        <v>2018-11-27 20:21:05</v>
      </c>
    </row>
    <row r="2315" spans="1:6" x14ac:dyDescent="0.3">
      <c r="A2315" t="s">
        <v>3815</v>
      </c>
      <c r="B2315" t="str">
        <f>"15736120115"</f>
        <v>15736120115</v>
      </c>
      <c r="C2315" t="str">
        <f>"513723198610120483"</f>
        <v>513723198610120483</v>
      </c>
      <c r="D2315" t="s">
        <v>0</v>
      </c>
      <c r="E2315" t="s">
        <v>0</v>
      </c>
      <c r="F2315" t="str">
        <f>"2018-11-27 20:19:17"</f>
        <v>2018-11-27 20:19:17</v>
      </c>
    </row>
    <row r="2316" spans="1:6" x14ac:dyDescent="0.3">
      <c r="A2316" t="s">
        <v>3816</v>
      </c>
      <c r="B2316" t="str">
        <f>"13918035164"</f>
        <v>13918035164</v>
      </c>
      <c r="C2316" t="str">
        <f>"310228199508182417"</f>
        <v>310228199508182417</v>
      </c>
      <c r="D2316" t="s">
        <v>0</v>
      </c>
      <c r="E2316" t="s">
        <v>0</v>
      </c>
      <c r="F2316" t="str">
        <f>"2018-11-27 20:18:25"</f>
        <v>2018-11-27 20:18:25</v>
      </c>
    </row>
    <row r="2317" spans="1:6" x14ac:dyDescent="0.3">
      <c r="A2317" t="s">
        <v>3817</v>
      </c>
      <c r="B2317" t="str">
        <f>"18661024569"</f>
        <v>18661024569</v>
      </c>
      <c r="C2317" t="str">
        <f>"34112619900112323X"</f>
        <v>34112619900112323X</v>
      </c>
      <c r="D2317" t="s">
        <v>3818</v>
      </c>
      <c r="E2317" t="s">
        <v>3819</v>
      </c>
      <c r="F2317" t="str">
        <f>"2018-11-27 20:17:06"</f>
        <v>2018-11-27 20:17:06</v>
      </c>
    </row>
    <row r="2318" spans="1:6" x14ac:dyDescent="0.3">
      <c r="A2318" t="s">
        <v>0</v>
      </c>
      <c r="B2318" t="str">
        <f>"13772385215"</f>
        <v>13772385215</v>
      </c>
      <c r="C2318" t="s">
        <v>0</v>
      </c>
      <c r="D2318" t="s">
        <v>0</v>
      </c>
      <c r="E2318" t="s">
        <v>0</v>
      </c>
      <c r="F2318" t="str">
        <f>"2018-11-27 20:16:31"</f>
        <v>2018-11-27 20:16:31</v>
      </c>
    </row>
    <row r="2319" spans="1:6" x14ac:dyDescent="0.3">
      <c r="A2319" t="s">
        <v>3820</v>
      </c>
      <c r="B2319" t="str">
        <f>"15009011731"</f>
        <v>15009011731</v>
      </c>
      <c r="C2319" t="str">
        <f>"510921198908172214"</f>
        <v>510921198908172214</v>
      </c>
      <c r="D2319" t="s">
        <v>3821</v>
      </c>
      <c r="E2319" t="s">
        <v>3822</v>
      </c>
      <c r="F2319" t="str">
        <f>"2018-11-27 20:14:16"</f>
        <v>2018-11-27 20:14:16</v>
      </c>
    </row>
    <row r="2320" spans="1:6" x14ac:dyDescent="0.3">
      <c r="A2320" t="s">
        <v>3823</v>
      </c>
      <c r="B2320" t="str">
        <f>"13472458373"</f>
        <v>13472458373</v>
      </c>
      <c r="C2320" t="str">
        <f>"452426197811180627"</f>
        <v>452426197811180627</v>
      </c>
      <c r="D2320" t="s">
        <v>0</v>
      </c>
      <c r="E2320" t="s">
        <v>0</v>
      </c>
      <c r="F2320" t="str">
        <f>"2018-11-27 20:13:49"</f>
        <v>2018-11-27 20:13:49</v>
      </c>
    </row>
    <row r="2321" spans="1:6" x14ac:dyDescent="0.3">
      <c r="A2321" t="s">
        <v>3824</v>
      </c>
      <c r="B2321" t="str">
        <f>"18851322866"</f>
        <v>18851322866</v>
      </c>
      <c r="C2321" t="str">
        <f>"320683198912136416"</f>
        <v>320683198912136416</v>
      </c>
      <c r="D2321" t="s">
        <v>3825</v>
      </c>
      <c r="E2321" t="s">
        <v>3826</v>
      </c>
      <c r="F2321" t="str">
        <f>"2018-11-27 20:13:03"</f>
        <v>2018-11-27 20:13:03</v>
      </c>
    </row>
    <row r="2322" spans="1:6" x14ac:dyDescent="0.3">
      <c r="A2322" t="s">
        <v>3827</v>
      </c>
      <c r="B2322" t="str">
        <f>"18783755347"</f>
        <v>18783755347</v>
      </c>
      <c r="C2322" t="str">
        <f>"510121198707205012"</f>
        <v>510121198707205012</v>
      </c>
      <c r="D2322" t="s">
        <v>3828</v>
      </c>
      <c r="E2322" t="s">
        <v>3829</v>
      </c>
      <c r="F2322" t="str">
        <f>"2018-11-27 20:12:32"</f>
        <v>2018-11-27 20:12:32</v>
      </c>
    </row>
    <row r="2323" spans="1:6" x14ac:dyDescent="0.3">
      <c r="A2323" t="s">
        <v>3830</v>
      </c>
      <c r="B2323" t="str">
        <f>"18077957344"</f>
        <v>18077957344</v>
      </c>
      <c r="C2323" t="str">
        <f>"450503198610020233"</f>
        <v>450503198610020233</v>
      </c>
      <c r="D2323" t="s">
        <v>3831</v>
      </c>
      <c r="E2323" t="s">
        <v>3832</v>
      </c>
      <c r="F2323" t="str">
        <f>"2018-11-27 20:10:07"</f>
        <v>2018-11-27 20:10:07</v>
      </c>
    </row>
    <row r="2324" spans="1:6" x14ac:dyDescent="0.3">
      <c r="A2324" t="s">
        <v>0</v>
      </c>
      <c r="B2324" t="str">
        <f>"15967982829"</f>
        <v>15967982829</v>
      </c>
      <c r="C2324" t="s">
        <v>0</v>
      </c>
      <c r="D2324" t="s">
        <v>0</v>
      </c>
      <c r="E2324" t="s">
        <v>0</v>
      </c>
      <c r="F2324" t="str">
        <f>"2018-11-27 20:06:51"</f>
        <v>2018-11-27 20:06:51</v>
      </c>
    </row>
    <row r="2325" spans="1:6" x14ac:dyDescent="0.3">
      <c r="A2325" t="s">
        <v>0</v>
      </c>
      <c r="B2325" t="str">
        <f>"13773256080"</f>
        <v>13773256080</v>
      </c>
      <c r="C2325" t="s">
        <v>0</v>
      </c>
      <c r="D2325" t="s">
        <v>0</v>
      </c>
      <c r="E2325" t="s">
        <v>0</v>
      </c>
      <c r="F2325" t="str">
        <f>"2018-11-27 20:05:22"</f>
        <v>2018-11-27 20:05:22</v>
      </c>
    </row>
    <row r="2326" spans="1:6" x14ac:dyDescent="0.3">
      <c r="A2326" t="s">
        <v>3833</v>
      </c>
      <c r="B2326" t="str">
        <f>"15097757111"</f>
        <v>15097757111</v>
      </c>
      <c r="C2326" t="str">
        <f>"130633198808276479"</f>
        <v>130633198808276479</v>
      </c>
      <c r="D2326" t="s">
        <v>0</v>
      </c>
      <c r="E2326" t="s">
        <v>0</v>
      </c>
      <c r="F2326" t="str">
        <f>"2018-11-27 20:04:46"</f>
        <v>2018-11-27 20:04:46</v>
      </c>
    </row>
    <row r="2327" spans="1:6" x14ac:dyDescent="0.3">
      <c r="A2327" t="s">
        <v>0</v>
      </c>
      <c r="B2327" t="str">
        <f>"13927284328"</f>
        <v>13927284328</v>
      </c>
      <c r="C2327" t="s">
        <v>0</v>
      </c>
      <c r="D2327" t="s">
        <v>0</v>
      </c>
      <c r="E2327" t="s">
        <v>0</v>
      </c>
      <c r="F2327" t="str">
        <f>"2018-11-27 20:04:02"</f>
        <v>2018-11-27 20:04:02</v>
      </c>
    </row>
    <row r="2328" spans="1:6" x14ac:dyDescent="0.3">
      <c r="A2328" t="s">
        <v>0</v>
      </c>
      <c r="B2328" t="str">
        <f>"15076508552"</f>
        <v>15076508552</v>
      </c>
      <c r="C2328" t="s">
        <v>0</v>
      </c>
      <c r="D2328" t="s">
        <v>0</v>
      </c>
      <c r="E2328" t="s">
        <v>0</v>
      </c>
      <c r="F2328" t="str">
        <f>"2018-11-27 20:02:29"</f>
        <v>2018-11-27 20:02:29</v>
      </c>
    </row>
    <row r="2329" spans="1:6" x14ac:dyDescent="0.3">
      <c r="A2329" t="s">
        <v>0</v>
      </c>
      <c r="B2329" t="str">
        <f>"15040120793"</f>
        <v>15040120793</v>
      </c>
      <c r="C2329" t="s">
        <v>0</v>
      </c>
      <c r="D2329" t="s">
        <v>0</v>
      </c>
      <c r="E2329" t="s">
        <v>0</v>
      </c>
      <c r="F2329" t="str">
        <f>"2018-11-27 20:01:08"</f>
        <v>2018-11-27 20:01:08</v>
      </c>
    </row>
    <row r="2330" spans="1:6" x14ac:dyDescent="0.3">
      <c r="A2330" t="s">
        <v>3834</v>
      </c>
      <c r="B2330" t="str">
        <f>"18230199309"</f>
        <v>18230199309</v>
      </c>
      <c r="C2330" t="str">
        <f>"13050319940217182X"</f>
        <v>13050319940217182X</v>
      </c>
      <c r="D2330" t="s">
        <v>3835</v>
      </c>
      <c r="E2330" t="s">
        <v>3836</v>
      </c>
      <c r="F2330" t="str">
        <f>"2018-11-27 20:01:01"</f>
        <v>2018-11-27 20:01:01</v>
      </c>
    </row>
    <row r="2331" spans="1:6" x14ac:dyDescent="0.3">
      <c r="A2331" t="s">
        <v>3837</v>
      </c>
      <c r="B2331" t="str">
        <f>"15183621100"</f>
        <v>15183621100</v>
      </c>
      <c r="C2331" t="str">
        <f>"51333419880628222X"</f>
        <v>51333419880628222X</v>
      </c>
      <c r="D2331" t="s">
        <v>3838</v>
      </c>
      <c r="E2331" t="s">
        <v>3839</v>
      </c>
      <c r="F2331" t="str">
        <f>"2018-11-27 19:57:11"</f>
        <v>2018-11-27 19:57:11</v>
      </c>
    </row>
    <row r="2332" spans="1:6" x14ac:dyDescent="0.3">
      <c r="A2332" t="s">
        <v>3840</v>
      </c>
      <c r="B2332" t="str">
        <f>"13972153641"</f>
        <v>13972153641</v>
      </c>
      <c r="C2332" t="str">
        <f>"421087199401272119"</f>
        <v>421087199401272119</v>
      </c>
      <c r="D2332" t="s">
        <v>0</v>
      </c>
      <c r="E2332" t="s">
        <v>0</v>
      </c>
      <c r="F2332" t="str">
        <f>"2018-11-27 19:49:32"</f>
        <v>2018-11-27 19:49:32</v>
      </c>
    </row>
    <row r="2333" spans="1:6" x14ac:dyDescent="0.3">
      <c r="A2333" t="s">
        <v>3841</v>
      </c>
      <c r="B2333" t="str">
        <f>"15862429970"</f>
        <v>15862429970</v>
      </c>
      <c r="C2333" t="str">
        <f>"320502198907223036"</f>
        <v>320502198907223036</v>
      </c>
      <c r="D2333" t="s">
        <v>0</v>
      </c>
      <c r="E2333" t="s">
        <v>0</v>
      </c>
      <c r="F2333" t="str">
        <f>"2018-11-27 19:48:40"</f>
        <v>2018-11-27 19:48:40</v>
      </c>
    </row>
    <row r="2334" spans="1:6" x14ac:dyDescent="0.3">
      <c r="A2334" t="s">
        <v>3842</v>
      </c>
      <c r="B2334" t="str">
        <f>"15326915999"</f>
        <v>15326915999</v>
      </c>
      <c r="C2334" t="str">
        <f>"21088119860917042X"</f>
        <v>21088119860917042X</v>
      </c>
      <c r="D2334" t="s">
        <v>0</v>
      </c>
      <c r="E2334" t="s">
        <v>0</v>
      </c>
      <c r="F2334" t="str">
        <f>"2018-11-27 19:43:44"</f>
        <v>2018-11-27 19:43:44</v>
      </c>
    </row>
    <row r="2335" spans="1:6" x14ac:dyDescent="0.3">
      <c r="A2335" t="s">
        <v>0</v>
      </c>
      <c r="B2335" t="str">
        <f>"13002684924"</f>
        <v>13002684924</v>
      </c>
      <c r="C2335" t="s">
        <v>0</v>
      </c>
      <c r="D2335" t="s">
        <v>0</v>
      </c>
      <c r="E2335" t="s">
        <v>0</v>
      </c>
      <c r="F2335" t="str">
        <f>"2018-11-27 19:40:47"</f>
        <v>2018-11-27 19:40:47</v>
      </c>
    </row>
    <row r="2336" spans="1:6" x14ac:dyDescent="0.3">
      <c r="A2336" t="s">
        <v>3843</v>
      </c>
      <c r="B2336" t="str">
        <f>"18782300610"</f>
        <v>18782300610</v>
      </c>
      <c r="C2336" t="str">
        <f>"513425199109303519"</f>
        <v>513425199109303519</v>
      </c>
      <c r="D2336" t="s">
        <v>3844</v>
      </c>
      <c r="E2336" t="s">
        <v>3845</v>
      </c>
      <c r="F2336" t="str">
        <f>"2018-11-27 19:39:17"</f>
        <v>2018-11-27 19:39:17</v>
      </c>
    </row>
    <row r="2337" spans="1:6" x14ac:dyDescent="0.3">
      <c r="A2337" t="s">
        <v>0</v>
      </c>
      <c r="B2337" t="str">
        <f>"13279490141"</f>
        <v>13279490141</v>
      </c>
      <c r="C2337" t="s">
        <v>0</v>
      </c>
      <c r="D2337" t="s">
        <v>0</v>
      </c>
      <c r="E2337" t="s">
        <v>0</v>
      </c>
      <c r="F2337" t="str">
        <f>"2018-11-27 19:38:32"</f>
        <v>2018-11-27 19:38:32</v>
      </c>
    </row>
    <row r="2338" spans="1:6" x14ac:dyDescent="0.3">
      <c r="A2338" t="s">
        <v>3846</v>
      </c>
      <c r="B2338" t="str">
        <f>"15729513321"</f>
        <v>15729513321</v>
      </c>
      <c r="C2338" t="str">
        <f>"642226199102051631"</f>
        <v>642226199102051631</v>
      </c>
      <c r="D2338" t="s">
        <v>0</v>
      </c>
      <c r="E2338" t="s">
        <v>0</v>
      </c>
      <c r="F2338" t="str">
        <f>"2018-11-27 19:36:19"</f>
        <v>2018-11-27 19:36:19</v>
      </c>
    </row>
    <row r="2339" spans="1:6" x14ac:dyDescent="0.3">
      <c r="A2339" t="s">
        <v>3847</v>
      </c>
      <c r="B2339" t="str">
        <f>"15213155871"</f>
        <v>15213155871</v>
      </c>
      <c r="C2339" t="str">
        <f>"511622198910168629"</f>
        <v>511622198910168629</v>
      </c>
      <c r="D2339" t="s">
        <v>3848</v>
      </c>
      <c r="E2339" t="s">
        <v>3849</v>
      </c>
      <c r="F2339" t="str">
        <f>"2018-11-27 19:24:55"</f>
        <v>2018-11-27 19:24:55</v>
      </c>
    </row>
    <row r="2340" spans="1:6" x14ac:dyDescent="0.3">
      <c r="A2340" t="s">
        <v>3850</v>
      </c>
      <c r="B2340" t="str">
        <f>"18301031464"</f>
        <v>18301031464</v>
      </c>
      <c r="C2340" t="str">
        <f>"130730199409204815"</f>
        <v>130730199409204815</v>
      </c>
      <c r="D2340" t="s">
        <v>3851</v>
      </c>
      <c r="E2340" t="s">
        <v>3852</v>
      </c>
      <c r="F2340" t="str">
        <f>"2018-11-27 19:18:04"</f>
        <v>2018-11-27 19:18:04</v>
      </c>
    </row>
    <row r="2341" spans="1:6" x14ac:dyDescent="0.3">
      <c r="A2341" t="s">
        <v>3853</v>
      </c>
      <c r="B2341" t="str">
        <f>"15208917752"</f>
        <v>15208917752</v>
      </c>
      <c r="C2341" t="str">
        <f>"46003319961027357X"</f>
        <v>46003319961027357X</v>
      </c>
      <c r="D2341" t="s">
        <v>0</v>
      </c>
      <c r="E2341" t="s">
        <v>0</v>
      </c>
      <c r="F2341" t="str">
        <f>"2018-11-27 19:12:02"</f>
        <v>2018-11-27 19:12:02</v>
      </c>
    </row>
    <row r="2342" spans="1:6" x14ac:dyDescent="0.3">
      <c r="A2342" t="s">
        <v>3854</v>
      </c>
      <c r="B2342" t="str">
        <f>"15770293501"</f>
        <v>15770293501</v>
      </c>
      <c r="C2342" t="str">
        <f>"533001199803265517"</f>
        <v>533001199803265517</v>
      </c>
      <c r="D2342" t="s">
        <v>0</v>
      </c>
      <c r="E2342" t="s">
        <v>0</v>
      </c>
      <c r="F2342" t="str">
        <f>"2018-11-27 19:03:09"</f>
        <v>2018-11-27 19:03:09</v>
      </c>
    </row>
    <row r="2343" spans="1:6" x14ac:dyDescent="0.3">
      <c r="A2343" t="s">
        <v>3855</v>
      </c>
      <c r="B2343" t="str">
        <f>"15068310144"</f>
        <v>15068310144</v>
      </c>
      <c r="C2343" t="str">
        <f>"330483198712042010"</f>
        <v>330483198712042010</v>
      </c>
      <c r="D2343" t="s">
        <v>3856</v>
      </c>
      <c r="E2343" t="s">
        <v>3857</v>
      </c>
      <c r="F2343" t="str">
        <f>"2018-11-27 19:00:22"</f>
        <v>2018-11-27 19:00:22</v>
      </c>
    </row>
    <row r="2344" spans="1:6" x14ac:dyDescent="0.3">
      <c r="A2344" t="s">
        <v>3858</v>
      </c>
      <c r="B2344" t="str">
        <f>"18111788855"</f>
        <v>18111788855</v>
      </c>
      <c r="C2344" t="str">
        <f>"513001198703111619"</f>
        <v>513001198703111619</v>
      </c>
      <c r="D2344" t="s">
        <v>3859</v>
      </c>
      <c r="E2344" t="s">
        <v>3860</v>
      </c>
      <c r="F2344" t="str">
        <f>"2018-11-27 18:54:08"</f>
        <v>2018-11-27 18:54:08</v>
      </c>
    </row>
    <row r="2345" spans="1:6" x14ac:dyDescent="0.3">
      <c r="A2345" t="s">
        <v>3861</v>
      </c>
      <c r="B2345" t="str">
        <f>"13599924967"</f>
        <v>13599924967</v>
      </c>
      <c r="C2345" t="str">
        <f>"350824199302214975"</f>
        <v>350824199302214975</v>
      </c>
      <c r="D2345" t="s">
        <v>3862</v>
      </c>
      <c r="E2345" t="s">
        <v>3863</v>
      </c>
      <c r="F2345" t="str">
        <f>"2018-11-27 18:52:40"</f>
        <v>2018-11-27 18:52:40</v>
      </c>
    </row>
    <row r="2346" spans="1:6" x14ac:dyDescent="0.3">
      <c r="A2346" t="s">
        <v>3864</v>
      </c>
      <c r="B2346" t="str">
        <f>"13987132152"</f>
        <v>13987132152</v>
      </c>
      <c r="C2346" t="str">
        <f>"530102199207150026"</f>
        <v>530102199207150026</v>
      </c>
      <c r="D2346" t="s">
        <v>3865</v>
      </c>
      <c r="E2346" t="s">
        <v>3866</v>
      </c>
      <c r="F2346" t="str">
        <f>"2018-11-27 18:49:30"</f>
        <v>2018-11-27 18:49:30</v>
      </c>
    </row>
    <row r="2347" spans="1:6" x14ac:dyDescent="0.3">
      <c r="A2347" t="s">
        <v>3867</v>
      </c>
      <c r="B2347" t="str">
        <f>"18867083604"</f>
        <v>18867083604</v>
      </c>
      <c r="C2347" t="str">
        <f>"452226199111090338"</f>
        <v>452226199111090338</v>
      </c>
      <c r="D2347" t="s">
        <v>3868</v>
      </c>
      <c r="E2347" t="s">
        <v>3869</v>
      </c>
      <c r="F2347" t="str">
        <f>"2018-11-27 18:48:03"</f>
        <v>2018-11-27 18:48:03</v>
      </c>
    </row>
    <row r="2348" spans="1:6" x14ac:dyDescent="0.3">
      <c r="A2348" t="s">
        <v>0</v>
      </c>
      <c r="B2348" t="str">
        <f>"18082918382"</f>
        <v>18082918382</v>
      </c>
      <c r="C2348" t="s">
        <v>0</v>
      </c>
      <c r="D2348" t="s">
        <v>0</v>
      </c>
      <c r="E2348" t="s">
        <v>0</v>
      </c>
      <c r="F2348" t="str">
        <f>"2018-11-27 18:42:24"</f>
        <v>2018-11-27 18:42:24</v>
      </c>
    </row>
    <row r="2349" spans="1:6" x14ac:dyDescent="0.3">
      <c r="A2349" t="s">
        <v>3870</v>
      </c>
      <c r="B2349" t="str">
        <f>"18328362501"</f>
        <v>18328362501</v>
      </c>
      <c r="C2349" t="str">
        <f>"513822199107196767"</f>
        <v>513822199107196767</v>
      </c>
      <c r="D2349" t="s">
        <v>3871</v>
      </c>
      <c r="E2349" t="s">
        <v>3872</v>
      </c>
      <c r="F2349" t="str">
        <f>"2018-11-27 18:42:04"</f>
        <v>2018-11-27 18:42:04</v>
      </c>
    </row>
    <row r="2350" spans="1:6" x14ac:dyDescent="0.3">
      <c r="A2350" t="s">
        <v>3873</v>
      </c>
      <c r="B2350" t="str">
        <f>"13764538285"</f>
        <v>13764538285</v>
      </c>
      <c r="C2350" t="str">
        <f>"310103195908302413"</f>
        <v>310103195908302413</v>
      </c>
      <c r="D2350" t="s">
        <v>3874</v>
      </c>
      <c r="E2350" t="s">
        <v>3875</v>
      </c>
      <c r="F2350" t="str">
        <f>"2018-11-27 18:41:57"</f>
        <v>2018-11-27 18:41:57</v>
      </c>
    </row>
    <row r="2351" spans="1:6" x14ac:dyDescent="0.3">
      <c r="A2351" t="s">
        <v>3876</v>
      </c>
      <c r="B2351" t="str">
        <f>"15171969900"</f>
        <v>15171969900</v>
      </c>
      <c r="C2351" t="str">
        <f>"42280119841215381X"</f>
        <v>42280119841215381X</v>
      </c>
      <c r="D2351" t="s">
        <v>3877</v>
      </c>
      <c r="E2351" t="s">
        <v>3878</v>
      </c>
      <c r="F2351" t="str">
        <f>"2018-11-27 18:38:38"</f>
        <v>2018-11-27 18:38:38</v>
      </c>
    </row>
    <row r="2352" spans="1:6" x14ac:dyDescent="0.3">
      <c r="A2352" t="s">
        <v>3879</v>
      </c>
      <c r="B2352" t="str">
        <f>"13293850026"</f>
        <v>13293850026</v>
      </c>
      <c r="C2352" t="str">
        <f>"140429196705115629"</f>
        <v>140429196705115629</v>
      </c>
      <c r="D2352" t="s">
        <v>0</v>
      </c>
      <c r="E2352" t="s">
        <v>0</v>
      </c>
      <c r="F2352" t="str">
        <f>"2018-11-27 18:31:52"</f>
        <v>2018-11-27 18:31:52</v>
      </c>
    </row>
    <row r="2353" spans="1:6" x14ac:dyDescent="0.3">
      <c r="A2353" t="s">
        <v>0</v>
      </c>
      <c r="B2353" t="str">
        <f>"17671422559"</f>
        <v>17671422559</v>
      </c>
      <c r="C2353" t="s">
        <v>0</v>
      </c>
      <c r="D2353" t="s">
        <v>0</v>
      </c>
      <c r="E2353" t="s">
        <v>0</v>
      </c>
      <c r="F2353" t="str">
        <f>"2018-11-27 18:31:40"</f>
        <v>2018-11-27 18:31:40</v>
      </c>
    </row>
    <row r="2354" spans="1:6" x14ac:dyDescent="0.3">
      <c r="A2354" t="s">
        <v>0</v>
      </c>
      <c r="B2354" t="str">
        <f>"18310970832"</f>
        <v>18310970832</v>
      </c>
      <c r="C2354" t="s">
        <v>0</v>
      </c>
      <c r="D2354" t="s">
        <v>0</v>
      </c>
      <c r="E2354" t="s">
        <v>0</v>
      </c>
      <c r="F2354" t="str">
        <f>"2018-11-27 18:25:14"</f>
        <v>2018-11-27 18:25:14</v>
      </c>
    </row>
    <row r="2355" spans="1:6" x14ac:dyDescent="0.3">
      <c r="A2355" t="s">
        <v>3880</v>
      </c>
      <c r="B2355" t="str">
        <f>"13873175351"</f>
        <v>13873175351</v>
      </c>
      <c r="C2355" t="str">
        <f>"430102197503080517"</f>
        <v>430102197503080517</v>
      </c>
      <c r="D2355" t="s">
        <v>3881</v>
      </c>
      <c r="E2355" t="s">
        <v>3882</v>
      </c>
      <c r="F2355" t="str">
        <f>"2018-11-27 18:22:18"</f>
        <v>2018-11-27 18:22:18</v>
      </c>
    </row>
    <row r="2356" spans="1:6" x14ac:dyDescent="0.3">
      <c r="A2356" t="s">
        <v>3883</v>
      </c>
      <c r="B2356" t="str">
        <f>"15812190000"</f>
        <v>15812190000</v>
      </c>
      <c r="C2356" t="str">
        <f>"53292919880221112X"</f>
        <v>53292919880221112X</v>
      </c>
      <c r="D2356" t="s">
        <v>3884</v>
      </c>
      <c r="E2356" t="s">
        <v>3885</v>
      </c>
      <c r="F2356" t="str">
        <f>"2018-11-27 18:20:29"</f>
        <v>2018-11-27 18:20:29</v>
      </c>
    </row>
    <row r="2357" spans="1:6" x14ac:dyDescent="0.3">
      <c r="A2357" t="s">
        <v>3886</v>
      </c>
      <c r="B2357" t="str">
        <f>"18553392345"</f>
        <v>18553392345</v>
      </c>
      <c r="C2357" t="str">
        <f>"370304198807131338"</f>
        <v>370304198807131338</v>
      </c>
      <c r="D2357" t="s">
        <v>3887</v>
      </c>
      <c r="E2357" t="s">
        <v>3888</v>
      </c>
      <c r="F2357" t="str">
        <f>"2018-11-27 18:19:11"</f>
        <v>2018-11-27 18:19:11</v>
      </c>
    </row>
    <row r="2358" spans="1:6" x14ac:dyDescent="0.3">
      <c r="A2358" t="s">
        <v>3889</v>
      </c>
      <c r="B2358" t="str">
        <f>"18275979016"</f>
        <v>18275979016</v>
      </c>
      <c r="C2358" t="str">
        <f>"452133198807303630"</f>
        <v>452133198807303630</v>
      </c>
      <c r="D2358" t="s">
        <v>3890</v>
      </c>
      <c r="E2358" t="s">
        <v>3891</v>
      </c>
      <c r="F2358" t="str">
        <f>"2018-11-27 18:17:03"</f>
        <v>2018-11-27 18:17:03</v>
      </c>
    </row>
    <row r="2359" spans="1:6" x14ac:dyDescent="0.3">
      <c r="A2359" t="s">
        <v>0</v>
      </c>
      <c r="B2359" t="str">
        <f>"18406187789"</f>
        <v>18406187789</v>
      </c>
      <c r="C2359" t="s">
        <v>0</v>
      </c>
      <c r="D2359" t="s">
        <v>0</v>
      </c>
      <c r="E2359" t="s">
        <v>0</v>
      </c>
      <c r="F2359" t="str">
        <f>"2018-11-27 18:16:28"</f>
        <v>2018-11-27 18:16:28</v>
      </c>
    </row>
    <row r="2360" spans="1:6" x14ac:dyDescent="0.3">
      <c r="A2360" t="s">
        <v>3892</v>
      </c>
      <c r="B2360" t="str">
        <f>"13566262435"</f>
        <v>13566262435</v>
      </c>
      <c r="C2360" t="str">
        <f>"330304198307311511"</f>
        <v>330304198307311511</v>
      </c>
      <c r="D2360" t="s">
        <v>0</v>
      </c>
      <c r="E2360" t="s">
        <v>0</v>
      </c>
      <c r="F2360" t="str">
        <f>"2018-11-27 18:15:51"</f>
        <v>2018-11-27 18:15:51</v>
      </c>
    </row>
    <row r="2361" spans="1:6" x14ac:dyDescent="0.3">
      <c r="A2361" t="s">
        <v>0</v>
      </c>
      <c r="B2361" t="str">
        <f>"15833013170"</f>
        <v>15833013170</v>
      </c>
      <c r="C2361" t="s">
        <v>0</v>
      </c>
      <c r="D2361" t="s">
        <v>0</v>
      </c>
      <c r="E2361" t="s">
        <v>0</v>
      </c>
      <c r="F2361" t="str">
        <f>"2018-11-27 18:10:19"</f>
        <v>2018-11-27 18:10:19</v>
      </c>
    </row>
    <row r="2362" spans="1:6" x14ac:dyDescent="0.3">
      <c r="A2362" t="s">
        <v>3893</v>
      </c>
      <c r="B2362" t="str">
        <f>"13651626826"</f>
        <v>13651626826</v>
      </c>
      <c r="C2362" t="str">
        <f>"342225198410121038"</f>
        <v>342225198410121038</v>
      </c>
      <c r="D2362" t="s">
        <v>3894</v>
      </c>
      <c r="E2362" t="s">
        <v>3895</v>
      </c>
      <c r="F2362" t="str">
        <f>"2018-11-27 18:07:37"</f>
        <v>2018-11-27 18:07:37</v>
      </c>
    </row>
    <row r="2363" spans="1:6" x14ac:dyDescent="0.3">
      <c r="A2363" t="s">
        <v>3896</v>
      </c>
      <c r="B2363" t="str">
        <f>"15989056153"</f>
        <v>15989056153</v>
      </c>
      <c r="C2363" t="str">
        <f>"44011119840212451X"</f>
        <v>44011119840212451X</v>
      </c>
      <c r="D2363" t="s">
        <v>3897</v>
      </c>
      <c r="E2363" t="s">
        <v>3898</v>
      </c>
      <c r="F2363" t="str">
        <f>"2018-11-27 18:07:37"</f>
        <v>2018-11-27 18:07:37</v>
      </c>
    </row>
    <row r="2364" spans="1:6" x14ac:dyDescent="0.3">
      <c r="A2364" t="s">
        <v>3899</v>
      </c>
      <c r="B2364" t="str">
        <f>"15083727780"</f>
        <v>15083727780</v>
      </c>
      <c r="C2364" t="str">
        <f>"360731199805146556"</f>
        <v>360731199805146556</v>
      </c>
      <c r="D2364" t="s">
        <v>3900</v>
      </c>
      <c r="E2364" t="s">
        <v>3901</v>
      </c>
      <c r="F2364" t="str">
        <f>"2018-11-27 18:05:33"</f>
        <v>2018-11-27 18:05:33</v>
      </c>
    </row>
    <row r="2365" spans="1:6" x14ac:dyDescent="0.3">
      <c r="A2365" t="s">
        <v>3902</v>
      </c>
      <c r="B2365" t="str">
        <f>"15063219961"</f>
        <v>15063219961</v>
      </c>
      <c r="C2365" t="str">
        <f>"370406199508234516"</f>
        <v>370406199508234516</v>
      </c>
      <c r="D2365" t="s">
        <v>0</v>
      </c>
      <c r="E2365" t="s">
        <v>0</v>
      </c>
      <c r="F2365" t="str">
        <f>"2018-11-27 17:59:08"</f>
        <v>2018-11-27 17:59:08</v>
      </c>
    </row>
    <row r="2366" spans="1:6" x14ac:dyDescent="0.3">
      <c r="A2366" t="s">
        <v>3903</v>
      </c>
      <c r="B2366" t="str">
        <f>"13868758835"</f>
        <v>13868758835</v>
      </c>
      <c r="C2366" t="str">
        <f>"411403198904205477"</f>
        <v>411403198904205477</v>
      </c>
      <c r="D2366" t="s">
        <v>3904</v>
      </c>
      <c r="E2366" t="s">
        <v>3905</v>
      </c>
      <c r="F2366" t="str">
        <f>"2018-11-27 17:58:17"</f>
        <v>2018-11-27 17:58:17</v>
      </c>
    </row>
    <row r="2367" spans="1:6" x14ac:dyDescent="0.3">
      <c r="A2367" t="s">
        <v>3906</v>
      </c>
      <c r="B2367" t="str">
        <f>"18438000039"</f>
        <v>18438000039</v>
      </c>
      <c r="C2367" t="str">
        <f>"412725199303306918"</f>
        <v>412725199303306918</v>
      </c>
      <c r="D2367" t="s">
        <v>3907</v>
      </c>
      <c r="E2367" t="s">
        <v>3908</v>
      </c>
      <c r="F2367" t="str">
        <f>"2018-11-27 17:57:15"</f>
        <v>2018-11-27 17:57:15</v>
      </c>
    </row>
    <row r="2368" spans="1:6" x14ac:dyDescent="0.3">
      <c r="A2368" t="s">
        <v>3909</v>
      </c>
      <c r="B2368" t="str">
        <f>"15912455603"</f>
        <v>15912455603</v>
      </c>
      <c r="C2368" t="str">
        <f>"532126199205062316"</f>
        <v>532126199205062316</v>
      </c>
      <c r="D2368" t="s">
        <v>3910</v>
      </c>
      <c r="E2368" t="s">
        <v>3911</v>
      </c>
      <c r="F2368" t="str">
        <f>"2018-11-27 17:55:40"</f>
        <v>2018-11-27 17:55:40</v>
      </c>
    </row>
    <row r="2369" spans="1:6" x14ac:dyDescent="0.3">
      <c r="A2369" t="s">
        <v>0</v>
      </c>
      <c r="B2369" t="str">
        <f>"15044198801"</f>
        <v>15044198801</v>
      </c>
      <c r="C2369" t="s">
        <v>0</v>
      </c>
      <c r="D2369" t="s">
        <v>0</v>
      </c>
      <c r="E2369" t="s">
        <v>0</v>
      </c>
      <c r="F2369" t="str">
        <f>"2018-11-27 17:54:26"</f>
        <v>2018-11-27 17:54:26</v>
      </c>
    </row>
    <row r="2370" spans="1:6" x14ac:dyDescent="0.3">
      <c r="A2370" t="s">
        <v>3912</v>
      </c>
      <c r="B2370" t="str">
        <f>"18787223136"</f>
        <v>18787223136</v>
      </c>
      <c r="C2370" t="str">
        <f>"532923199602190519"</f>
        <v>532923199602190519</v>
      </c>
      <c r="D2370" t="s">
        <v>3913</v>
      </c>
      <c r="E2370" t="s">
        <v>3914</v>
      </c>
      <c r="F2370" t="str">
        <f>"2018-11-27 17:49:21"</f>
        <v>2018-11-27 17:49:21</v>
      </c>
    </row>
    <row r="2371" spans="1:6" x14ac:dyDescent="0.3">
      <c r="A2371" t="s">
        <v>3915</v>
      </c>
      <c r="B2371" t="str">
        <f>"15258149333"</f>
        <v>15258149333</v>
      </c>
      <c r="C2371" t="str">
        <f>"450111199008203339"</f>
        <v>450111199008203339</v>
      </c>
      <c r="D2371" t="s">
        <v>0</v>
      </c>
      <c r="E2371" t="s">
        <v>0</v>
      </c>
      <c r="F2371" t="str">
        <f>"2018-11-27 17:43:57"</f>
        <v>2018-11-27 17:43:57</v>
      </c>
    </row>
    <row r="2372" spans="1:6" x14ac:dyDescent="0.3">
      <c r="A2372" t="s">
        <v>3916</v>
      </c>
      <c r="B2372" t="str">
        <f>"18975989993"</f>
        <v>18975989993</v>
      </c>
      <c r="C2372" t="str">
        <f>"430511198209132518"</f>
        <v>430511198209132518</v>
      </c>
      <c r="D2372" t="s">
        <v>3917</v>
      </c>
      <c r="E2372" t="s">
        <v>3918</v>
      </c>
      <c r="F2372" t="str">
        <f>"2018-11-27 17:38:45"</f>
        <v>2018-11-27 17:38:45</v>
      </c>
    </row>
    <row r="2373" spans="1:6" x14ac:dyDescent="0.3">
      <c r="A2373" t="s">
        <v>3919</v>
      </c>
      <c r="B2373" t="str">
        <f>"18756826681"</f>
        <v>18756826681</v>
      </c>
      <c r="C2373" t="str">
        <f>"341282198406174934"</f>
        <v>341282198406174934</v>
      </c>
      <c r="D2373" t="s">
        <v>0</v>
      </c>
      <c r="E2373" t="s">
        <v>0</v>
      </c>
      <c r="F2373" t="str">
        <f>"2018-11-27 17:34:36"</f>
        <v>2018-11-27 17:34:36</v>
      </c>
    </row>
    <row r="2374" spans="1:6" x14ac:dyDescent="0.3">
      <c r="A2374" t="s">
        <v>3920</v>
      </c>
      <c r="B2374" t="str">
        <f>"13922567512"</f>
        <v>13922567512</v>
      </c>
      <c r="C2374" t="str">
        <f>"441821198209190023"</f>
        <v>441821198209190023</v>
      </c>
      <c r="D2374" t="s">
        <v>3921</v>
      </c>
      <c r="E2374" t="s">
        <v>3922</v>
      </c>
      <c r="F2374" t="str">
        <f>"2018-11-27 17:34:17"</f>
        <v>2018-11-27 17:34:17</v>
      </c>
    </row>
    <row r="2375" spans="1:6" x14ac:dyDescent="0.3">
      <c r="A2375" t="s">
        <v>0</v>
      </c>
      <c r="B2375" t="str">
        <f>"13005985854"</f>
        <v>13005985854</v>
      </c>
      <c r="C2375" t="s">
        <v>0</v>
      </c>
      <c r="D2375" t="s">
        <v>0</v>
      </c>
      <c r="E2375" t="s">
        <v>0</v>
      </c>
      <c r="F2375" t="str">
        <f>"2018-11-27 17:33:50"</f>
        <v>2018-11-27 17:33:50</v>
      </c>
    </row>
  </sheetData>
  <phoneticPr fontId="1" type="noConversion"/>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MDM</dc:creator>
  <cp:lastModifiedBy>MDM</cp:lastModifiedBy>
  <dcterms:created xsi:type="dcterms:W3CDTF">2019-02-09T11:31:04Z</dcterms:created>
  <dcterms:modified xsi:type="dcterms:W3CDTF">2019-02-09T11:35:01Z</dcterms:modified>
</cp:coreProperties>
</file>