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ance/Desktop/PhD/ARPAE/integrate/examples/acceleration-benchmarks-paper-scripts/data/"/>
    </mc:Choice>
  </mc:AlternateContent>
  <xr:revisionPtr revIDLastSave="0" documentId="13_ncr:1_{EE062A9D-67AF-3C48-BA28-5969BC22DAD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AA speedups" sheetId="1" r:id="rId1"/>
    <sheet name="Overall speedup estim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D32" i="2"/>
  <c r="C28" i="2"/>
  <c r="C32" i="2" s="1"/>
  <c r="C15" i="2"/>
  <c r="E13" i="2"/>
  <c r="E21" i="2" s="1"/>
  <c r="E22" i="2" s="1"/>
  <c r="E29" i="2" s="1"/>
  <c r="E32" i="2" s="1"/>
  <c r="D13" i="2"/>
  <c r="D21" i="2" s="1"/>
  <c r="D22" i="2" s="1"/>
  <c r="C13" i="2"/>
  <c r="C10" i="2"/>
  <c r="C21" i="2" s="1"/>
  <c r="C22" i="2" s="1"/>
  <c r="D7" i="2"/>
  <c r="F51" i="1"/>
  <c r="D51" i="1"/>
  <c r="E51" i="1" s="1"/>
  <c r="F50" i="1"/>
  <c r="E50" i="1"/>
  <c r="D50" i="1"/>
  <c r="H49" i="1"/>
  <c r="F49" i="1"/>
  <c r="E49" i="1"/>
  <c r="D49" i="1"/>
  <c r="F48" i="1"/>
  <c r="D48" i="1"/>
  <c r="E48" i="1" s="1"/>
  <c r="F47" i="1"/>
  <c r="D47" i="1"/>
  <c r="E47" i="1" s="1"/>
  <c r="F46" i="1"/>
  <c r="H51" i="1" s="1"/>
  <c r="D46" i="1"/>
  <c r="E46" i="1" s="1"/>
  <c r="F42" i="1"/>
  <c r="D42" i="1"/>
  <c r="E42" i="1" s="1"/>
  <c r="F41" i="1"/>
  <c r="E41" i="1"/>
  <c r="D41" i="1"/>
  <c r="H40" i="1"/>
  <c r="F40" i="1"/>
  <c r="E40" i="1"/>
  <c r="D40" i="1"/>
  <c r="F39" i="1"/>
  <c r="D39" i="1"/>
  <c r="E39" i="1" s="1"/>
  <c r="F38" i="1"/>
  <c r="D38" i="1"/>
  <c r="E38" i="1" s="1"/>
  <c r="F37" i="1"/>
  <c r="H42" i="1" s="1"/>
  <c r="D37" i="1"/>
  <c r="E37" i="1" s="1"/>
  <c r="F33" i="1"/>
  <c r="D33" i="1"/>
  <c r="E33" i="1" s="1"/>
  <c r="F32" i="1"/>
  <c r="E32" i="1"/>
  <c r="D32" i="1"/>
  <c r="H31" i="1"/>
  <c r="F31" i="1"/>
  <c r="E31" i="1"/>
  <c r="D31" i="1"/>
  <c r="F30" i="1"/>
  <c r="D30" i="1"/>
  <c r="E30" i="1" s="1"/>
  <c r="F29" i="1"/>
  <c r="D29" i="1"/>
  <c r="E29" i="1" s="1"/>
  <c r="F28" i="1"/>
  <c r="H33" i="1" s="1"/>
  <c r="D28" i="1"/>
  <c r="E28" i="1" s="1"/>
  <c r="F27" i="1"/>
  <c r="E27" i="1"/>
  <c r="D27" i="1"/>
  <c r="F23" i="1"/>
  <c r="E23" i="1"/>
  <c r="D23" i="1"/>
  <c r="F22" i="1"/>
  <c r="D22" i="1"/>
  <c r="E22" i="1" s="1"/>
  <c r="H21" i="1"/>
  <c r="F21" i="1"/>
  <c r="D21" i="1"/>
  <c r="E21" i="1" s="1"/>
  <c r="F20" i="1"/>
  <c r="D20" i="1"/>
  <c r="E20" i="1" s="1"/>
  <c r="F19" i="1"/>
  <c r="D19" i="1"/>
  <c r="E19" i="1" s="1"/>
  <c r="F18" i="1"/>
  <c r="H23" i="1" s="1"/>
  <c r="E18" i="1"/>
  <c r="D18" i="1"/>
  <c r="F17" i="1"/>
  <c r="D17" i="1"/>
  <c r="E17" i="1" s="1"/>
  <c r="E12" i="1"/>
  <c r="D12" i="1"/>
  <c r="E11" i="1"/>
  <c r="D11" i="1"/>
  <c r="E8" i="1"/>
  <c r="D8" i="1"/>
  <c r="E5" i="1"/>
  <c r="D5" i="1"/>
  <c r="E4" i="1"/>
  <c r="D4" i="1"/>
  <c r="E3" i="1"/>
  <c r="D3" i="1"/>
  <c r="E36" i="2" l="1"/>
  <c r="D36" i="2"/>
  <c r="C36" i="2"/>
  <c r="C58" i="1"/>
  <c r="B58" i="1"/>
  <c r="D58" i="1"/>
</calcChain>
</file>

<file path=xl/sharedStrings.xml><?xml version="1.0" encoding="utf-8"?>
<sst xmlns="http://schemas.openxmlformats.org/spreadsheetml/2006/main" count="133" uniqueCount="81">
  <si>
    <t>Structure Generation</t>
  </si>
  <si>
    <t>start time</t>
  </si>
  <si>
    <t>end time</t>
  </si>
  <si>
    <t>time difference</t>
  </si>
  <si>
    <t>time difference (s)</t>
  </si>
  <si>
    <t>Clean surface</t>
  </si>
  <si>
    <t>Site Identification</t>
  </si>
  <si>
    <t>Adsorbate placement</t>
  </si>
  <si>
    <t>Pre-processing</t>
  </si>
  <si>
    <t>Create GPAW/SLURM scripts</t>
  </si>
  <si>
    <t>Post-processing</t>
  </si>
  <si>
    <t>Data Collection</t>
  </si>
  <si>
    <t>Binding Energy</t>
  </si>
  <si>
    <t>Catalyst-specific DFT Settings &amp; DKI (SAA)</t>
  </si>
  <si>
    <t>OH site labelled by closest atom index in structure</t>
  </si>
  <si>
    <t>naive structure</t>
  </si>
  <si>
    <t>naive setting</t>
  </si>
  <si>
    <t>Total DFT Calculation Time</t>
  </si>
  <si>
    <t>start</t>
  </si>
  <si>
    <t>stop</t>
  </si>
  <si>
    <t xml:space="preserve">total </t>
  </si>
  <si>
    <t>total (s)</t>
  </si>
  <si>
    <t>number of steps</t>
  </si>
  <si>
    <t>clean surface</t>
  </si>
  <si>
    <t>pos9</t>
  </si>
  <si>
    <t>pos10</t>
  </si>
  <si>
    <t>pos19</t>
  </si>
  <si>
    <t>Average number of steps</t>
  </si>
  <si>
    <t>pos26</t>
  </si>
  <si>
    <t>pos16</t>
  </si>
  <si>
    <t>Average adsorption relaxation time</t>
  </si>
  <si>
    <t>pos35</t>
  </si>
  <si>
    <t>OH site labelled by xy-coordinate</t>
  </si>
  <si>
    <t>informed structure</t>
  </si>
  <si>
    <t>tailored setting</t>
  </si>
  <si>
    <t>total</t>
  </si>
  <si>
    <t>total(s)</t>
  </si>
  <si>
    <t>clean</t>
  </si>
  <si>
    <t>1.317_0.76</t>
  </si>
  <si>
    <t>2.632_3.022</t>
  </si>
  <si>
    <t>3.933_3.778</t>
  </si>
  <si>
    <t>6.546_3.779</t>
  </si>
  <si>
    <t>6.552_5.301</t>
  </si>
  <si>
    <t>7.867_1.51</t>
  </si>
  <si>
    <t>Factors of Runtime Acceleration</t>
  </si>
  <si>
    <t>(naive setting, naive structure)/(tailored setting, naive structure)</t>
  </si>
  <si>
    <t>(naive setting, naive structure)/(naive setting, informed structure)</t>
  </si>
  <si>
    <t>(naive setting, naive structure)/(tailored setting, informed structure)</t>
  </si>
  <si>
    <t>naive settings</t>
  </si>
  <si>
    <t>tailored settings</t>
  </si>
  <si>
    <t>Per catalyst system (e.g. Cu(111)/Ni):</t>
  </si>
  <si>
    <t>Traditional</t>
  </si>
  <si>
    <t>Automated</t>
  </si>
  <si>
    <t>Automated + surrogates</t>
  </si>
  <si>
    <t>Workflow step</t>
  </si>
  <si>
    <t>Substrate structure generation</t>
  </si>
  <si>
    <t>Relax substrate</t>
  </si>
  <si>
    <t>DFT pre-processing</t>
  </si>
  <si>
    <t>DFT calculation time</t>
  </si>
  <si>
    <t>Generate adsorbates</t>
  </si>
  <si>
    <t>Site identification + adsorption placement</t>
  </si>
  <si>
    <t>DFT calculation time (average, per intermediate configuration)</t>
  </si>
  <si>
    <t>DFT calculation time (total, for all ~20 intermediate configurations)</t>
  </si>
  <si>
    <t>Job submission and management (average per intermediate configuration)</t>
  </si>
  <si>
    <t>Job submission and management (total, for all ~20 intermediate configurations)</t>
  </si>
  <si>
    <t>Data collection</t>
  </si>
  <si>
    <t>Adsorption energy calculation</t>
  </si>
  <si>
    <t>Total time per catalyst system (s)</t>
  </si>
  <si>
    <t>Total time per catalyst system (hr)</t>
  </si>
  <si>
    <t>Surrogatization:</t>
  </si>
  <si>
    <t>Fraction training data for surrogatization</t>
  </si>
  <si>
    <t>N.A.</t>
  </si>
  <si>
    <t>Overall SAA design space:</t>
  </si>
  <si>
    <t>Number of catalyst systems in design space</t>
  </si>
  <si>
    <t>Design space search factor (SL)</t>
  </si>
  <si>
    <t>Total time for catalyst discovery (hr)</t>
  </si>
  <si>
    <t>Total time for catalyst discovery (yr)</t>
  </si>
  <si>
    <t>Overall time/cost savings:</t>
  </si>
  <si>
    <t>Time per each SL iteration (hr)</t>
  </si>
  <si>
    <t>Note: All times are in seconds unless otherwise specified in row header</t>
  </si>
  <si>
    <t>Total time for training data generation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</si>
</sst>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1155CC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999999"/>
      <name val="Arial"/>
      <family val="2"/>
      <scheme val="minor"/>
    </font>
    <font>
      <b/>
      <sz val="11"/>
      <color rgb="FF841589"/>
      <name val="Arial"/>
      <family val="2"/>
      <scheme val="minor"/>
    </font>
    <font>
      <b/>
      <sz val="11"/>
      <color rgb="FF990000"/>
      <name val="Arial"/>
      <family val="2"/>
      <scheme val="minor"/>
    </font>
    <font>
      <b/>
      <sz val="14"/>
      <color rgb="FF38761D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rgb="FF1155CC"/>
      </left>
      <right/>
      <top style="medium">
        <color rgb="FF1155CC"/>
      </top>
      <bottom style="medium">
        <color rgb="FF1155CC"/>
      </bottom>
      <diagonal/>
    </border>
    <border>
      <left/>
      <right/>
      <top style="medium">
        <color rgb="FF1155CC"/>
      </top>
      <bottom style="medium">
        <color rgb="FF1155CC"/>
      </bottom>
      <diagonal/>
    </border>
    <border>
      <left/>
      <right style="medium">
        <color rgb="FF1155CC"/>
      </right>
      <top style="medium">
        <color rgb="FF1155CC"/>
      </top>
      <bottom style="medium">
        <color rgb="FF1155CC"/>
      </bottom>
      <diagonal/>
    </border>
    <border>
      <left style="medium">
        <color rgb="FF990000"/>
      </left>
      <right/>
      <top style="medium">
        <color rgb="FF990000"/>
      </top>
      <bottom style="medium">
        <color rgb="FF990000"/>
      </bottom>
      <diagonal/>
    </border>
    <border>
      <left/>
      <right/>
      <top style="medium">
        <color rgb="FF990000"/>
      </top>
      <bottom style="medium">
        <color rgb="FF990000"/>
      </bottom>
      <diagonal/>
    </border>
    <border>
      <left/>
      <right style="medium">
        <color rgb="FF990000"/>
      </right>
      <top style="medium">
        <color rgb="FF990000"/>
      </top>
      <bottom style="medium">
        <color rgb="FF990000"/>
      </bottom>
      <diagonal/>
    </border>
    <border>
      <left style="medium">
        <color rgb="FF38761D"/>
      </left>
      <right/>
      <top style="medium">
        <color rgb="FF38761D"/>
      </top>
      <bottom style="medium">
        <color rgb="FF38761D"/>
      </bottom>
      <diagonal/>
    </border>
    <border>
      <left/>
      <right/>
      <top style="medium">
        <color rgb="FF38761D"/>
      </top>
      <bottom style="medium">
        <color rgb="FF38761D"/>
      </bottom>
      <diagonal/>
    </border>
    <border>
      <left/>
      <right style="medium">
        <color rgb="FF38761D"/>
      </right>
      <top style="medium">
        <color rgb="FF38761D"/>
      </top>
      <bottom style="medium">
        <color rgb="FF38761D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21" fontId="2" fillId="0" borderId="0" xfId="0" applyNumberFormat="1" applyFont="1" applyAlignment="1"/>
    <xf numFmtId="21" fontId="3" fillId="0" borderId="0" xfId="0" applyNumberFormat="1" applyFont="1"/>
    <xf numFmtId="0" fontId="3" fillId="0" borderId="0" xfId="0" applyFont="1"/>
    <xf numFmtId="0" fontId="1" fillId="3" borderId="0" xfId="0" applyFont="1" applyFill="1" applyAlignment="1"/>
    <xf numFmtId="0" fontId="3" fillId="0" borderId="0" xfId="0" applyFont="1" applyAlignment="1">
      <alignment wrapText="1"/>
    </xf>
    <xf numFmtId="46" fontId="3" fillId="0" borderId="0" xfId="0" applyNumberFormat="1" applyFont="1" applyAlignment="1"/>
    <xf numFmtId="46" fontId="3" fillId="0" borderId="0" xfId="0" applyNumberFormat="1" applyFont="1"/>
    <xf numFmtId="0" fontId="3" fillId="0" borderId="0" xfId="0" applyFont="1" applyAlignment="1"/>
    <xf numFmtId="0" fontId="3" fillId="4" borderId="0" xfId="0" applyFont="1" applyFill="1" applyAlignment="1"/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2" xfId="0" applyFont="1" applyBorder="1"/>
    <xf numFmtId="1" fontId="5" fillId="0" borderId="2" xfId="0" applyNumberFormat="1" applyFont="1" applyBorder="1" applyAlignment="1">
      <alignment wrapText="1"/>
    </xf>
    <xf numFmtId="1" fontId="5" fillId="0" borderId="3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" fontId="8" fillId="0" borderId="0" xfId="0" applyNumberFormat="1" applyFont="1" applyAlignment="1">
      <alignment wrapText="1"/>
    </xf>
    <xf numFmtId="1" fontId="8" fillId="0" borderId="0" xfId="0" applyNumberFormat="1" applyFont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1" fontId="5" fillId="0" borderId="5" xfId="0" applyNumberFormat="1" applyFont="1" applyBorder="1" applyAlignment="1">
      <alignment wrapText="1"/>
    </xf>
    <xf numFmtId="1" fontId="5" fillId="0" borderId="5" xfId="0" applyNumberFormat="1" applyFont="1" applyBorder="1" applyAlignment="1">
      <alignment wrapText="1"/>
    </xf>
    <xf numFmtId="1" fontId="5" fillId="0" borderId="6" xfId="0" applyNumberFormat="1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164" fontId="13" fillId="0" borderId="8" xfId="0" applyNumberFormat="1" applyFont="1" applyBorder="1" applyAlignment="1">
      <alignment wrapText="1"/>
    </xf>
    <xf numFmtId="164" fontId="13" fillId="0" borderId="9" xfId="0" applyNumberFormat="1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4"/>
  <sheetViews>
    <sheetView workbookViewId="0">
      <selection activeCell="F46" sqref="F46"/>
    </sheetView>
  </sheetViews>
  <sheetFormatPr baseColWidth="10" defaultColWidth="12.6640625" defaultRowHeight="15.75" customHeight="1" x14ac:dyDescent="0.15"/>
  <cols>
    <col min="1" max="1" width="35.6640625" customWidth="1"/>
    <col min="2" max="2" width="14.6640625" customWidth="1"/>
    <col min="5" max="5" width="14.33203125" customWidth="1"/>
    <col min="7" max="7" width="13.6640625" customWidth="1"/>
  </cols>
  <sheetData>
    <row r="1" spans="1:13" ht="13" x14ac:dyDescent="0.15">
      <c r="A1" s="1" t="s">
        <v>0</v>
      </c>
      <c r="B1" s="2"/>
      <c r="C1" s="2"/>
      <c r="D1" s="3"/>
      <c r="E1" s="3"/>
      <c r="M1" s="3"/>
    </row>
    <row r="2" spans="1:13" ht="13" x14ac:dyDescent="0.15">
      <c r="A2" s="3"/>
      <c r="B2" s="2" t="s">
        <v>1</v>
      </c>
      <c r="C2" s="2" t="s">
        <v>2</v>
      </c>
      <c r="D2" s="3" t="s">
        <v>3</v>
      </c>
      <c r="E2" s="3" t="s">
        <v>4</v>
      </c>
      <c r="M2" s="3"/>
    </row>
    <row r="3" spans="1:13" ht="13" x14ac:dyDescent="0.15">
      <c r="A3" s="3" t="s">
        <v>5</v>
      </c>
      <c r="B3" s="4">
        <v>0.60872685185185182</v>
      </c>
      <c r="C3" s="4">
        <v>0.61980324074074078</v>
      </c>
      <c r="D3" s="5">
        <f t="shared" ref="D3:D5" si="0">C3-B3</f>
        <v>1.1076388888888955E-2</v>
      </c>
      <c r="E3" s="6">
        <f>15*60 + 57</f>
        <v>957</v>
      </c>
    </row>
    <row r="4" spans="1:13" ht="13" x14ac:dyDescent="0.15">
      <c r="A4" s="3" t="s">
        <v>6</v>
      </c>
      <c r="B4" s="4">
        <v>0.62105324074074075</v>
      </c>
      <c r="C4" s="4">
        <v>0.62774305555555554</v>
      </c>
      <c r="D4" s="5">
        <f t="shared" si="0"/>
        <v>6.6898148148147873E-3</v>
      </c>
      <c r="E4" s="6">
        <f>9*60 + 38</f>
        <v>578</v>
      </c>
    </row>
    <row r="5" spans="1:13" ht="13" x14ac:dyDescent="0.15">
      <c r="A5" s="3" t="s">
        <v>7</v>
      </c>
      <c r="B5" s="4">
        <v>0.62881944444444449</v>
      </c>
      <c r="C5" s="4">
        <v>0.63509259259259254</v>
      </c>
      <c r="D5" s="5">
        <f t="shared" si="0"/>
        <v>6.2731481481480555E-3</v>
      </c>
      <c r="E5" s="6">
        <f>9*60 + 2</f>
        <v>542</v>
      </c>
    </row>
    <row r="7" spans="1:13" ht="13" x14ac:dyDescent="0.15">
      <c r="A7" s="1" t="s">
        <v>8</v>
      </c>
    </row>
    <row r="8" spans="1:13" ht="13" x14ac:dyDescent="0.15">
      <c r="A8" s="3" t="s">
        <v>9</v>
      </c>
      <c r="B8" s="4">
        <v>0.64082175925925922</v>
      </c>
      <c r="C8" s="4">
        <v>0.64706018518518515</v>
      </c>
      <c r="D8" s="5">
        <f>C8-B8</f>
        <v>6.2384259259259389E-3</v>
      </c>
      <c r="E8" s="6">
        <f>8*60 + 59</f>
        <v>539</v>
      </c>
    </row>
    <row r="10" spans="1:13" ht="13" x14ac:dyDescent="0.15">
      <c r="A10" s="1" t="s">
        <v>10</v>
      </c>
      <c r="B10" s="2" t="s">
        <v>1</v>
      </c>
      <c r="C10" s="2" t="s">
        <v>2</v>
      </c>
      <c r="D10" s="3" t="s">
        <v>3</v>
      </c>
      <c r="E10" s="3" t="s">
        <v>4</v>
      </c>
    </row>
    <row r="11" spans="1:13" ht="13" x14ac:dyDescent="0.15">
      <c r="A11" s="3" t="s">
        <v>11</v>
      </c>
      <c r="B11" s="4">
        <v>0.8647569444444444</v>
      </c>
      <c r="C11" s="4">
        <v>0.8669675925925926</v>
      </c>
      <c r="D11" s="5">
        <f t="shared" ref="D11:D12" si="1">C11-B11</f>
        <v>2.2106481481481977E-3</v>
      </c>
      <c r="E11" s="6">
        <f>60*3 + 11</f>
        <v>191</v>
      </c>
    </row>
    <row r="12" spans="1:13" ht="13" x14ac:dyDescent="0.15">
      <c r="A12" s="3" t="s">
        <v>12</v>
      </c>
      <c r="B12" s="4">
        <v>0.86976851851851855</v>
      </c>
      <c r="C12" s="4">
        <v>0.87087962962962961</v>
      </c>
      <c r="D12" s="5">
        <f t="shared" si="1"/>
        <v>1.1111111111110628E-3</v>
      </c>
      <c r="E12" s="6">
        <f>60 + 36</f>
        <v>96</v>
      </c>
    </row>
    <row r="14" spans="1:13" ht="13" x14ac:dyDescent="0.15">
      <c r="A14" s="7" t="s">
        <v>13</v>
      </c>
    </row>
    <row r="15" spans="1:13" ht="28" x14ac:dyDescent="0.15">
      <c r="A15" s="8" t="s">
        <v>14</v>
      </c>
      <c r="B15" s="3" t="s">
        <v>15</v>
      </c>
      <c r="C15" s="3" t="s">
        <v>16</v>
      </c>
    </row>
    <row r="16" spans="1:13" ht="13" x14ac:dyDescent="0.15">
      <c r="A16" s="3" t="s">
        <v>17</v>
      </c>
      <c r="B16" s="3" t="s">
        <v>18</v>
      </c>
      <c r="C16" s="3" t="s">
        <v>19</v>
      </c>
      <c r="D16" s="3" t="s">
        <v>3</v>
      </c>
      <c r="E16" s="3" t="s">
        <v>20</v>
      </c>
      <c r="F16" s="3" t="s">
        <v>21</v>
      </c>
      <c r="G16" s="3" t="s">
        <v>22</v>
      </c>
    </row>
    <row r="17" spans="1:9" ht="13" x14ac:dyDescent="0.15">
      <c r="A17" s="3" t="s">
        <v>23</v>
      </c>
      <c r="B17" s="4">
        <v>0.62113425925925925</v>
      </c>
      <c r="C17" s="4">
        <v>0.49569444444444444</v>
      </c>
      <c r="D17" s="5">
        <f>24+C17-B17</f>
        <v>23.874560185185185</v>
      </c>
      <c r="E17" s="5">
        <f t="shared" ref="E17:E23" si="2">D17</f>
        <v>23.874560185185185</v>
      </c>
      <c r="F17" s="6">
        <f>20*3600 + 59*60 + 22</f>
        <v>75562</v>
      </c>
    </row>
    <row r="18" spans="1:9" ht="13" x14ac:dyDescent="0.15">
      <c r="A18" s="3" t="s">
        <v>24</v>
      </c>
      <c r="B18" s="4">
        <v>0.39937499999999998</v>
      </c>
      <c r="C18" s="4">
        <v>0.28989583333333335</v>
      </c>
      <c r="D18" s="9">
        <f>2+C18-B18</f>
        <v>1.8905208333333334</v>
      </c>
      <c r="E18" s="10">
        <f t="shared" si="2"/>
        <v>1.8905208333333334</v>
      </c>
      <c r="F18" s="6">
        <f>3600*45+22*60+21</f>
        <v>163341</v>
      </c>
      <c r="G18" s="3">
        <v>33</v>
      </c>
      <c r="I18" s="4"/>
    </row>
    <row r="19" spans="1:9" ht="13" x14ac:dyDescent="0.15">
      <c r="A19" s="3" t="s">
        <v>25</v>
      </c>
      <c r="B19" s="4">
        <v>0.56269675925925922</v>
      </c>
      <c r="C19" s="4">
        <v>0.6430555555555556</v>
      </c>
      <c r="D19" s="9">
        <f t="shared" ref="D19:D20" si="3">C19-B19+2</f>
        <v>2.0803587962962964</v>
      </c>
      <c r="E19" s="10">
        <f t="shared" si="2"/>
        <v>2.0803587962962964</v>
      </c>
      <c r="F19" s="6">
        <f>49*3600+55*60+43</f>
        <v>179743</v>
      </c>
      <c r="G19" s="3">
        <v>37</v>
      </c>
      <c r="I19" s="4"/>
    </row>
    <row r="20" spans="1:9" ht="13" x14ac:dyDescent="0.15">
      <c r="A20" s="3" t="s">
        <v>26</v>
      </c>
      <c r="B20" s="4">
        <v>0.56269675925925922</v>
      </c>
      <c r="C20" s="4">
        <v>0.41872685185185188</v>
      </c>
      <c r="D20" s="9">
        <f t="shared" si="3"/>
        <v>1.8560300925925928</v>
      </c>
      <c r="E20" s="10">
        <f t="shared" si="2"/>
        <v>1.8560300925925928</v>
      </c>
      <c r="F20" s="6">
        <f>3600*44+32*60+41</f>
        <v>160361</v>
      </c>
      <c r="G20" s="3">
        <v>36</v>
      </c>
      <c r="H20" s="3" t="s">
        <v>27</v>
      </c>
    </row>
    <row r="21" spans="1:9" ht="13" x14ac:dyDescent="0.15">
      <c r="A21" s="3" t="s">
        <v>28</v>
      </c>
      <c r="B21" s="4">
        <v>0.2784490740740741</v>
      </c>
      <c r="C21" s="4">
        <v>0.17267361111111112</v>
      </c>
      <c r="D21" s="9">
        <f t="shared" ref="D21:D23" si="4">2+C21-B21</f>
        <v>1.894224537037037</v>
      </c>
      <c r="E21" s="10">
        <f t="shared" si="2"/>
        <v>1.894224537037037</v>
      </c>
      <c r="F21" s="6">
        <f>45*3600+27*60+41</f>
        <v>163661</v>
      </c>
      <c r="G21" s="3">
        <v>35</v>
      </c>
      <c r="H21" s="6">
        <f>AVERAGE(G18:G23)</f>
        <v>34.666666666666664</v>
      </c>
      <c r="I21" s="4"/>
    </row>
    <row r="22" spans="1:9" ht="13.5" customHeight="1" x14ac:dyDescent="0.15">
      <c r="A22" s="3" t="s">
        <v>29</v>
      </c>
      <c r="B22" s="4">
        <v>0.41872685185185188</v>
      </c>
      <c r="C22" s="4">
        <v>0.36520833333333336</v>
      </c>
      <c r="D22" s="9">
        <f t="shared" si="4"/>
        <v>1.9464814814814815</v>
      </c>
      <c r="E22" s="10">
        <f t="shared" si="2"/>
        <v>1.9464814814814815</v>
      </c>
      <c r="F22" s="6">
        <f>3600*46+42*60+56</f>
        <v>168176</v>
      </c>
      <c r="G22" s="3">
        <v>35</v>
      </c>
      <c r="H22" s="3" t="s">
        <v>30</v>
      </c>
      <c r="I22" s="4"/>
    </row>
    <row r="23" spans="1:9" ht="13" x14ac:dyDescent="0.15">
      <c r="A23" s="3" t="s">
        <v>31</v>
      </c>
      <c r="B23" s="4">
        <v>0.57429398148148147</v>
      </c>
      <c r="C23" s="4">
        <v>0.40965277777777775</v>
      </c>
      <c r="D23" s="9">
        <f t="shared" si="4"/>
        <v>1.8353587962962963</v>
      </c>
      <c r="E23" s="10">
        <f t="shared" si="2"/>
        <v>1.8353587962962963</v>
      </c>
      <c r="F23" s="6">
        <f>3600*44 + 2*60 + 55</f>
        <v>158575</v>
      </c>
      <c r="G23" s="3">
        <v>32</v>
      </c>
      <c r="H23" s="6">
        <f>AVERAGE(F18:F23)</f>
        <v>165642.83333333334</v>
      </c>
      <c r="I23" s="4"/>
    </row>
    <row r="25" spans="1:9" ht="13" x14ac:dyDescent="0.15">
      <c r="A25" s="3" t="s">
        <v>32</v>
      </c>
      <c r="B25" s="3" t="s">
        <v>33</v>
      </c>
      <c r="C25" s="3" t="s">
        <v>34</v>
      </c>
    </row>
    <row r="26" spans="1:9" ht="13" x14ac:dyDescent="0.15">
      <c r="A26" s="3" t="s">
        <v>17</v>
      </c>
      <c r="B26" s="3" t="s">
        <v>18</v>
      </c>
      <c r="C26" s="3" t="s">
        <v>19</v>
      </c>
      <c r="D26" s="3" t="s">
        <v>3</v>
      </c>
      <c r="E26" s="3" t="s">
        <v>35</v>
      </c>
      <c r="F26" s="3" t="s">
        <v>36</v>
      </c>
      <c r="G26" s="3" t="s">
        <v>22</v>
      </c>
    </row>
    <row r="27" spans="1:9" ht="13" x14ac:dyDescent="0.15">
      <c r="A27" s="3" t="s">
        <v>37</v>
      </c>
      <c r="B27" s="4">
        <v>0.60250000000000004</v>
      </c>
      <c r="C27" s="4">
        <v>0.3803009259259259</v>
      </c>
      <c r="D27" s="5">
        <f t="shared" ref="D27:D29" si="5">24/24+C27-B27</f>
        <v>0.77780092592592576</v>
      </c>
      <c r="E27" s="5">
        <f t="shared" ref="E27:E33" si="6">D27</f>
        <v>0.77780092592592576</v>
      </c>
      <c r="F27" s="6">
        <f>3600*18 + 40*60 + 2</f>
        <v>67202</v>
      </c>
    </row>
    <row r="28" spans="1:9" ht="13" x14ac:dyDescent="0.15">
      <c r="A28" s="11" t="s">
        <v>38</v>
      </c>
      <c r="B28" s="4">
        <v>0.58988425925925925</v>
      </c>
      <c r="C28" s="4">
        <v>0.15019675925925927</v>
      </c>
      <c r="D28" s="5">
        <f t="shared" si="5"/>
        <v>0.56031249999999999</v>
      </c>
      <c r="E28" s="5">
        <f t="shared" si="6"/>
        <v>0.56031249999999999</v>
      </c>
      <c r="F28" s="6">
        <f>3600*13+26*60+51</f>
        <v>48411</v>
      </c>
      <c r="G28" s="3">
        <v>13</v>
      </c>
    </row>
    <row r="29" spans="1:9" ht="13" x14ac:dyDescent="0.15">
      <c r="A29" s="11" t="s">
        <v>39</v>
      </c>
      <c r="B29" s="4">
        <v>0.59049768518518519</v>
      </c>
      <c r="C29" s="4">
        <v>0.77212962962962961</v>
      </c>
      <c r="D29" s="10">
        <f t="shared" si="5"/>
        <v>1.1816319444444443</v>
      </c>
      <c r="E29" s="10">
        <f t="shared" si="6"/>
        <v>1.1816319444444443</v>
      </c>
      <c r="F29" s="6">
        <f>28*3600+21*60+33</f>
        <v>102093</v>
      </c>
      <c r="G29" s="3">
        <v>20</v>
      </c>
    </row>
    <row r="30" spans="1:9" ht="13" x14ac:dyDescent="0.15">
      <c r="A30" s="11" t="s">
        <v>40</v>
      </c>
      <c r="B30" s="4">
        <v>0.5909375</v>
      </c>
      <c r="C30" s="4">
        <v>0.84358796296296301</v>
      </c>
      <c r="D30" s="10">
        <f>C30-B30+24/24</f>
        <v>1.2526504629629631</v>
      </c>
      <c r="E30" s="10">
        <f t="shared" si="6"/>
        <v>1.2526504629629631</v>
      </c>
      <c r="F30" s="6">
        <f>3600*30+3*60+49</f>
        <v>108229</v>
      </c>
      <c r="G30" s="3">
        <v>22</v>
      </c>
      <c r="H30" s="3" t="s">
        <v>27</v>
      </c>
    </row>
    <row r="31" spans="1:9" ht="13" x14ac:dyDescent="0.15">
      <c r="A31" s="11" t="s">
        <v>41</v>
      </c>
      <c r="B31" s="4">
        <v>0.59141203703703704</v>
      </c>
      <c r="C31" s="4">
        <v>0.26678240740740738</v>
      </c>
      <c r="D31" s="5">
        <f t="shared" ref="D31:D33" si="7">24/24+C31-B31</f>
        <v>0.6753703703703704</v>
      </c>
      <c r="E31" s="5">
        <f t="shared" si="6"/>
        <v>0.6753703703703704</v>
      </c>
      <c r="F31" s="6">
        <f>16*3600+12*60+32</f>
        <v>58352</v>
      </c>
      <c r="G31" s="3">
        <v>17</v>
      </c>
      <c r="H31" s="6">
        <f>AVERAGE(G28:G33)</f>
        <v>16.333333333333332</v>
      </c>
    </row>
    <row r="32" spans="1:9" ht="13" x14ac:dyDescent="0.15">
      <c r="A32" s="11" t="s">
        <v>42</v>
      </c>
      <c r="B32" s="4">
        <v>0.59172453703703709</v>
      </c>
      <c r="C32" s="4">
        <v>0.29744212962962963</v>
      </c>
      <c r="D32" s="5">
        <f t="shared" si="7"/>
        <v>0.70571759259259259</v>
      </c>
      <c r="E32" s="5">
        <f t="shared" si="6"/>
        <v>0.70571759259259259</v>
      </c>
      <c r="F32" s="6">
        <f>16*3600+56*60+14</f>
        <v>60974</v>
      </c>
      <c r="G32" s="3">
        <v>13</v>
      </c>
      <c r="H32" s="3" t="s">
        <v>30</v>
      </c>
    </row>
    <row r="33" spans="1:8" ht="13" x14ac:dyDescent="0.15">
      <c r="A33" s="11" t="s">
        <v>43</v>
      </c>
      <c r="B33" s="4">
        <v>0.59248842592592588</v>
      </c>
      <c r="C33" s="4">
        <v>0.28763888888888889</v>
      </c>
      <c r="D33" s="5">
        <f t="shared" si="7"/>
        <v>0.69515046296296312</v>
      </c>
      <c r="E33" s="5">
        <f t="shared" si="6"/>
        <v>0.69515046296296312</v>
      </c>
      <c r="F33" s="6">
        <f>16*3600+60*41+1</f>
        <v>60061</v>
      </c>
      <c r="G33" s="12">
        <v>13</v>
      </c>
      <c r="H33" s="6">
        <f>AVERAGE(F28:F33)</f>
        <v>73020</v>
      </c>
    </row>
    <row r="35" spans="1:8" ht="28" x14ac:dyDescent="0.15">
      <c r="A35" s="8" t="s">
        <v>14</v>
      </c>
      <c r="B35" s="3" t="s">
        <v>15</v>
      </c>
      <c r="C35" s="3" t="s">
        <v>34</v>
      </c>
    </row>
    <row r="36" spans="1:8" ht="13" x14ac:dyDescent="0.15">
      <c r="A36" s="3" t="s">
        <v>17</v>
      </c>
      <c r="B36" s="3" t="s">
        <v>18</v>
      </c>
      <c r="C36" s="3" t="s">
        <v>19</v>
      </c>
      <c r="D36" s="3" t="s">
        <v>3</v>
      </c>
      <c r="E36" s="3" t="s">
        <v>20</v>
      </c>
      <c r="F36" s="3" t="s">
        <v>36</v>
      </c>
      <c r="G36" s="3" t="s">
        <v>22</v>
      </c>
    </row>
    <row r="37" spans="1:8" ht="13" x14ac:dyDescent="0.15">
      <c r="A37" s="3" t="s">
        <v>24</v>
      </c>
      <c r="B37" s="4">
        <v>0.54859953703703701</v>
      </c>
      <c r="C37" s="4">
        <v>0.50408564814814816</v>
      </c>
      <c r="D37" s="10">
        <f t="shared" ref="D37:D42" si="8">48/24 + C37-B37</f>
        <v>1.9554861111111115</v>
      </c>
      <c r="E37" s="10">
        <f t="shared" ref="E37:E42" si="9">D37</f>
        <v>1.9554861111111115</v>
      </c>
      <c r="F37" s="6">
        <f>3600*46+60*55+54</f>
        <v>168954</v>
      </c>
      <c r="G37" s="3">
        <v>36</v>
      </c>
    </row>
    <row r="38" spans="1:8" ht="13" x14ac:dyDescent="0.15">
      <c r="A38" s="3" t="s">
        <v>25</v>
      </c>
      <c r="B38" s="4">
        <v>0.54877314814814815</v>
      </c>
      <c r="C38" s="4">
        <v>0.2784490740740741</v>
      </c>
      <c r="D38" s="10">
        <f t="shared" si="8"/>
        <v>1.729675925925926</v>
      </c>
      <c r="E38" s="10">
        <f t="shared" si="9"/>
        <v>1.729675925925926</v>
      </c>
      <c r="F38" s="2">
        <f>3600*41+30*60+44</f>
        <v>149444</v>
      </c>
      <c r="G38" s="3">
        <v>30</v>
      </c>
    </row>
    <row r="39" spans="1:8" ht="13" x14ac:dyDescent="0.15">
      <c r="A39" s="3" t="s">
        <v>26</v>
      </c>
      <c r="B39" s="4">
        <v>0.54876157407407411</v>
      </c>
      <c r="C39" s="4">
        <v>0.39937499999999998</v>
      </c>
      <c r="D39" s="10">
        <f t="shared" si="8"/>
        <v>1.8506134259259259</v>
      </c>
      <c r="E39" s="10">
        <f t="shared" si="9"/>
        <v>1.8506134259259259</v>
      </c>
      <c r="F39" s="2">
        <f>3600*44+60*24+53</f>
        <v>159893</v>
      </c>
      <c r="G39" s="3">
        <v>36</v>
      </c>
      <c r="H39" s="3" t="s">
        <v>27</v>
      </c>
    </row>
    <row r="40" spans="1:8" ht="13" x14ac:dyDescent="0.15">
      <c r="A40" s="3" t="s">
        <v>28</v>
      </c>
      <c r="B40" s="4">
        <v>0.6953125</v>
      </c>
      <c r="C40" s="4">
        <v>0.54158564814814814</v>
      </c>
      <c r="D40" s="10">
        <f t="shared" si="8"/>
        <v>1.846273148148148</v>
      </c>
      <c r="E40" s="10">
        <f t="shared" si="9"/>
        <v>1.846273148148148</v>
      </c>
      <c r="F40" s="6">
        <f>3600*44+18*60+38</f>
        <v>159518</v>
      </c>
      <c r="G40" s="3">
        <v>35</v>
      </c>
      <c r="H40" s="6">
        <f>AVERAGE(G37:G42)</f>
        <v>33.5</v>
      </c>
    </row>
    <row r="41" spans="1:8" ht="13" x14ac:dyDescent="0.15">
      <c r="A41" s="3" t="s">
        <v>29</v>
      </c>
      <c r="B41" s="4">
        <v>0.6430555555555556</v>
      </c>
      <c r="C41" s="4">
        <v>0.41270833333333334</v>
      </c>
      <c r="D41" s="10">
        <f t="shared" si="8"/>
        <v>1.7696527777777775</v>
      </c>
      <c r="E41" s="10">
        <f t="shared" si="9"/>
        <v>1.7696527777777775</v>
      </c>
      <c r="F41" s="6">
        <f>3600*42+28*60+18</f>
        <v>152898</v>
      </c>
      <c r="G41" s="3">
        <v>31</v>
      </c>
      <c r="H41" s="3" t="s">
        <v>30</v>
      </c>
    </row>
    <row r="42" spans="1:8" ht="13" x14ac:dyDescent="0.15">
      <c r="A42" s="3" t="s">
        <v>31</v>
      </c>
      <c r="B42" s="4">
        <v>0.57429398148148147</v>
      </c>
      <c r="C42" s="4">
        <v>0.37762731481481482</v>
      </c>
      <c r="D42" s="10">
        <f t="shared" si="8"/>
        <v>1.8033333333333332</v>
      </c>
      <c r="E42" s="10">
        <f t="shared" si="9"/>
        <v>1.8033333333333332</v>
      </c>
      <c r="F42" s="6">
        <f>43*3600+16*60+48</f>
        <v>155808</v>
      </c>
      <c r="G42" s="3">
        <v>33</v>
      </c>
      <c r="H42" s="6">
        <f>AVERAGE(F37:F42)</f>
        <v>157752.5</v>
      </c>
    </row>
    <row r="44" spans="1:8" ht="13" x14ac:dyDescent="0.15">
      <c r="A44" s="3" t="s">
        <v>32</v>
      </c>
      <c r="B44" s="3" t="s">
        <v>33</v>
      </c>
      <c r="C44" s="3" t="s">
        <v>16</v>
      </c>
    </row>
    <row r="45" spans="1:8" ht="13" x14ac:dyDescent="0.15">
      <c r="A45" s="3" t="s">
        <v>17</v>
      </c>
      <c r="B45" s="3" t="s">
        <v>18</v>
      </c>
      <c r="C45" s="3" t="s">
        <v>19</v>
      </c>
      <c r="D45" s="3" t="s">
        <v>3</v>
      </c>
      <c r="E45" s="3" t="s">
        <v>20</v>
      </c>
      <c r="F45" s="3" t="s">
        <v>21</v>
      </c>
      <c r="G45" s="3" t="s">
        <v>22</v>
      </c>
    </row>
    <row r="46" spans="1:8" ht="13" x14ac:dyDescent="0.15">
      <c r="A46" s="11" t="s">
        <v>38</v>
      </c>
      <c r="B46" s="4">
        <v>0.58548611111111115</v>
      </c>
      <c r="C46" s="4">
        <v>0.22765046296296296</v>
      </c>
      <c r="D46" s="5">
        <f>C46-B46</f>
        <v>-0.35783564814814817</v>
      </c>
      <c r="E46" s="5">
        <f t="shared" ref="E46:E51" si="10">D46</f>
        <v>-0.35783564814814817</v>
      </c>
      <c r="F46" s="13">
        <f>3600*15+24*60+43</f>
        <v>55483</v>
      </c>
      <c r="G46" s="3">
        <v>14</v>
      </c>
    </row>
    <row r="47" spans="1:8" ht="13" x14ac:dyDescent="0.15">
      <c r="A47" s="11" t="s">
        <v>39</v>
      </c>
      <c r="B47" s="4">
        <v>0.22765046296296296</v>
      </c>
      <c r="C47" s="4">
        <v>0.43430555555555556</v>
      </c>
      <c r="D47" s="10">
        <f t="shared" ref="D47:D48" si="11">C47-B47+1</f>
        <v>1.2066550925925925</v>
      </c>
      <c r="E47" s="10">
        <f t="shared" si="10"/>
        <v>1.2066550925925925</v>
      </c>
      <c r="F47" s="6">
        <f>3600*28+57*60+35</f>
        <v>104255</v>
      </c>
      <c r="G47" s="3">
        <v>22</v>
      </c>
    </row>
    <row r="48" spans="1:8" ht="13" x14ac:dyDescent="0.15">
      <c r="A48" s="11" t="s">
        <v>40</v>
      </c>
      <c r="B48" s="4">
        <v>0.35395833333333332</v>
      </c>
      <c r="C48" s="4">
        <v>0.56798611111111108</v>
      </c>
      <c r="D48" s="10">
        <f t="shared" si="11"/>
        <v>1.2140277777777777</v>
      </c>
      <c r="E48" s="10">
        <f t="shared" si="10"/>
        <v>1.2140277777777777</v>
      </c>
      <c r="F48" s="6">
        <f>29*3600+8*60+12</f>
        <v>104892</v>
      </c>
      <c r="G48" s="3">
        <v>22</v>
      </c>
      <c r="H48" s="3" t="s">
        <v>27</v>
      </c>
    </row>
    <row r="49" spans="1:12" ht="13" x14ac:dyDescent="0.15">
      <c r="A49" s="11" t="s">
        <v>41</v>
      </c>
      <c r="B49" s="4">
        <v>0.56798611111111108</v>
      </c>
      <c r="C49" s="4">
        <v>0.25561342592592595</v>
      </c>
      <c r="D49" s="5">
        <f t="shared" ref="D49:D51" si="12">C49-B49</f>
        <v>-0.31237268518518513</v>
      </c>
      <c r="E49" s="5">
        <f t="shared" si="10"/>
        <v>-0.31237268518518513</v>
      </c>
      <c r="F49" s="6">
        <f>16*3600+30*60+11</f>
        <v>59411</v>
      </c>
      <c r="G49" s="3">
        <v>17</v>
      </c>
      <c r="H49" s="6">
        <f>AVERAGE(G46:G51)</f>
        <v>17.5</v>
      </c>
    </row>
    <row r="50" spans="1:12" ht="13" x14ac:dyDescent="0.15">
      <c r="A50" s="11" t="s">
        <v>42</v>
      </c>
      <c r="B50" s="4">
        <v>0.65395833333333331</v>
      </c>
      <c r="C50" s="4">
        <v>0.41300925925925924</v>
      </c>
      <c r="D50" s="5">
        <f t="shared" si="12"/>
        <v>-0.24094907407407407</v>
      </c>
      <c r="E50" s="5">
        <f t="shared" si="10"/>
        <v>-0.24094907407407407</v>
      </c>
      <c r="F50" s="6">
        <f>18*3600+13*60+2</f>
        <v>65582</v>
      </c>
      <c r="G50" s="3">
        <v>13</v>
      </c>
      <c r="H50" s="3" t="s">
        <v>30</v>
      </c>
    </row>
    <row r="51" spans="1:12" ht="13" x14ac:dyDescent="0.15">
      <c r="A51" s="11" t="s">
        <v>43</v>
      </c>
      <c r="B51" s="4">
        <v>0.25562499999999999</v>
      </c>
      <c r="C51" s="4">
        <v>0.19212962962962962</v>
      </c>
      <c r="D51" s="5">
        <f t="shared" si="12"/>
        <v>-6.3495370370370369E-2</v>
      </c>
      <c r="E51" s="5">
        <f t="shared" si="10"/>
        <v>-6.3495370370370369E-2</v>
      </c>
      <c r="F51" s="6">
        <f>22*3600+28*60+34</f>
        <v>80914</v>
      </c>
      <c r="G51" s="12">
        <v>17</v>
      </c>
      <c r="H51" s="6">
        <f>AVERAGE(F46:F51)</f>
        <v>78422.833333333328</v>
      </c>
    </row>
    <row r="56" spans="1:12" ht="13" x14ac:dyDescent="0.15">
      <c r="B56" s="8"/>
      <c r="L56" s="8"/>
    </row>
    <row r="57" spans="1:12" ht="84" x14ac:dyDescent="0.15">
      <c r="A57" s="14" t="s">
        <v>44</v>
      </c>
      <c r="B57" s="8" t="s">
        <v>45</v>
      </c>
      <c r="C57" s="8" t="s">
        <v>46</v>
      </c>
      <c r="D57" s="8" t="s">
        <v>47</v>
      </c>
      <c r="H57" s="8"/>
    </row>
    <row r="58" spans="1:12" ht="13" x14ac:dyDescent="0.15">
      <c r="B58" s="6">
        <f>H23/H42</f>
        <v>1.0500171682435038</v>
      </c>
      <c r="C58" s="6">
        <f>H23/H51</f>
        <v>2.1121760881716001</v>
      </c>
      <c r="D58" s="6">
        <f>H23/H33</f>
        <v>2.2684584132201224</v>
      </c>
    </row>
    <row r="62" spans="1:12" ht="13" x14ac:dyDescent="0.15">
      <c r="B62" s="3" t="s">
        <v>15</v>
      </c>
      <c r="C62" s="3">
        <v>1</v>
      </c>
      <c r="D62" s="3">
        <v>1.05</v>
      </c>
    </row>
    <row r="63" spans="1:12" ht="13" x14ac:dyDescent="0.15">
      <c r="B63" s="3" t="s">
        <v>33</v>
      </c>
      <c r="C63" s="3">
        <v>2.11</v>
      </c>
      <c r="D63" s="3">
        <v>2.27</v>
      </c>
    </row>
    <row r="64" spans="1:12" ht="13" x14ac:dyDescent="0.15">
      <c r="C64" s="3" t="s">
        <v>48</v>
      </c>
      <c r="D64" s="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1"/>
  <sheetViews>
    <sheetView tabSelected="1" workbookViewId="0">
      <selection activeCell="G21" sqref="G21"/>
    </sheetView>
  </sheetViews>
  <sheetFormatPr baseColWidth="10" defaultColWidth="12.6640625" defaultRowHeight="15.75" customHeight="1" x14ac:dyDescent="0.15"/>
  <cols>
    <col min="1" max="1" width="33.5" customWidth="1"/>
    <col min="2" max="2" width="33.83203125" customWidth="1"/>
    <col min="3" max="5" width="20" customWidth="1"/>
    <col min="7" max="7" width="33.33203125" customWidth="1"/>
    <col min="9" max="9" width="34" customWidth="1"/>
  </cols>
  <sheetData>
    <row r="1" spans="1:25" x14ac:dyDescent="0.2">
      <c r="A1" s="15" t="s">
        <v>50</v>
      </c>
      <c r="B1" s="16"/>
      <c r="C1" s="17" t="s">
        <v>51</v>
      </c>
      <c r="D1" s="17" t="s">
        <v>52</v>
      </c>
      <c r="E1" s="17" t="s">
        <v>53</v>
      </c>
      <c r="F1" s="18"/>
      <c r="G1" s="18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.75" customHeight="1" x14ac:dyDescent="0.15">
      <c r="A2" s="19"/>
      <c r="B2" s="20"/>
      <c r="C2" s="20"/>
      <c r="D2" s="20"/>
      <c r="E2" s="20"/>
      <c r="F2" s="20"/>
      <c r="G2" s="21" t="s">
        <v>79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5" ht="15.75" customHeight="1" x14ac:dyDescent="0.15">
      <c r="A3" s="43" t="s">
        <v>54</v>
      </c>
      <c r="B3" s="44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5" ht="15.75" customHeight="1" x14ac:dyDescent="0.15">
      <c r="A4" s="22" t="s">
        <v>55</v>
      </c>
      <c r="B4" s="20"/>
      <c r="C4" s="21">
        <v>957</v>
      </c>
      <c r="D4" s="21">
        <v>2</v>
      </c>
      <c r="E4" s="21">
        <v>2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5" ht="15.75" customHeight="1" x14ac:dyDescent="0.15">
      <c r="A5" s="22" t="s">
        <v>56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5" ht="15.75" customHeight="1" x14ac:dyDescent="0.15">
      <c r="A6" s="23"/>
      <c r="B6" s="22" t="s">
        <v>57</v>
      </c>
      <c r="C6" s="21">
        <v>90</v>
      </c>
      <c r="D6" s="21">
        <v>0.5</v>
      </c>
      <c r="E6" s="21">
        <v>0.5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5" ht="15.75" customHeight="1" x14ac:dyDescent="0.15">
      <c r="A7" s="23"/>
      <c r="B7" s="22" t="s">
        <v>58</v>
      </c>
      <c r="C7" s="21">
        <v>75562</v>
      </c>
      <c r="D7" s="23">
        <f>3600*18 + 40*60 + 2</f>
        <v>67202</v>
      </c>
      <c r="E7" s="21">
        <v>67202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5" ht="15.75" customHeight="1" x14ac:dyDescent="0.15">
      <c r="A8" s="23"/>
      <c r="B8" s="22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5" ht="15.75" customHeight="1" x14ac:dyDescent="0.15">
      <c r="A9" s="22" t="s">
        <v>59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5" ht="15.75" customHeight="1" x14ac:dyDescent="0.15">
      <c r="A10" s="23"/>
      <c r="B10" s="22" t="s">
        <v>60</v>
      </c>
      <c r="C10" s="20">
        <f>578 + 542</f>
        <v>1120</v>
      </c>
      <c r="D10" s="21">
        <v>2</v>
      </c>
      <c r="E10" s="21">
        <v>2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5" ht="15.75" customHeight="1" x14ac:dyDescent="0.15">
      <c r="A11" s="23"/>
      <c r="B11" s="22" t="s">
        <v>57</v>
      </c>
      <c r="C11" s="21">
        <v>539</v>
      </c>
      <c r="D11" s="21">
        <v>0.5</v>
      </c>
      <c r="E11" s="21">
        <v>0.5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5" ht="15.75" customHeight="1" x14ac:dyDescent="0.15">
      <c r="A12" s="23"/>
      <c r="B12" s="24" t="s">
        <v>61</v>
      </c>
      <c r="C12" s="25">
        <v>165642.83333333334</v>
      </c>
      <c r="D12" s="24">
        <v>73020</v>
      </c>
      <c r="E12" s="24">
        <v>73020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5" ht="15.75" customHeight="1" x14ac:dyDescent="0.15">
      <c r="A13" s="23"/>
      <c r="B13" s="22" t="s">
        <v>62</v>
      </c>
      <c r="C13" s="21">
        <f t="shared" ref="C13:E13" si="0">C12*20</f>
        <v>3312856.666666667</v>
      </c>
      <c r="D13" s="21">
        <f t="shared" si="0"/>
        <v>1460400</v>
      </c>
      <c r="E13" s="21">
        <f t="shared" si="0"/>
        <v>1460400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5" ht="15.75" customHeight="1" x14ac:dyDescent="0.15">
      <c r="A14" s="23"/>
      <c r="B14" s="24" t="s">
        <v>63</v>
      </c>
      <c r="C14" s="24">
        <v>65520</v>
      </c>
      <c r="D14" s="24">
        <v>0</v>
      </c>
      <c r="E14" s="21">
        <v>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5" ht="15.75" customHeight="1" x14ac:dyDescent="0.15">
      <c r="A15" s="22"/>
      <c r="B15" s="22" t="s">
        <v>64</v>
      </c>
      <c r="C15" s="21">
        <f>C14*20</f>
        <v>1310400</v>
      </c>
      <c r="D15" s="21">
        <v>0</v>
      </c>
      <c r="E15" s="21">
        <v>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5" ht="15.75" customHeight="1" x14ac:dyDescent="0.15">
      <c r="A16" s="22"/>
      <c r="B16" s="20"/>
      <c r="C16" s="21"/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6" ht="15.75" customHeight="1" x14ac:dyDescent="0.15">
      <c r="A17" s="22" t="s">
        <v>65</v>
      </c>
      <c r="B17" s="20"/>
      <c r="C17" s="21">
        <v>191</v>
      </c>
      <c r="D17" s="21">
        <v>9</v>
      </c>
      <c r="E17" s="21">
        <v>9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6" ht="15.75" customHeight="1" x14ac:dyDescent="0.15">
      <c r="A18" s="22" t="s">
        <v>66</v>
      </c>
      <c r="B18" s="20"/>
      <c r="C18" s="21">
        <v>96</v>
      </c>
      <c r="D18" s="21">
        <v>1</v>
      </c>
      <c r="E18" s="21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6" ht="15.75" customHeight="1" x14ac:dyDescent="0.15">
      <c r="A19" s="22"/>
      <c r="B19" s="20"/>
      <c r="C19" s="21"/>
      <c r="D19" s="21"/>
      <c r="E19" s="2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6" ht="15.7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6" ht="15.75" customHeight="1" x14ac:dyDescent="0.15">
      <c r="A21" s="21" t="s">
        <v>67</v>
      </c>
      <c r="C21" s="20">
        <f>SUM(C4:C11, C13, C15, C17:C18)</f>
        <v>4701811.666666667</v>
      </c>
      <c r="D21" s="20">
        <f>SUM(D4:D11, D13, D15, D17:D18)</f>
        <v>1527617</v>
      </c>
      <c r="E21" s="20">
        <f>SUM(E4:E11, E13, E15, E17:E18)</f>
        <v>1527617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6" ht="15.75" customHeight="1" x14ac:dyDescent="0.15">
      <c r="A22" s="26" t="s">
        <v>68</v>
      </c>
      <c r="B22" s="27"/>
      <c r="C22" s="28">
        <f t="shared" ref="C22:E22" si="1">C21/3600</f>
        <v>1306.0587962962964</v>
      </c>
      <c r="D22" s="29">
        <f t="shared" si="1"/>
        <v>424.33805555555557</v>
      </c>
      <c r="E22" s="29">
        <f t="shared" si="1"/>
        <v>424.33805555555557</v>
      </c>
      <c r="F22" s="20"/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6" ht="15.75" customHeight="1" x14ac:dyDescent="0.15">
      <c r="A23" s="20"/>
      <c r="B23" s="20"/>
      <c r="C23" s="20"/>
      <c r="D23" s="20"/>
      <c r="E23" s="20"/>
      <c r="F23" s="20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6" ht="15.75" customHeight="1" x14ac:dyDescent="0.15">
      <c r="A24" s="30" t="s">
        <v>69</v>
      </c>
      <c r="B24" s="21"/>
      <c r="C24" s="20"/>
      <c r="D24" s="20"/>
      <c r="E24" s="20"/>
      <c r="F24" s="21"/>
      <c r="G24" s="21"/>
      <c r="H24" s="2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15">
      <c r="A25" s="21" t="s">
        <v>70</v>
      </c>
      <c r="B25" s="21"/>
      <c r="C25" s="21" t="s">
        <v>71</v>
      </c>
      <c r="D25" s="21" t="s">
        <v>71</v>
      </c>
      <c r="E25" s="21">
        <v>0.25</v>
      </c>
      <c r="F25" s="21"/>
      <c r="G25" s="20"/>
      <c r="H25" s="2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15">
      <c r="A26" s="31"/>
      <c r="B26" s="21"/>
      <c r="C26" s="20"/>
      <c r="D26" s="20"/>
      <c r="E26" s="20"/>
      <c r="F26" s="21"/>
      <c r="G26" s="20"/>
      <c r="H26" s="2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15">
      <c r="A27" s="31" t="s">
        <v>72</v>
      </c>
      <c r="B27" s="21"/>
      <c r="C27" s="20"/>
      <c r="D27" s="20"/>
      <c r="E27" s="20"/>
      <c r="F27" s="21"/>
      <c r="G27" s="20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15">
      <c r="A28" s="45" t="s">
        <v>73</v>
      </c>
      <c r="B28" s="44"/>
      <c r="C28" s="21">
        <f>900*3</f>
        <v>2700</v>
      </c>
      <c r="D28" s="21">
        <v>2700</v>
      </c>
      <c r="E28" s="21">
        <v>2700</v>
      </c>
      <c r="F28" s="21"/>
      <c r="G28" s="20"/>
      <c r="H28" s="2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15">
      <c r="A29" s="21" t="s">
        <v>80</v>
      </c>
      <c r="B29" s="21"/>
      <c r="C29" s="21">
        <v>0</v>
      </c>
      <c r="D29" s="21">
        <v>0</v>
      </c>
      <c r="E29" s="20">
        <f>E28*E25*E22</f>
        <v>286428.1875</v>
      </c>
      <c r="F29" s="21"/>
      <c r="G29" s="20"/>
      <c r="H29" s="2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15">
      <c r="A30" s="21" t="s">
        <v>74</v>
      </c>
      <c r="B30" s="20"/>
      <c r="C30" s="21">
        <v>1</v>
      </c>
      <c r="D30" s="21">
        <v>0.33</v>
      </c>
      <c r="E30" s="21">
        <v>0.33</v>
      </c>
      <c r="F30" s="21"/>
      <c r="G30" s="20"/>
      <c r="H30" s="21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15">
      <c r="A31" s="21" t="s">
        <v>78</v>
      </c>
      <c r="B31" s="20"/>
      <c r="C31" s="21">
        <v>1306</v>
      </c>
      <c r="D31" s="32">
        <v>424</v>
      </c>
      <c r="E31" s="32">
        <v>1</v>
      </c>
      <c r="F31" s="33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15">
      <c r="A32" s="21" t="s">
        <v>75</v>
      </c>
      <c r="B32" s="20"/>
      <c r="C32" s="20">
        <f t="shared" ref="C32:D32" si="2">C29 + C28*C30*C31</f>
        <v>3526200</v>
      </c>
      <c r="D32" s="33">
        <f t="shared" si="2"/>
        <v>377784</v>
      </c>
      <c r="E32" s="33">
        <f>E29 + (1-E25)*E28*E30*E31</f>
        <v>287096.4375</v>
      </c>
      <c r="F32" s="33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15">
      <c r="A33" s="34" t="s">
        <v>76</v>
      </c>
      <c r="B33" s="35"/>
      <c r="C33" s="36">
        <f>C32/8760</f>
        <v>402.53424657534248</v>
      </c>
      <c r="D33" s="37">
        <f>D32/8760</f>
        <v>43.126027397260273</v>
      </c>
      <c r="E33" s="38">
        <f>E32/8760</f>
        <v>32.773565924657532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">
      <c r="A36" s="39" t="s">
        <v>77</v>
      </c>
      <c r="B36" s="40"/>
      <c r="C36" s="40">
        <f>(C33 - C33)/C33 * 100</f>
        <v>0</v>
      </c>
      <c r="D36" s="41">
        <f>(C33 - D33)/C33 * 100</f>
        <v>89.28637059724349</v>
      </c>
      <c r="E36" s="42">
        <f>(C33 - E33)/C33 * 100</f>
        <v>91.858191892121837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4" x14ac:dyDescent="0.1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4" x14ac:dyDescent="0.1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4" x14ac:dyDescent="0.15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4" x14ac:dyDescent="0.15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4" x14ac:dyDescent="0.1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4" x14ac:dyDescent="0.15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4" x14ac:dyDescent="0.15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4" x14ac:dyDescent="0.15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4" x14ac:dyDescent="0.15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4" x14ac:dyDescent="0.15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4" x14ac:dyDescent="0.15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</sheetData>
  <mergeCells count="2">
    <mergeCell ref="A3:B3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SAA speedups</vt:lpstr>
      <vt:lpstr>Overall speedup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Lance Kavalsky</cp:lastModifiedBy>
  <dcterms:modified xsi:type="dcterms:W3CDTF">2022-11-02T19:01:17Z</dcterms:modified>
</cp:coreProperties>
</file>