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embeddings/oleObject2.bin" ContentType="application/vnd.openxmlformats-officedocument.oleObject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embeddings/oleObject3.bin" ContentType="application/vnd.openxmlformats-officedocument.oleObject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embeddings/oleObject4.bin" ContentType="application/vnd.openxmlformats-officedocument.oleObject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embeddings/oleObject5.bin" ContentType="application/vnd.openxmlformats-officedocument.oleObject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G:\My Drive\Courses\PCLS MSc\2024H\S2-Forecasting\Excercise\"/>
    </mc:Choice>
  </mc:AlternateContent>
  <xr:revisionPtr revIDLastSave="0" documentId="8_{04D277A3-ED17-459F-953E-AEBD039F4EF3}" xr6:coauthVersionLast="47" xr6:coauthVersionMax="47" xr10:uidLastSave="{00000000-0000-0000-0000-000000000000}"/>
  <bookViews>
    <workbookView xWindow="-98" yWindow="-98" windowWidth="21795" windowHeight="12975" firstSheet="6" activeTab="6" xr2:uid="{00000000-000D-0000-FFFF-FFFF00000000}"/>
  </bookViews>
  <sheets>
    <sheet name="Causal" sheetId="26" r:id="rId1"/>
    <sheet name="TS_Data" sheetId="16" r:id="rId2"/>
    <sheet name="Response" sheetId="18" r:id="rId3"/>
    <sheet name="MovAvg" sheetId="3" r:id="rId4"/>
    <sheet name="S.Exp.Alpha" sheetId="25" r:id="rId5"/>
    <sheet name="S.Exp.Smooth" sheetId="4" r:id="rId6"/>
    <sheet name="Holt" sheetId="6" r:id="rId7"/>
    <sheet name="Holt-Winters(s3)" sheetId="30" r:id="rId8"/>
    <sheet name="Holt-Winters(s6)" sheetId="31" r:id="rId9"/>
    <sheet name="Holt-Winters(s12)" sheetId="29" r:id="rId10"/>
    <sheet name="Decomposition(s12)" sheetId="27" r:id="rId11"/>
  </sheets>
  <definedNames>
    <definedName name="_xlnm._FilterDatabase" localSheetId="1" hidden="1">TS_Data!$D$2:$E$43</definedName>
    <definedName name="solver_adj" localSheetId="10" hidden="1">'Decomposition(s12)'!#REF!</definedName>
    <definedName name="solver_adj" localSheetId="6" hidden="1">Holt!$I$5:$I$6</definedName>
    <definedName name="solver_adj" localSheetId="9" hidden="1">'Holt-Winters(s12)'!$J$5:$J$7</definedName>
    <definedName name="solver_adj" localSheetId="7" hidden="1">'Holt-Winters(s3)'!$J$5:$J$7</definedName>
    <definedName name="solver_adj" localSheetId="8" hidden="1">'Holt-Winters(s6)'!$J$5:$J$7</definedName>
    <definedName name="solver_adj" localSheetId="4" hidden="1">'S.Exp.Alpha'!$D$4</definedName>
    <definedName name="solver_adj" localSheetId="5" hidden="1">'S.Exp.Smooth'!$G$5</definedName>
    <definedName name="solver_cvg" localSheetId="10" hidden="1">0.0001</definedName>
    <definedName name="solver_cvg" localSheetId="6" hidden="1">0.0001</definedName>
    <definedName name="solver_cvg" localSheetId="9" hidden="1">0.0001</definedName>
    <definedName name="solver_cvg" localSheetId="7" hidden="1">0.0001</definedName>
    <definedName name="solver_cvg" localSheetId="8" hidden="1">0.0001</definedName>
    <definedName name="solver_cvg" localSheetId="4" hidden="1">0.0001</definedName>
    <definedName name="solver_cvg" localSheetId="5" hidden="1">0.0001</definedName>
    <definedName name="solver_drv" localSheetId="10" hidden="1">1</definedName>
    <definedName name="solver_drv" localSheetId="6" hidden="1">1</definedName>
    <definedName name="solver_drv" localSheetId="9" hidden="1">1</definedName>
    <definedName name="solver_drv" localSheetId="7" hidden="1">1</definedName>
    <definedName name="solver_drv" localSheetId="8" hidden="1">1</definedName>
    <definedName name="solver_drv" localSheetId="4" hidden="1">1</definedName>
    <definedName name="solver_drv" localSheetId="5" hidden="1">1</definedName>
    <definedName name="solver_eng" localSheetId="10" hidden="1">1</definedName>
    <definedName name="solver_eng" localSheetId="6" hidden="1">1</definedName>
    <definedName name="solver_eng" localSheetId="9" hidden="1">1</definedName>
    <definedName name="solver_eng" localSheetId="7" hidden="1">1</definedName>
    <definedName name="solver_eng" localSheetId="8" hidden="1">1</definedName>
    <definedName name="solver_eng" localSheetId="4" hidden="1">1</definedName>
    <definedName name="solver_eng" localSheetId="5" hidden="1">1</definedName>
    <definedName name="solver_est" localSheetId="10" hidden="1">1</definedName>
    <definedName name="solver_est" localSheetId="6" hidden="1">1</definedName>
    <definedName name="solver_est" localSheetId="9" hidden="1">1</definedName>
    <definedName name="solver_est" localSheetId="7" hidden="1">1</definedName>
    <definedName name="solver_est" localSheetId="8" hidden="1">1</definedName>
    <definedName name="solver_est" localSheetId="4" hidden="1">1</definedName>
    <definedName name="solver_est" localSheetId="5" hidden="1">1</definedName>
    <definedName name="solver_itr" localSheetId="10" hidden="1">2147483647</definedName>
    <definedName name="solver_itr" localSheetId="6" hidden="1">2147483647</definedName>
    <definedName name="solver_itr" localSheetId="9" hidden="1">2147483647</definedName>
    <definedName name="solver_itr" localSheetId="7" hidden="1">2147483647</definedName>
    <definedName name="solver_itr" localSheetId="8" hidden="1">2147483647</definedName>
    <definedName name="solver_itr" localSheetId="4" hidden="1">2147483647</definedName>
    <definedName name="solver_itr" localSheetId="5" hidden="1">2147483647</definedName>
    <definedName name="solver_lhs1" localSheetId="10" hidden="1">'Decomposition(s12)'!#REF!</definedName>
    <definedName name="solver_lhs1" localSheetId="6" hidden="1">Holt!$I$5:$I$6</definedName>
    <definedName name="solver_lhs1" localSheetId="9" hidden="1">'Holt-Winters(s12)'!$J$5:$J$7</definedName>
    <definedName name="solver_lhs1" localSheetId="7" hidden="1">'Holt-Winters(s3)'!$J$5:$J$7</definedName>
    <definedName name="solver_lhs1" localSheetId="8" hidden="1">'Holt-Winters(s6)'!$J$5:$J$7</definedName>
    <definedName name="solver_lhs1" localSheetId="4" hidden="1">'S.Exp.Alpha'!$D$4</definedName>
    <definedName name="solver_lhs1" localSheetId="5" hidden="1">'S.Exp.Smooth'!$G$5</definedName>
    <definedName name="solver_lhs2" localSheetId="10" hidden="1">'Decomposition(s12)'!#REF!</definedName>
    <definedName name="solver_lhs2" localSheetId="6" hidden="1">Holt!$I$4:$I$6</definedName>
    <definedName name="solver_lhs2" localSheetId="9" hidden="1">'Holt-Winters(s12)'!$J$5:$J$7</definedName>
    <definedName name="solver_lhs2" localSheetId="7" hidden="1">'Holt-Winters(s3)'!$J$5:$J$7</definedName>
    <definedName name="solver_lhs2" localSheetId="8" hidden="1">'Holt-Winters(s6)'!$J$5:$J$7</definedName>
    <definedName name="solver_lhs2" localSheetId="4" hidden="1">'S.Exp.Alpha'!$D$4</definedName>
    <definedName name="solver_lhs2" localSheetId="5" hidden="1">'S.Exp.Smooth'!$G$5</definedName>
    <definedName name="solver_lhs3" localSheetId="10" hidden="1">'Decomposition(s12)'!#REF!</definedName>
    <definedName name="solver_lhs3" localSheetId="9" hidden="1">'Holt-Winters(s12)'!$J$6</definedName>
    <definedName name="solver_lhs3" localSheetId="7" hidden="1">'Holt-Winters(s3)'!$J$6</definedName>
    <definedName name="solver_lhs3" localSheetId="8" hidden="1">'Holt-Winters(s6)'!$J$6</definedName>
    <definedName name="solver_lhs4" localSheetId="10" hidden="1">'Decomposition(s12)'!#REF!</definedName>
    <definedName name="solver_lhs4" localSheetId="9" hidden="1">'Holt-Winters(s12)'!$J$6</definedName>
    <definedName name="solver_lhs4" localSheetId="7" hidden="1">'Holt-Winters(s3)'!$J$6</definedName>
    <definedName name="solver_lhs4" localSheetId="8" hidden="1">'Holt-Winters(s6)'!$J$6</definedName>
    <definedName name="solver_mip" localSheetId="10" hidden="1">2147483647</definedName>
    <definedName name="solver_mip" localSheetId="6" hidden="1">2147483647</definedName>
    <definedName name="solver_mip" localSheetId="9" hidden="1">2147483647</definedName>
    <definedName name="solver_mip" localSheetId="7" hidden="1">2147483647</definedName>
    <definedName name="solver_mip" localSheetId="8" hidden="1">2147483647</definedName>
    <definedName name="solver_mip" localSheetId="4" hidden="1">2147483647</definedName>
    <definedName name="solver_mip" localSheetId="5" hidden="1">2147483647</definedName>
    <definedName name="solver_mni" localSheetId="10" hidden="1">30</definedName>
    <definedName name="solver_mni" localSheetId="6" hidden="1">30</definedName>
    <definedName name="solver_mni" localSheetId="9" hidden="1">30</definedName>
    <definedName name="solver_mni" localSheetId="7" hidden="1">30</definedName>
    <definedName name="solver_mni" localSheetId="8" hidden="1">30</definedName>
    <definedName name="solver_mni" localSheetId="4" hidden="1">30</definedName>
    <definedName name="solver_mni" localSheetId="5" hidden="1">30</definedName>
    <definedName name="solver_mrt" localSheetId="10" hidden="1">0.075</definedName>
    <definedName name="solver_mrt" localSheetId="6" hidden="1">0.075</definedName>
    <definedName name="solver_mrt" localSheetId="9" hidden="1">0.075</definedName>
    <definedName name="solver_mrt" localSheetId="7" hidden="1">0.075</definedName>
    <definedName name="solver_mrt" localSheetId="8" hidden="1">0.075</definedName>
    <definedName name="solver_mrt" localSheetId="4" hidden="1">0.075</definedName>
    <definedName name="solver_mrt" localSheetId="5" hidden="1">0.075</definedName>
    <definedName name="solver_msl" localSheetId="10" hidden="1">2</definedName>
    <definedName name="solver_msl" localSheetId="6" hidden="1">1</definedName>
    <definedName name="solver_msl" localSheetId="9" hidden="1">2</definedName>
    <definedName name="solver_msl" localSheetId="7" hidden="1">1</definedName>
    <definedName name="solver_msl" localSheetId="8" hidden="1">1</definedName>
    <definedName name="solver_msl" localSheetId="4" hidden="1">1</definedName>
    <definedName name="solver_msl" localSheetId="5" hidden="1">1</definedName>
    <definedName name="solver_neg" localSheetId="10" hidden="1">1</definedName>
    <definedName name="solver_neg" localSheetId="6" hidden="1">1</definedName>
    <definedName name="solver_neg" localSheetId="9" hidden="1">1</definedName>
    <definedName name="solver_neg" localSheetId="7" hidden="1">1</definedName>
    <definedName name="solver_neg" localSheetId="8" hidden="1">1</definedName>
    <definedName name="solver_neg" localSheetId="4" hidden="1">1</definedName>
    <definedName name="solver_neg" localSheetId="5" hidden="1">1</definedName>
    <definedName name="solver_nod" localSheetId="10" hidden="1">2147483647</definedName>
    <definedName name="solver_nod" localSheetId="6" hidden="1">2147483647</definedName>
    <definedName name="solver_nod" localSheetId="9" hidden="1">2147483647</definedName>
    <definedName name="solver_nod" localSheetId="7" hidden="1">2147483647</definedName>
    <definedName name="solver_nod" localSheetId="8" hidden="1">2147483647</definedName>
    <definedName name="solver_nod" localSheetId="4" hidden="1">2147483647</definedName>
    <definedName name="solver_nod" localSheetId="5" hidden="1">2147483647</definedName>
    <definedName name="solver_num" localSheetId="10" hidden="1">2</definedName>
    <definedName name="solver_num" localSheetId="6" hidden="1">1</definedName>
    <definedName name="solver_num" localSheetId="9" hidden="1">1</definedName>
    <definedName name="solver_num" localSheetId="7" hidden="1">1</definedName>
    <definedName name="solver_num" localSheetId="8" hidden="1">1</definedName>
    <definedName name="solver_num" localSheetId="4" hidden="1">1</definedName>
    <definedName name="solver_num" localSheetId="5" hidden="1">1</definedName>
    <definedName name="solver_nwt" localSheetId="10" hidden="1">1</definedName>
    <definedName name="solver_nwt" localSheetId="6" hidden="1">1</definedName>
    <definedName name="solver_nwt" localSheetId="9" hidden="1">1</definedName>
    <definedName name="solver_nwt" localSheetId="7" hidden="1">1</definedName>
    <definedName name="solver_nwt" localSheetId="8" hidden="1">1</definedName>
    <definedName name="solver_nwt" localSheetId="4" hidden="1">1</definedName>
    <definedName name="solver_nwt" localSheetId="5" hidden="1">1</definedName>
    <definedName name="solver_opt" localSheetId="10" hidden="1">'Decomposition(s12)'!$J$2</definedName>
    <definedName name="solver_opt" localSheetId="6" hidden="1">Holt!$I$2</definedName>
    <definedName name="solver_opt" localSheetId="9" hidden="1">'Holt-Winters(s12)'!$J$2</definedName>
    <definedName name="solver_opt" localSheetId="7" hidden="1">'Holt-Winters(s3)'!$J$2</definedName>
    <definedName name="solver_opt" localSheetId="8" hidden="1">'Holt-Winters(s6)'!$J$2</definedName>
    <definedName name="solver_opt" localSheetId="4" hidden="1">'S.Exp.Alpha'!$D$2</definedName>
    <definedName name="solver_opt" localSheetId="5" hidden="1">'S.Exp.Smooth'!$G$2</definedName>
    <definedName name="solver_pre" localSheetId="10" hidden="1">0.000001</definedName>
    <definedName name="solver_pre" localSheetId="6" hidden="1">0.000001</definedName>
    <definedName name="solver_pre" localSheetId="9" hidden="1">0.000001</definedName>
    <definedName name="solver_pre" localSheetId="7" hidden="1">0.000001</definedName>
    <definedName name="solver_pre" localSheetId="8" hidden="1">0.000001</definedName>
    <definedName name="solver_pre" localSheetId="4" hidden="1">0.001</definedName>
    <definedName name="solver_pre" localSheetId="5" hidden="1">0.001</definedName>
    <definedName name="solver_rbv" localSheetId="10" hidden="1">1</definedName>
    <definedName name="solver_rbv" localSheetId="6" hidden="1">1</definedName>
    <definedName name="solver_rbv" localSheetId="9" hidden="1">1</definedName>
    <definedName name="solver_rbv" localSheetId="7" hidden="1">1</definedName>
    <definedName name="solver_rbv" localSheetId="8" hidden="1">1</definedName>
    <definedName name="solver_rbv" localSheetId="4" hidden="1">1</definedName>
    <definedName name="solver_rbv" localSheetId="5" hidden="1">1</definedName>
    <definedName name="solver_rel1" localSheetId="10" hidden="1">1</definedName>
    <definedName name="solver_rel1" localSheetId="6" hidden="1">1</definedName>
    <definedName name="solver_rel1" localSheetId="9" hidden="1">1</definedName>
    <definedName name="solver_rel1" localSheetId="7" hidden="1">1</definedName>
    <definedName name="solver_rel1" localSheetId="8" hidden="1">1</definedName>
    <definedName name="solver_rel1" localSheetId="4" hidden="1">1</definedName>
    <definedName name="solver_rel1" localSheetId="5" hidden="1">1</definedName>
    <definedName name="solver_rel2" localSheetId="10" hidden="1">3</definedName>
    <definedName name="solver_rel2" localSheetId="6" hidden="1">3</definedName>
    <definedName name="solver_rel2" localSheetId="9" hidden="1">3</definedName>
    <definedName name="solver_rel2" localSheetId="7" hidden="1">3</definedName>
    <definedName name="solver_rel2" localSheetId="8" hidden="1">3</definedName>
    <definedName name="solver_rel2" localSheetId="4" hidden="1">3</definedName>
    <definedName name="solver_rel2" localSheetId="5" hidden="1">3</definedName>
    <definedName name="solver_rel3" localSheetId="10" hidden="1">1</definedName>
    <definedName name="solver_rel3" localSheetId="9" hidden="1">1</definedName>
    <definedName name="solver_rel3" localSheetId="7" hidden="1">1</definedName>
    <definedName name="solver_rel3" localSheetId="8" hidden="1">1</definedName>
    <definedName name="solver_rel4" localSheetId="10" hidden="1">1</definedName>
    <definedName name="solver_rel4" localSheetId="9" hidden="1">1</definedName>
    <definedName name="solver_rel4" localSheetId="7" hidden="1">1</definedName>
    <definedName name="solver_rel4" localSheetId="8" hidden="1">1</definedName>
    <definedName name="solver_rhs1" localSheetId="10" hidden="1">1</definedName>
    <definedName name="solver_rhs1" localSheetId="6" hidden="1">1</definedName>
    <definedName name="solver_rhs1" localSheetId="9" hidden="1">1</definedName>
    <definedName name="solver_rhs1" localSheetId="7" hidden="1">1</definedName>
    <definedName name="solver_rhs1" localSheetId="8" hidden="1">1</definedName>
    <definedName name="solver_rhs1" localSheetId="4" hidden="1">1</definedName>
    <definedName name="solver_rhs1" localSheetId="5" hidden="1">1</definedName>
    <definedName name="solver_rhs2" localSheetId="10" hidden="1">0</definedName>
    <definedName name="solver_rhs2" localSheetId="6" hidden="1">0</definedName>
    <definedName name="solver_rhs2" localSheetId="9" hidden="1">0</definedName>
    <definedName name="solver_rhs2" localSheetId="7" hidden="1">0</definedName>
    <definedName name="solver_rhs2" localSheetId="8" hidden="1">0</definedName>
    <definedName name="solver_rhs2" localSheetId="4" hidden="1">0</definedName>
    <definedName name="solver_rhs2" localSheetId="5" hidden="1">0</definedName>
    <definedName name="solver_rhs3" localSheetId="10" hidden="1">1</definedName>
    <definedName name="solver_rhs3" localSheetId="9" hidden="1">1</definedName>
    <definedName name="solver_rhs3" localSheetId="7" hidden="1">1</definedName>
    <definedName name="solver_rhs3" localSheetId="8" hidden="1">1</definedName>
    <definedName name="solver_rhs4" localSheetId="10" hidden="1">1</definedName>
    <definedName name="solver_rhs4" localSheetId="9" hidden="1">1</definedName>
    <definedName name="solver_rhs4" localSheetId="7" hidden="1">1</definedName>
    <definedName name="solver_rhs4" localSheetId="8" hidden="1">1</definedName>
    <definedName name="solver_rlx" localSheetId="10" hidden="1">2</definedName>
    <definedName name="solver_rlx" localSheetId="6" hidden="1">2</definedName>
    <definedName name="solver_rlx" localSheetId="9" hidden="1">2</definedName>
    <definedName name="solver_rlx" localSheetId="7" hidden="1">2</definedName>
    <definedName name="solver_rlx" localSheetId="8" hidden="1">2</definedName>
    <definedName name="solver_rlx" localSheetId="4" hidden="1">2</definedName>
    <definedName name="solver_rlx" localSheetId="5" hidden="1">2</definedName>
    <definedName name="solver_rsd" localSheetId="10" hidden="1">0</definedName>
    <definedName name="solver_rsd" localSheetId="6" hidden="1">0</definedName>
    <definedName name="solver_rsd" localSheetId="9" hidden="1">0</definedName>
    <definedName name="solver_rsd" localSheetId="7" hidden="1">0</definedName>
    <definedName name="solver_rsd" localSheetId="8" hidden="1">0</definedName>
    <definedName name="solver_rsd" localSheetId="4" hidden="1">0</definedName>
    <definedName name="solver_rsd" localSheetId="5" hidden="1">0</definedName>
    <definedName name="solver_scl" localSheetId="10" hidden="1">1</definedName>
    <definedName name="solver_scl" localSheetId="6" hidden="1">1</definedName>
    <definedName name="solver_scl" localSheetId="9" hidden="1">1</definedName>
    <definedName name="solver_scl" localSheetId="7" hidden="1">1</definedName>
    <definedName name="solver_scl" localSheetId="8" hidden="1">1</definedName>
    <definedName name="solver_scl" localSheetId="4" hidden="1">1</definedName>
    <definedName name="solver_scl" localSheetId="5" hidden="1">1</definedName>
    <definedName name="solver_sho" localSheetId="10" hidden="1">2</definedName>
    <definedName name="solver_sho" localSheetId="6" hidden="1">2</definedName>
    <definedName name="solver_sho" localSheetId="9" hidden="1">2</definedName>
    <definedName name="solver_sho" localSheetId="7" hidden="1">2</definedName>
    <definedName name="solver_sho" localSheetId="8" hidden="1">2</definedName>
    <definedName name="solver_sho" localSheetId="4" hidden="1">2</definedName>
    <definedName name="solver_sho" localSheetId="5" hidden="1">2</definedName>
    <definedName name="solver_ssz" localSheetId="10" hidden="1">100</definedName>
    <definedName name="solver_ssz" localSheetId="6" hidden="1">100</definedName>
    <definedName name="solver_ssz" localSheetId="9" hidden="1">100</definedName>
    <definedName name="solver_ssz" localSheetId="7" hidden="1">100</definedName>
    <definedName name="solver_ssz" localSheetId="8" hidden="1">100</definedName>
    <definedName name="solver_ssz" localSheetId="4" hidden="1">100</definedName>
    <definedName name="solver_ssz" localSheetId="5" hidden="1">100</definedName>
    <definedName name="solver_tim" localSheetId="10" hidden="1">2147483647</definedName>
    <definedName name="solver_tim" localSheetId="6" hidden="1">2147483647</definedName>
    <definedName name="solver_tim" localSheetId="9" hidden="1">2147483647</definedName>
    <definedName name="solver_tim" localSheetId="7" hidden="1">2147483647</definedName>
    <definedName name="solver_tim" localSheetId="8" hidden="1">2147483647</definedName>
    <definedName name="solver_tim" localSheetId="4" hidden="1">2147483647</definedName>
    <definedName name="solver_tim" localSheetId="5" hidden="1">2147483647</definedName>
    <definedName name="solver_tol" localSheetId="10" hidden="1">0.01</definedName>
    <definedName name="solver_tol" localSheetId="6" hidden="1">0.01</definedName>
    <definedName name="solver_tol" localSheetId="9" hidden="1">0.01</definedName>
    <definedName name="solver_tol" localSheetId="7" hidden="1">0.01</definedName>
    <definedName name="solver_tol" localSheetId="8" hidden="1">0.01</definedName>
    <definedName name="solver_tol" localSheetId="4" hidden="1">0.01</definedName>
    <definedName name="solver_tol" localSheetId="5" hidden="1">0.01</definedName>
    <definedName name="solver_typ" localSheetId="10" hidden="1">2</definedName>
    <definedName name="solver_typ" localSheetId="6" hidden="1">2</definedName>
    <definedName name="solver_typ" localSheetId="9" hidden="1">2</definedName>
    <definedName name="solver_typ" localSheetId="7" hidden="1">2</definedName>
    <definedName name="solver_typ" localSheetId="8" hidden="1">2</definedName>
    <definedName name="solver_typ" localSheetId="4" hidden="1">2</definedName>
    <definedName name="solver_typ" localSheetId="5" hidden="1">2</definedName>
    <definedName name="solver_val" localSheetId="10" hidden="1">0</definedName>
    <definedName name="solver_val" localSheetId="6" hidden="1">0</definedName>
    <definedName name="solver_val" localSheetId="9" hidden="1">0</definedName>
    <definedName name="solver_val" localSheetId="7" hidden="1">0</definedName>
    <definedName name="solver_val" localSheetId="8" hidden="1">0</definedName>
    <definedName name="solver_val" localSheetId="4" hidden="1">0</definedName>
    <definedName name="solver_val" localSheetId="5" hidden="1">0</definedName>
    <definedName name="solver_ver" localSheetId="10" hidden="1">3</definedName>
    <definedName name="solver_ver" localSheetId="6" hidden="1">3</definedName>
    <definedName name="solver_ver" localSheetId="9" hidden="1">3</definedName>
    <definedName name="solver_ver" localSheetId="7" hidden="1">3</definedName>
    <definedName name="solver_ver" localSheetId="8" hidden="1">3</definedName>
    <definedName name="solver_ver" localSheetId="4" hidden="1">3</definedName>
    <definedName name="solver_ver" localSheetId="5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27" l="1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F16" i="30"/>
  <c r="D16" i="30"/>
  <c r="D16" i="29"/>
  <c r="H9" i="18"/>
  <c r="G9" i="18"/>
  <c r="F9" i="18"/>
  <c r="H8" i="18"/>
  <c r="G8" i="18"/>
  <c r="F8" i="18"/>
  <c r="H7" i="18"/>
  <c r="G7" i="18"/>
  <c r="F7" i="18"/>
  <c r="B41" i="27"/>
  <c r="B36" i="27"/>
  <c r="B37" i="27"/>
  <c r="B38" i="27"/>
  <c r="B39" i="27"/>
  <c r="B40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4" i="27"/>
  <c r="B42" i="31"/>
  <c r="B41" i="31"/>
  <c r="B40" i="31"/>
  <c r="B39" i="31"/>
  <c r="B38" i="31"/>
  <c r="B37" i="31"/>
  <c r="B36" i="31"/>
  <c r="B35" i="31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D15" i="31" s="1"/>
  <c r="B42" i="30"/>
  <c r="B41" i="30"/>
  <c r="B40" i="30"/>
  <c r="B39" i="30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D15" i="30" s="1"/>
  <c r="B42" i="29"/>
  <c r="B41" i="29"/>
  <c r="B40" i="29"/>
  <c r="B39" i="29"/>
  <c r="B38" i="29"/>
  <c r="B37" i="29"/>
  <c r="B36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D15" i="29" s="1"/>
  <c r="E16" i="29" l="1"/>
  <c r="D17" i="29" s="1"/>
  <c r="F16" i="29"/>
  <c r="E16" i="30"/>
  <c r="D17" i="30" s="1"/>
  <c r="D30" i="27"/>
  <c r="F30" i="27" s="1"/>
  <c r="D33" i="27"/>
  <c r="F33" i="27" s="1"/>
  <c r="D34" i="27"/>
  <c r="F34" i="27" s="1"/>
  <c r="D28" i="27"/>
  <c r="F28" i="27" s="1"/>
  <c r="D35" i="27"/>
  <c r="F35" i="27" s="1"/>
  <c r="D27" i="27"/>
  <c r="F27" i="27" s="1"/>
  <c r="D31" i="27"/>
  <c r="F31" i="27" s="1"/>
  <c r="D32" i="27"/>
  <c r="F32" i="27" s="1"/>
  <c r="D29" i="27"/>
  <c r="F29" i="27" s="1"/>
  <c r="D16" i="31"/>
  <c r="F16" i="31" s="1"/>
  <c r="F17" i="30" l="1"/>
  <c r="E17" i="30"/>
  <c r="D18" i="30" s="1"/>
  <c r="F17" i="29"/>
  <c r="E17" i="29"/>
  <c r="D18" i="29" s="1"/>
  <c r="F18" i="29" s="1"/>
  <c r="E16" i="31"/>
  <c r="D17" i="31" s="1"/>
  <c r="F17" i="31" s="1"/>
  <c r="F18" i="30" l="1"/>
  <c r="E18" i="30"/>
  <c r="D19" i="30"/>
  <c r="E18" i="29"/>
  <c r="C19" i="29" s="1"/>
  <c r="E17" i="31"/>
  <c r="D18" i="31" s="1"/>
  <c r="F18" i="31" s="1"/>
  <c r="F19" i="30" l="1"/>
  <c r="E19" i="30"/>
  <c r="D20" i="30" s="1"/>
  <c r="D19" i="29"/>
  <c r="F19" i="29" s="1"/>
  <c r="E18" i="31"/>
  <c r="C19" i="31" s="1"/>
  <c r="G19" i="31" s="1"/>
  <c r="F20" i="30" l="1"/>
  <c r="E20" i="30"/>
  <c r="D21" i="30" s="1"/>
  <c r="E19" i="29"/>
  <c r="C19" i="30"/>
  <c r="G19" i="30" s="1"/>
  <c r="D19" i="31"/>
  <c r="F19" i="31" s="1"/>
  <c r="G19" i="29"/>
  <c r="F21" i="30" l="1"/>
  <c r="E21" i="30"/>
  <c r="D22" i="30" s="1"/>
  <c r="D20" i="29"/>
  <c r="C20" i="29"/>
  <c r="G20" i="29" s="1"/>
  <c r="E19" i="31"/>
  <c r="C20" i="31" s="1"/>
  <c r="G20" i="31" s="1"/>
  <c r="F22" i="30" l="1"/>
  <c r="E22" i="30"/>
  <c r="D23" i="30"/>
  <c r="F20" i="29"/>
  <c r="E20" i="29"/>
  <c r="D21" i="29" s="1"/>
  <c r="C20" i="30"/>
  <c r="G20" i="30" s="1"/>
  <c r="D20" i="31"/>
  <c r="F20" i="31" s="1"/>
  <c r="F23" i="30" l="1"/>
  <c r="E23" i="30"/>
  <c r="D24" i="30" s="1"/>
  <c r="C21" i="29"/>
  <c r="G21" i="29" s="1"/>
  <c r="E21" i="29"/>
  <c r="D22" i="29" s="1"/>
  <c r="F21" i="29"/>
  <c r="C21" i="30"/>
  <c r="G21" i="30" s="1"/>
  <c r="E20" i="31"/>
  <c r="C21" i="31" s="1"/>
  <c r="G21" i="31" s="1"/>
  <c r="F24" i="30" l="1"/>
  <c r="E24" i="30"/>
  <c r="D25" i="30" s="1"/>
  <c r="C22" i="29"/>
  <c r="F22" i="29"/>
  <c r="E22" i="29"/>
  <c r="D23" i="29" s="1"/>
  <c r="C22" i="30"/>
  <c r="G22" i="30" s="1"/>
  <c r="D21" i="31"/>
  <c r="F21" i="31" s="1"/>
  <c r="G22" i="29"/>
  <c r="F25" i="30" l="1"/>
  <c r="E25" i="30"/>
  <c r="D26" i="30"/>
  <c r="F23" i="29"/>
  <c r="E23" i="29"/>
  <c r="D24" i="29" s="1"/>
  <c r="C23" i="29"/>
  <c r="E21" i="31"/>
  <c r="C22" i="31" s="1"/>
  <c r="G22" i="31" s="1"/>
  <c r="E26" i="30" l="1"/>
  <c r="D27" i="30" s="1"/>
  <c r="F26" i="30"/>
  <c r="F24" i="29"/>
  <c r="E24" i="29"/>
  <c r="D25" i="29" s="1"/>
  <c r="C24" i="29"/>
  <c r="C23" i="30"/>
  <c r="G23" i="30" s="1"/>
  <c r="D22" i="31"/>
  <c r="F22" i="31" s="1"/>
  <c r="G23" i="29"/>
  <c r="F27" i="30" l="1"/>
  <c r="E27" i="30"/>
  <c r="D28" i="30" s="1"/>
  <c r="E25" i="29"/>
  <c r="D26" i="29" s="1"/>
  <c r="F25" i="29"/>
  <c r="C25" i="29"/>
  <c r="C24" i="30"/>
  <c r="G24" i="30" s="1"/>
  <c r="E22" i="31"/>
  <c r="C23" i="31" s="1"/>
  <c r="G23" i="31" s="1"/>
  <c r="F28" i="30" l="1"/>
  <c r="E28" i="30"/>
  <c r="D29" i="30"/>
  <c r="F26" i="29"/>
  <c r="E26" i="29"/>
  <c r="D27" i="29" s="1"/>
  <c r="C26" i="29"/>
  <c r="D23" i="31"/>
  <c r="F23" i="31" s="1"/>
  <c r="F29" i="30" l="1"/>
  <c r="E29" i="30"/>
  <c r="D30" i="30" s="1"/>
  <c r="C27" i="29"/>
  <c r="E27" i="29"/>
  <c r="D28" i="29" s="1"/>
  <c r="F27" i="29"/>
  <c r="C25" i="30"/>
  <c r="G25" i="30" s="1"/>
  <c r="E23" i="31"/>
  <c r="C24" i="31" s="1"/>
  <c r="G24" i="31" s="1"/>
  <c r="G24" i="29"/>
  <c r="E30" i="30" l="1"/>
  <c r="D31" i="30" s="1"/>
  <c r="F30" i="30"/>
  <c r="C28" i="29"/>
  <c r="F28" i="29"/>
  <c r="E28" i="29"/>
  <c r="D29" i="29" s="1"/>
  <c r="D24" i="31"/>
  <c r="E24" i="31" s="1"/>
  <c r="C25" i="31" s="1"/>
  <c r="G25" i="31" s="1"/>
  <c r="G26" i="29"/>
  <c r="G25" i="29"/>
  <c r="F31" i="30" l="1"/>
  <c r="E31" i="30"/>
  <c r="D32" i="30" s="1"/>
  <c r="C29" i="29"/>
  <c r="E29" i="29"/>
  <c r="D30" i="29" s="1"/>
  <c r="F29" i="29"/>
  <c r="D25" i="31"/>
  <c r="E25" i="31" s="1"/>
  <c r="F24" i="31"/>
  <c r="C27" i="30"/>
  <c r="G27" i="30" s="1"/>
  <c r="C26" i="30"/>
  <c r="G26" i="30" s="1"/>
  <c r="F32" i="30" l="1"/>
  <c r="E32" i="30"/>
  <c r="D33" i="30" s="1"/>
  <c r="F25" i="31"/>
  <c r="F30" i="29"/>
  <c r="E30" i="29"/>
  <c r="C31" i="29" s="1"/>
  <c r="C30" i="29"/>
  <c r="C26" i="31"/>
  <c r="G26" i="31" s="1"/>
  <c r="D26" i="31"/>
  <c r="G27" i="29"/>
  <c r="F33" i="30" l="1"/>
  <c r="E33" i="30"/>
  <c r="D34" i="30" s="1"/>
  <c r="D31" i="29"/>
  <c r="E31" i="29" s="1"/>
  <c r="F31" i="29"/>
  <c r="C28" i="30"/>
  <c r="G28" i="30" s="1"/>
  <c r="F26" i="31"/>
  <c r="E26" i="31"/>
  <c r="C27" i="31" s="1"/>
  <c r="G27" i="31" s="1"/>
  <c r="F34" i="30" l="1"/>
  <c r="E34" i="30"/>
  <c r="D35" i="30"/>
  <c r="D32" i="29"/>
  <c r="C32" i="29"/>
  <c r="F32" i="29"/>
  <c r="E32" i="29"/>
  <c r="C33" i="29" s="1"/>
  <c r="D27" i="31"/>
  <c r="G28" i="29"/>
  <c r="E35" i="30" l="1"/>
  <c r="D36" i="30" s="1"/>
  <c r="F35" i="30"/>
  <c r="D33" i="29"/>
  <c r="E33" i="29" s="1"/>
  <c r="C29" i="30"/>
  <c r="G29" i="30" s="1"/>
  <c r="F27" i="31"/>
  <c r="E27" i="31"/>
  <c r="G29" i="29"/>
  <c r="G30" i="29"/>
  <c r="F36" i="30" l="1"/>
  <c r="E36" i="30"/>
  <c r="D37" i="30" s="1"/>
  <c r="F33" i="29"/>
  <c r="C34" i="29"/>
  <c r="D34" i="29"/>
  <c r="F34" i="29" s="1"/>
  <c r="C30" i="30"/>
  <c r="G30" i="30" s="1"/>
  <c r="C28" i="31"/>
  <c r="G28" i="31" s="1"/>
  <c r="D28" i="31"/>
  <c r="E37" i="30" l="1"/>
  <c r="F37" i="30"/>
  <c r="D38" i="30"/>
  <c r="E34" i="29"/>
  <c r="C35" i="29" s="1"/>
  <c r="D35" i="29"/>
  <c r="E35" i="29" s="1"/>
  <c r="C36" i="29" s="1"/>
  <c r="F28" i="31"/>
  <c r="E28" i="31"/>
  <c r="D29" i="31" s="1"/>
  <c r="G31" i="29"/>
  <c r="F38" i="30" l="1"/>
  <c r="E38" i="30"/>
  <c r="D39" i="30"/>
  <c r="F35" i="29"/>
  <c r="D36" i="29"/>
  <c r="F36" i="29" s="1"/>
  <c r="C31" i="30"/>
  <c r="G31" i="30" s="1"/>
  <c r="C29" i="31"/>
  <c r="G29" i="31" s="1"/>
  <c r="E29" i="31"/>
  <c r="C30" i="31" s="1"/>
  <c r="G30" i="31" s="1"/>
  <c r="F29" i="31"/>
  <c r="F39" i="30" l="1"/>
  <c r="E39" i="30"/>
  <c r="D40" i="30" s="1"/>
  <c r="E36" i="29"/>
  <c r="C37" i="29" s="1"/>
  <c r="C32" i="30"/>
  <c r="G32" i="30" s="1"/>
  <c r="D30" i="31"/>
  <c r="F30" i="31" s="1"/>
  <c r="G32" i="29"/>
  <c r="F40" i="30" l="1"/>
  <c r="E40" i="30"/>
  <c r="D41" i="30"/>
  <c r="D37" i="29"/>
  <c r="E37" i="29" s="1"/>
  <c r="D38" i="29"/>
  <c r="F38" i="29" s="1"/>
  <c r="E30" i="31"/>
  <c r="F41" i="30" l="1"/>
  <c r="E41" i="30"/>
  <c r="D42" i="30" s="1"/>
  <c r="C38" i="29"/>
  <c r="F37" i="29"/>
  <c r="E38" i="29"/>
  <c r="C39" i="29" s="1"/>
  <c r="C33" i="30"/>
  <c r="G33" i="30" s="1"/>
  <c r="C31" i="31"/>
  <c r="G31" i="31" s="1"/>
  <c r="D31" i="31"/>
  <c r="G33" i="29"/>
  <c r="F42" i="30" l="1"/>
  <c r="E42" i="30"/>
  <c r="D39" i="29"/>
  <c r="F39" i="29" s="1"/>
  <c r="E31" i="31"/>
  <c r="F31" i="31"/>
  <c r="E39" i="29" l="1"/>
  <c r="C40" i="29" s="1"/>
  <c r="C34" i="30"/>
  <c r="G34" i="30" s="1"/>
  <c r="D32" i="31"/>
  <c r="C32" i="31"/>
  <c r="G32" i="31" s="1"/>
  <c r="G34" i="29"/>
  <c r="D40" i="29" l="1"/>
  <c r="F40" i="29" s="1"/>
  <c r="E32" i="31"/>
  <c r="C33" i="31" s="1"/>
  <c r="G33" i="31" s="1"/>
  <c r="F32" i="31"/>
  <c r="E40" i="29" l="1"/>
  <c r="C35" i="30"/>
  <c r="G35" i="30" s="1"/>
  <c r="D33" i="31"/>
  <c r="F33" i="31" s="1"/>
  <c r="G35" i="29"/>
  <c r="C41" i="29" l="1"/>
  <c r="D41" i="29"/>
  <c r="E33" i="31"/>
  <c r="D34" i="31" s="1"/>
  <c r="E41" i="29" l="1"/>
  <c r="C42" i="29" s="1"/>
  <c r="D42" i="29"/>
  <c r="F41" i="29"/>
  <c r="C36" i="30"/>
  <c r="G36" i="30" s="1"/>
  <c r="C34" i="31"/>
  <c r="G34" i="31" s="1"/>
  <c r="F34" i="31"/>
  <c r="E34" i="31"/>
  <c r="C35" i="31" s="1"/>
  <c r="G35" i="31" s="1"/>
  <c r="F42" i="29" l="1"/>
  <c r="E42" i="29"/>
  <c r="C43" i="29" s="1"/>
  <c r="D35" i="31"/>
  <c r="E35" i="31" s="1"/>
  <c r="G36" i="29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C37" i="30" l="1"/>
  <c r="G37" i="30" s="1"/>
  <c r="F35" i="31"/>
  <c r="C36" i="31"/>
  <c r="G36" i="31" s="1"/>
  <c r="D36" i="31"/>
  <c r="G37" i="29"/>
  <c r="C31" i="3"/>
  <c r="D31" i="3" s="1"/>
  <c r="C32" i="3"/>
  <c r="C30" i="3"/>
  <c r="D30" i="3" s="1"/>
  <c r="F36" i="31" l="1"/>
  <c r="E36" i="31"/>
  <c r="C37" i="31" l="1"/>
  <c r="G37" i="31" s="1"/>
  <c r="D37" i="31"/>
  <c r="C39" i="30" l="1"/>
  <c r="G39" i="30" s="1"/>
  <c r="C38" i="30"/>
  <c r="G38" i="30" s="1"/>
  <c r="E37" i="31"/>
  <c r="F37" i="31"/>
  <c r="G38" i="29"/>
  <c r="D38" i="31" l="1"/>
  <c r="C38" i="31"/>
  <c r="G38" i="31" s="1"/>
  <c r="G39" i="29"/>
  <c r="C40" i="30" l="1"/>
  <c r="G40" i="30" s="1"/>
  <c r="E38" i="31"/>
  <c r="C39" i="31" s="1"/>
  <c r="G39" i="31" s="1"/>
  <c r="F38" i="31"/>
  <c r="C41" i="30" l="1"/>
  <c r="G41" i="30" s="1"/>
  <c r="D39" i="31"/>
  <c r="E39" i="31" s="1"/>
  <c r="C40" i="31" l="1"/>
  <c r="G40" i="31" s="1"/>
  <c r="D40" i="31"/>
  <c r="F40" i="31" s="1"/>
  <c r="F39" i="31"/>
  <c r="G40" i="29"/>
  <c r="C42" i="30" l="1"/>
  <c r="G42" i="30" s="1"/>
  <c r="J2" i="30" s="1"/>
  <c r="E40" i="31"/>
  <c r="C41" i="31" s="1"/>
  <c r="G41" i="31" s="1"/>
  <c r="G41" i="29"/>
  <c r="J3" i="30" l="1"/>
  <c r="D7" i="18" s="1"/>
  <c r="C7" i="18"/>
  <c r="D41" i="31"/>
  <c r="F41" i="31" s="1"/>
  <c r="C43" i="30" l="1"/>
  <c r="E7" i="18" s="1"/>
  <c r="E41" i="31"/>
  <c r="C42" i="31" s="1"/>
  <c r="G42" i="31" s="1"/>
  <c r="J2" i="31" s="1"/>
  <c r="E9" i="18"/>
  <c r="G42" i="29"/>
  <c r="J2" i="29" s="1"/>
  <c r="J3" i="29" l="1"/>
  <c r="D9" i="18" s="1"/>
  <c r="C9" i="18"/>
  <c r="J3" i="31"/>
  <c r="D8" i="18" s="1"/>
  <c r="C8" i="18"/>
  <c r="D42" i="31"/>
  <c r="E42" i="31" s="1"/>
  <c r="C43" i="31" s="1"/>
  <c r="E8" i="18" s="1"/>
  <c r="F42" i="31" l="1"/>
  <c r="F20" i="27" l="1"/>
  <c r="N10" i="27" s="1"/>
  <c r="F18" i="27"/>
  <c r="N8" i="27" s="1"/>
  <c r="F17" i="27"/>
  <c r="N7" i="27" s="1"/>
  <c r="F15" i="27"/>
  <c r="N5" i="27" s="1"/>
  <c r="F14" i="27"/>
  <c r="F13" i="27"/>
  <c r="F12" i="27"/>
  <c r="N2" i="27" s="1"/>
  <c r="F26" i="27"/>
  <c r="F25" i="27"/>
  <c r="F24" i="27"/>
  <c r="F23" i="27"/>
  <c r="N13" i="27" s="1"/>
  <c r="F22" i="27"/>
  <c r="N12" i="27" s="1"/>
  <c r="F21" i="27"/>
  <c r="N11" i="27" s="1"/>
  <c r="F19" i="27"/>
  <c r="N9" i="27" s="1"/>
  <c r="F16" i="27"/>
  <c r="N6" i="27" s="1"/>
  <c r="C13" i="26"/>
  <c r="D13" i="26" s="1"/>
  <c r="C12" i="26"/>
  <c r="D12" i="26" s="1"/>
  <c r="C11" i="26"/>
  <c r="D11" i="26" s="1"/>
  <c r="C10" i="26"/>
  <c r="D10" i="26" s="1"/>
  <c r="C9" i="26"/>
  <c r="D9" i="26" s="1"/>
  <c r="C8" i="26"/>
  <c r="D8" i="26" s="1"/>
  <c r="C7" i="26"/>
  <c r="D7" i="26" s="1"/>
  <c r="C6" i="26"/>
  <c r="D6" i="26" s="1"/>
  <c r="C5" i="26"/>
  <c r="D5" i="26" s="1"/>
  <c r="C4" i="26"/>
  <c r="D4" i="26" s="1"/>
  <c r="C3" i="26"/>
  <c r="D3" i="26" s="1"/>
  <c r="C2" i="26"/>
  <c r="D2" i="26" s="1"/>
  <c r="N3" i="27" l="1"/>
  <c r="N4" i="27"/>
  <c r="E6" i="26"/>
  <c r="F6" i="26"/>
  <c r="E8" i="26"/>
  <c r="F8" i="26"/>
  <c r="F9" i="26"/>
  <c r="E9" i="26"/>
  <c r="F5" i="26"/>
  <c r="E5" i="26"/>
  <c r="F7" i="26"/>
  <c r="E7" i="26"/>
  <c r="F10" i="26"/>
  <c r="E10" i="26"/>
  <c r="D14" i="26"/>
  <c r="F2" i="26"/>
  <c r="E2" i="26"/>
  <c r="F3" i="26"/>
  <c r="E3" i="26"/>
  <c r="F11" i="26"/>
  <c r="E11" i="26"/>
  <c r="E4" i="26"/>
  <c r="F4" i="26"/>
  <c r="F12" i="26"/>
  <c r="E12" i="26"/>
  <c r="F13" i="26"/>
  <c r="E13" i="26"/>
  <c r="N14" i="27" l="1"/>
  <c r="O4" i="27" s="1"/>
  <c r="G38" i="27" s="1"/>
  <c r="C38" i="27" s="1"/>
  <c r="E14" i="26"/>
  <c r="E15" i="26" s="1"/>
  <c r="F14" i="26"/>
  <c r="G26" i="27" l="1"/>
  <c r="G14" i="27"/>
  <c r="O2" i="27"/>
  <c r="G36" i="27" s="1"/>
  <c r="C36" i="27" s="1"/>
  <c r="E10" i="18" s="1"/>
  <c r="O12" i="27"/>
  <c r="O5" i="27"/>
  <c r="G39" i="27" s="1"/>
  <c r="C39" i="27" s="1"/>
  <c r="O8" i="27"/>
  <c r="O6" i="27"/>
  <c r="G40" i="27" s="1"/>
  <c r="C40" i="27" s="1"/>
  <c r="O3" i="27"/>
  <c r="G37" i="27" s="1"/>
  <c r="C37" i="27" s="1"/>
  <c r="O7" i="27"/>
  <c r="G41" i="27" s="1"/>
  <c r="C41" i="27" s="1"/>
  <c r="O13" i="27"/>
  <c r="O11" i="27"/>
  <c r="O10" i="27"/>
  <c r="O9" i="27"/>
  <c r="G25" i="27" l="1"/>
  <c r="G13" i="27"/>
  <c r="G28" i="27"/>
  <c r="C28" i="27" s="1"/>
  <c r="H28" i="27" s="1"/>
  <c r="G16" i="27"/>
  <c r="G34" i="27"/>
  <c r="C34" i="27" s="1"/>
  <c r="H34" i="27" s="1"/>
  <c r="G22" i="27"/>
  <c r="G18" i="27"/>
  <c r="G30" i="27"/>
  <c r="C30" i="27" s="1"/>
  <c r="H30" i="27" s="1"/>
  <c r="G19" i="27"/>
  <c r="G31" i="27"/>
  <c r="C31" i="27" s="1"/>
  <c r="H31" i="27" s="1"/>
  <c r="G27" i="27"/>
  <c r="C27" i="27" s="1"/>
  <c r="H27" i="27" s="1"/>
  <c r="G15" i="27"/>
  <c r="G20" i="27"/>
  <c r="G32" i="27"/>
  <c r="C32" i="27" s="1"/>
  <c r="H32" i="27" s="1"/>
  <c r="G33" i="27"/>
  <c r="C33" i="27" s="1"/>
  <c r="H33" i="27" s="1"/>
  <c r="G21" i="27"/>
  <c r="G24" i="27"/>
  <c r="G12" i="27"/>
  <c r="C12" i="27" s="1"/>
  <c r="H12" i="27" s="1"/>
  <c r="G35" i="27"/>
  <c r="C35" i="27" s="1"/>
  <c r="H35" i="27" s="1"/>
  <c r="G23" i="27"/>
  <c r="G17" i="27"/>
  <c r="G29" i="27"/>
  <c r="C29" i="27" s="1"/>
  <c r="H29" i="27" s="1"/>
  <c r="O14" i="27"/>
  <c r="C13" i="27"/>
  <c r="H13" i="27" s="1"/>
  <c r="C14" i="27" l="1"/>
  <c r="H14" i="27" s="1"/>
  <c r="C15" i="27" l="1"/>
  <c r="H15" i="27" s="1"/>
  <c r="C16" i="27" l="1"/>
  <c r="H16" i="27" s="1"/>
  <c r="C17" i="27" l="1"/>
  <c r="H17" i="27" s="1"/>
  <c r="C18" i="27" l="1"/>
  <c r="H18" i="27" s="1"/>
  <c r="C19" i="27" l="1"/>
  <c r="H19" i="27" s="1"/>
  <c r="C20" i="27" l="1"/>
  <c r="H20" i="27" s="1"/>
  <c r="C21" i="27" l="1"/>
  <c r="H21" i="27" s="1"/>
  <c r="C22" i="27" l="1"/>
  <c r="H22" i="27" s="1"/>
  <c r="C23" i="27" l="1"/>
  <c r="H23" i="27" s="1"/>
  <c r="C24" i="27" l="1"/>
  <c r="H24" i="27" s="1"/>
  <c r="C25" i="27" l="1"/>
  <c r="H25" i="27" s="1"/>
  <c r="C26" i="27" l="1"/>
  <c r="H26" i="27" s="1"/>
  <c r="J2" i="27" s="1"/>
  <c r="J3" i="27" l="1"/>
  <c r="D10" i="18" s="1"/>
  <c r="C10" i="18"/>
  <c r="M5" i="25"/>
  <c r="K5" i="25"/>
  <c r="I5" i="25"/>
  <c r="G5" i="25"/>
  <c r="E5" i="25"/>
  <c r="C5" i="25"/>
  <c r="M7" i="25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K7" i="25"/>
  <c r="K8" i="25" s="1"/>
  <c r="K9" i="25" s="1"/>
  <c r="K10" i="25" s="1"/>
  <c r="K11" i="25" s="1"/>
  <c r="K12" i="25" s="1"/>
  <c r="K13" i="25" s="1"/>
  <c r="K14" i="25" s="1"/>
  <c r="K15" i="25" s="1"/>
  <c r="K16" i="25" s="1"/>
  <c r="K17" i="25" s="1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I7" i="25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G7" i="25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E7" i="25"/>
  <c r="E8" i="25" s="1"/>
  <c r="E9" i="25" s="1"/>
  <c r="E10" i="25" s="1"/>
  <c r="E11" i="25" s="1"/>
  <c r="C7" i="25"/>
  <c r="C8" i="25" s="1"/>
  <c r="C9" i="25" s="1"/>
  <c r="C10" i="25" s="1"/>
  <c r="C11" i="25" s="1"/>
  <c r="N18" i="25" l="1"/>
  <c r="M33" i="25"/>
  <c r="N32" i="25"/>
  <c r="L32" i="25"/>
  <c r="K33" i="25"/>
  <c r="L15" i="25"/>
  <c r="G33" i="25"/>
  <c r="H32" i="25"/>
  <c r="N25" i="25"/>
  <c r="L16" i="25"/>
  <c r="I33" i="25"/>
  <c r="J32" i="25"/>
  <c r="L23" i="25"/>
  <c r="N17" i="25"/>
  <c r="C12" i="25"/>
  <c r="D11" i="25"/>
  <c r="E12" i="25"/>
  <c r="F11" i="25"/>
  <c r="H28" i="25"/>
  <c r="J22" i="25"/>
  <c r="H15" i="25"/>
  <c r="H31" i="25"/>
  <c r="L11" i="25"/>
  <c r="N13" i="25"/>
  <c r="H17" i="25"/>
  <c r="H25" i="25"/>
  <c r="J11" i="25"/>
  <c r="J19" i="25"/>
  <c r="J27" i="25"/>
  <c r="L13" i="25"/>
  <c r="L21" i="25"/>
  <c r="L29" i="25"/>
  <c r="N15" i="25"/>
  <c r="N23" i="25"/>
  <c r="N31" i="25"/>
  <c r="J13" i="25"/>
  <c r="J29" i="25"/>
  <c r="L31" i="25"/>
  <c r="H20" i="25"/>
  <c r="N26" i="25"/>
  <c r="H23" i="25"/>
  <c r="J25" i="25"/>
  <c r="L27" i="25"/>
  <c r="N29" i="25"/>
  <c r="H18" i="25"/>
  <c r="H26" i="25"/>
  <c r="J12" i="25"/>
  <c r="J20" i="25"/>
  <c r="J28" i="25"/>
  <c r="L14" i="25"/>
  <c r="L22" i="25"/>
  <c r="L30" i="25"/>
  <c r="N16" i="25"/>
  <c r="N24" i="25"/>
  <c r="H11" i="25"/>
  <c r="H13" i="25"/>
  <c r="H21" i="25"/>
  <c r="H29" i="25"/>
  <c r="J15" i="25"/>
  <c r="J23" i="25"/>
  <c r="J31" i="25"/>
  <c r="L17" i="25"/>
  <c r="L25" i="25"/>
  <c r="N11" i="25"/>
  <c r="N19" i="25"/>
  <c r="N27" i="25"/>
  <c r="H19" i="25"/>
  <c r="H14" i="25"/>
  <c r="H22" i="25"/>
  <c r="H30" i="25"/>
  <c r="J16" i="25"/>
  <c r="J24" i="25"/>
  <c r="L18" i="25"/>
  <c r="L26" i="25"/>
  <c r="N12" i="25"/>
  <c r="N20" i="25"/>
  <c r="N28" i="25"/>
  <c r="H27" i="25"/>
  <c r="J21" i="25"/>
  <c r="H12" i="25"/>
  <c r="J14" i="25"/>
  <c r="J30" i="25"/>
  <c r="L24" i="25"/>
  <c r="J17" i="25"/>
  <c r="L19" i="25"/>
  <c r="N21" i="25"/>
  <c r="H16" i="25"/>
  <c r="H24" i="25"/>
  <c r="J18" i="25"/>
  <c r="J26" i="25"/>
  <c r="L12" i="25"/>
  <c r="L20" i="25"/>
  <c r="L28" i="25"/>
  <c r="N14" i="25"/>
  <c r="N22" i="25"/>
  <c r="N30" i="25"/>
  <c r="G6" i="18"/>
  <c r="F6" i="18"/>
  <c r="F5" i="18"/>
  <c r="E4" i="18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8" i="3"/>
  <c r="K34" i="25" l="1"/>
  <c r="L34" i="25" s="1"/>
  <c r="L33" i="25"/>
  <c r="I34" i="25"/>
  <c r="J34" i="25" s="1"/>
  <c r="J33" i="25"/>
  <c r="H33" i="25"/>
  <c r="G34" i="25"/>
  <c r="H34" i="25" s="1"/>
  <c r="M34" i="25"/>
  <c r="N34" i="25" s="1"/>
  <c r="N33" i="25"/>
  <c r="E13" i="25"/>
  <c r="F12" i="25"/>
  <c r="C13" i="25"/>
  <c r="D12" i="25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D9" i="3"/>
  <c r="D10" i="3"/>
  <c r="D11" i="3"/>
  <c r="D12" i="3"/>
  <c r="D13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8" i="3"/>
  <c r="H2" i="25" l="1"/>
  <c r="J2" i="25"/>
  <c r="L2" i="25"/>
  <c r="N2" i="25"/>
  <c r="C29" i="4"/>
  <c r="C14" i="25"/>
  <c r="D13" i="25"/>
  <c r="E14" i="25"/>
  <c r="F13" i="25"/>
  <c r="D14" i="3"/>
  <c r="F4" i="3" s="1"/>
  <c r="D8" i="4"/>
  <c r="D4" i="6"/>
  <c r="D29" i="4" l="1"/>
  <c r="C30" i="4"/>
  <c r="E15" i="25"/>
  <c r="F14" i="25"/>
  <c r="C15" i="25"/>
  <c r="D14" i="25"/>
  <c r="F5" i="3"/>
  <c r="D4" i="18" s="1"/>
  <c r="C4" i="18"/>
  <c r="D5" i="6"/>
  <c r="D9" i="4"/>
  <c r="D30" i="4" l="1"/>
  <c r="C31" i="4"/>
  <c r="E5" i="18"/>
  <c r="C16" i="25"/>
  <c r="D15" i="25"/>
  <c r="E16" i="25"/>
  <c r="F15" i="25"/>
  <c r="E5" i="6"/>
  <c r="D10" i="4"/>
  <c r="D31" i="4" l="1"/>
  <c r="C32" i="4"/>
  <c r="E17" i="25"/>
  <c r="F16" i="25"/>
  <c r="C17" i="25"/>
  <c r="D16" i="25"/>
  <c r="D6" i="6"/>
  <c r="D11" i="4"/>
  <c r="C18" i="25" l="1"/>
  <c r="D17" i="25"/>
  <c r="E18" i="25"/>
  <c r="F17" i="25"/>
  <c r="E6" i="6"/>
  <c r="D12" i="4"/>
  <c r="E19" i="25" l="1"/>
  <c r="F18" i="25"/>
  <c r="C19" i="25"/>
  <c r="D18" i="25"/>
  <c r="D7" i="6"/>
  <c r="D13" i="4"/>
  <c r="C20" i="25" l="1"/>
  <c r="D19" i="25"/>
  <c r="E20" i="25"/>
  <c r="F19" i="25"/>
  <c r="E7" i="6"/>
  <c r="D8" i="6" s="1"/>
  <c r="E8" i="6" s="1"/>
  <c r="D9" i="6" s="1"/>
  <c r="D14" i="4"/>
  <c r="E21" i="25" l="1"/>
  <c r="F20" i="25"/>
  <c r="C21" i="25"/>
  <c r="D20" i="25"/>
  <c r="C8" i="6"/>
  <c r="F8" i="6" s="1"/>
  <c r="C9" i="6"/>
  <c r="F9" i="6" s="1"/>
  <c r="E9" i="6"/>
  <c r="D10" i="6" s="1"/>
  <c r="D15" i="4"/>
  <c r="C22" i="25" l="1"/>
  <c r="D21" i="25"/>
  <c r="E22" i="25"/>
  <c r="F21" i="25"/>
  <c r="C10" i="6"/>
  <c r="F10" i="6" s="1"/>
  <c r="E10" i="6"/>
  <c r="D11" i="6" s="1"/>
  <c r="D16" i="4"/>
  <c r="E23" i="25" l="1"/>
  <c r="F22" i="25"/>
  <c r="C23" i="25"/>
  <c r="D22" i="25"/>
  <c r="C11" i="6"/>
  <c r="F11" i="6" s="1"/>
  <c r="E11" i="6"/>
  <c r="D12" i="6" s="1"/>
  <c r="D17" i="4"/>
  <c r="C24" i="25" l="1"/>
  <c r="D23" i="25"/>
  <c r="E24" i="25"/>
  <c r="F23" i="25"/>
  <c r="C12" i="6"/>
  <c r="F12" i="6" s="1"/>
  <c r="E12" i="6"/>
  <c r="D13" i="6" s="1"/>
  <c r="D18" i="4"/>
  <c r="E25" i="25" l="1"/>
  <c r="F24" i="25"/>
  <c r="C25" i="25"/>
  <c r="D24" i="25"/>
  <c r="C13" i="6"/>
  <c r="F13" i="6" s="1"/>
  <c r="E13" i="6"/>
  <c r="D19" i="4"/>
  <c r="C26" i="25" l="1"/>
  <c r="D25" i="25"/>
  <c r="E26" i="25"/>
  <c r="F25" i="25"/>
  <c r="C14" i="6"/>
  <c r="F14" i="6" s="1"/>
  <c r="D14" i="6"/>
  <c r="D20" i="4"/>
  <c r="E27" i="25" l="1"/>
  <c r="F26" i="25"/>
  <c r="C27" i="25"/>
  <c r="D26" i="25"/>
  <c r="E14" i="6"/>
  <c r="D15" i="6" s="1"/>
  <c r="D21" i="4"/>
  <c r="C28" i="25" l="1"/>
  <c r="D27" i="25"/>
  <c r="E28" i="25"/>
  <c r="F27" i="25"/>
  <c r="C15" i="6"/>
  <c r="F15" i="6" s="1"/>
  <c r="E15" i="6"/>
  <c r="D16" i="6" s="1"/>
  <c r="D22" i="4"/>
  <c r="E29" i="25" l="1"/>
  <c r="F28" i="25"/>
  <c r="C29" i="25"/>
  <c r="D28" i="25"/>
  <c r="C16" i="6"/>
  <c r="F16" i="6" s="1"/>
  <c r="E16" i="6"/>
  <c r="C17" i="6" s="1"/>
  <c r="D23" i="4"/>
  <c r="C30" i="25" l="1"/>
  <c r="D29" i="25"/>
  <c r="E30" i="25"/>
  <c r="F29" i="25"/>
  <c r="D17" i="6"/>
  <c r="E17" i="6" s="1"/>
  <c r="D18" i="6" s="1"/>
  <c r="F17" i="6"/>
  <c r="D24" i="4"/>
  <c r="E31" i="25" l="1"/>
  <c r="E32" i="25" s="1"/>
  <c r="F30" i="25"/>
  <c r="C31" i="25"/>
  <c r="C32" i="25" s="1"/>
  <c r="D30" i="25"/>
  <c r="C18" i="6"/>
  <c r="F18" i="6" s="1"/>
  <c r="E18" i="6"/>
  <c r="D19" i="6" s="1"/>
  <c r="D25" i="4"/>
  <c r="D32" i="25" l="1"/>
  <c r="C33" i="25"/>
  <c r="F32" i="25"/>
  <c r="E33" i="25"/>
  <c r="D31" i="25"/>
  <c r="F31" i="25"/>
  <c r="E19" i="6"/>
  <c r="D20" i="6" s="1"/>
  <c r="C19" i="6"/>
  <c r="F19" i="6" s="1"/>
  <c r="D26" i="4"/>
  <c r="C34" i="25" l="1"/>
  <c r="D34" i="25" s="1"/>
  <c r="D33" i="25"/>
  <c r="E34" i="25"/>
  <c r="F34" i="25" s="1"/>
  <c r="F33" i="25"/>
  <c r="E20" i="6"/>
  <c r="D21" i="6" s="1"/>
  <c r="C20" i="6"/>
  <c r="F20" i="6" s="1"/>
  <c r="D27" i="4"/>
  <c r="F2" i="25" l="1"/>
  <c r="D2" i="25"/>
  <c r="D3" i="25" s="1"/>
  <c r="E21" i="6"/>
  <c r="D22" i="6" s="1"/>
  <c r="C21" i="6"/>
  <c r="F21" i="6" s="1"/>
  <c r="D28" i="4"/>
  <c r="G2" i="4" s="1"/>
  <c r="F3" i="25" l="1"/>
  <c r="H3" i="25"/>
  <c r="E22" i="6"/>
  <c r="D23" i="6" s="1"/>
  <c r="C22" i="6"/>
  <c r="F22" i="6" s="1"/>
  <c r="G3" i="4" l="1"/>
  <c r="D5" i="18" s="1"/>
  <c r="C5" i="18"/>
  <c r="E23" i="6"/>
  <c r="D24" i="6" s="1"/>
  <c r="C23" i="6"/>
  <c r="F23" i="6" s="1"/>
  <c r="J3" i="25" l="1"/>
  <c r="L3" i="25"/>
  <c r="C24" i="6"/>
  <c r="F24" i="6" s="1"/>
  <c r="E24" i="6"/>
  <c r="D25" i="6" s="1"/>
  <c r="N3" i="25" l="1"/>
  <c r="E25" i="6"/>
  <c r="D26" i="6" s="1"/>
  <c r="C25" i="6"/>
  <c r="F25" i="6" s="1"/>
  <c r="E26" i="6" l="1"/>
  <c r="D27" i="6" s="1"/>
  <c r="C26" i="6"/>
  <c r="F26" i="6" s="1"/>
  <c r="E27" i="6" l="1"/>
  <c r="D28" i="6" s="1"/>
  <c r="C27" i="6"/>
  <c r="F27" i="6" s="1"/>
  <c r="E28" i="6" l="1"/>
  <c r="D29" i="6" s="1"/>
  <c r="C28" i="6"/>
  <c r="F28" i="6" s="1"/>
  <c r="E29" i="6" l="1"/>
  <c r="C29" i="6"/>
  <c r="F29" i="6" s="1"/>
  <c r="D30" i="6" l="1"/>
  <c r="C30" i="6"/>
  <c r="F30" i="6" s="1"/>
  <c r="E30" i="6" l="1"/>
  <c r="D31" i="6" s="1"/>
  <c r="E6" i="18"/>
  <c r="C31" i="6" l="1"/>
  <c r="F31" i="6" s="1"/>
  <c r="I2" i="6" s="1"/>
  <c r="E31" i="6"/>
  <c r="C32" i="6" s="1"/>
  <c r="C6" i="18" l="1"/>
  <c r="I3" i="6"/>
  <c r="D6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</author>
  </authors>
  <commentList>
    <comment ref="D3" authorId="0" shapeId="0" xr:uid="{5644F831-E4B6-4C76-B770-19BAEBED3987}">
      <text>
        <r>
          <rPr>
            <b/>
            <sz val="9"/>
            <color indexed="81"/>
            <rFont val="Tahoma"/>
            <family val="2"/>
          </rPr>
          <t xml:space="preserve">Step 1: </t>
        </r>
        <r>
          <rPr>
            <sz val="9"/>
            <color indexed="81"/>
            <rFont val="Tahoma"/>
            <family val="2"/>
          </rPr>
          <t>Calculate the centered moving average (CMA) covering one entire seasonality cycle (12 periods)</t>
        </r>
      </text>
    </comment>
    <comment ref="E3" authorId="0" shapeId="0" xr:uid="{E7137B6E-E0A8-4A54-A8D0-784FD401E329}">
      <text>
        <r>
          <rPr>
            <b/>
            <sz val="9"/>
            <color indexed="81"/>
            <rFont val="Tahoma"/>
            <family val="2"/>
          </rPr>
          <t xml:space="preserve">Step 2: </t>
        </r>
        <r>
          <rPr>
            <sz val="9"/>
            <color indexed="81"/>
            <rFont val="Tahoma"/>
            <family val="2"/>
          </rPr>
          <t xml:space="preserve">Use Centered MA (column D) to estimate the regression function of baseline demand with trend
</t>
        </r>
      </text>
    </comment>
    <comment ref="F3" authorId="0" shapeId="0" xr:uid="{12BBFFC3-A924-4437-8516-6EB6F8A7CAF2}">
      <text>
        <r>
          <rPr>
            <b/>
            <sz val="9"/>
            <color indexed="81"/>
            <rFont val="Tahoma"/>
            <family val="2"/>
          </rPr>
          <t xml:space="preserve">Step 3: </t>
        </r>
        <r>
          <rPr>
            <sz val="9"/>
            <color indexed="81"/>
            <rFont val="Tahoma"/>
            <family val="2"/>
          </rPr>
          <t xml:space="preserve">Calculate the historical seasonality "lift" by dividing the actual demand by CMA
</t>
        </r>
      </text>
    </comment>
    <comment ref="G3" authorId="0" shapeId="0" xr:uid="{703425BF-2FC3-474B-BF9F-210AEB034B1B}">
      <text>
        <r>
          <rPr>
            <b/>
            <sz val="9"/>
            <color indexed="81"/>
            <rFont val="Tahoma"/>
            <family val="2"/>
          </rPr>
          <t xml:space="preserve">Step 4: </t>
        </r>
        <r>
          <rPr>
            <sz val="9"/>
            <color indexed="81"/>
            <rFont val="Tahoma"/>
            <family val="2"/>
          </rPr>
          <t>Use the seasonality history in F to estimate the avg seasonality factors (see column S(i)) and then normalize them to 1.0 (column Adj. S(i)) on the right above the graph</t>
        </r>
      </text>
    </comment>
  </commentList>
</comments>
</file>

<file path=xl/sharedStrings.xml><?xml version="1.0" encoding="utf-8"?>
<sst xmlns="http://schemas.openxmlformats.org/spreadsheetml/2006/main" count="212" uniqueCount="96">
  <si>
    <t>Demand</t>
  </si>
  <si>
    <t>Moving Average</t>
  </si>
  <si>
    <t>Y(t)</t>
  </si>
  <si>
    <t>F(t)</t>
  </si>
  <si>
    <t>L(t)</t>
  </si>
  <si>
    <t>B(t)</t>
  </si>
  <si>
    <t>Squared.Errors</t>
  </si>
  <si>
    <t>Simple exponential smoothing</t>
  </si>
  <si>
    <t>S.Exp.Smoothing</t>
  </si>
  <si>
    <t>Alpha</t>
  </si>
  <si>
    <t>Parameter(s):</t>
  </si>
  <si>
    <t>Holt</t>
  </si>
  <si>
    <t>Beta</t>
  </si>
  <si>
    <t xml:space="preserve">MSE = </t>
  </si>
  <si>
    <t>Gamma</t>
  </si>
  <si>
    <t>S(t)</t>
  </si>
  <si>
    <t>Holt-Winters</t>
  </si>
  <si>
    <t>RMSE =</t>
  </si>
  <si>
    <t>Multiple exponential smoothing (Holt) (m = 1)</t>
  </si>
  <si>
    <t>Moving average with k = 4</t>
  </si>
  <si>
    <t>Period</t>
  </si>
  <si>
    <t>Multiple exponential smoothing (Holt-Winters) (m = 1, s at your own choice)</t>
  </si>
  <si>
    <t>Moving average</t>
  </si>
  <si>
    <t>Simple Exponential Smoothing</t>
  </si>
  <si>
    <t>RMSE</t>
  </si>
  <si>
    <t>Parameters</t>
  </si>
  <si>
    <t>alpha</t>
  </si>
  <si>
    <t>beta</t>
  </si>
  <si>
    <t>gamma</t>
  </si>
  <si>
    <t>Model 1</t>
  </si>
  <si>
    <t>Model 2</t>
  </si>
  <si>
    <t>Model 3</t>
  </si>
  <si>
    <t>Model 4</t>
  </si>
  <si>
    <t>MSE 
(in-sample)</t>
  </si>
  <si>
    <t>n/a</t>
  </si>
  <si>
    <t>Holt-Winters (optional) s = 6</t>
  </si>
  <si>
    <t>Holt-Winters (optional) s = 3</t>
  </si>
  <si>
    <t>Sq.Errors</t>
  </si>
  <si>
    <t>Population (thousands)</t>
  </si>
  <si>
    <t>Annual Demand of Bricks 
(million kg)</t>
  </si>
  <si>
    <t xml:space="preserve">Linear Model </t>
  </si>
  <si>
    <t>Error</t>
  </si>
  <si>
    <t>Squared error</t>
  </si>
  <si>
    <t>Abs errors</t>
  </si>
  <si>
    <t>X</t>
  </si>
  <si>
    <t>Y</t>
  </si>
  <si>
    <t>Average errors</t>
  </si>
  <si>
    <t>RMSE=</t>
  </si>
  <si>
    <t>Root mean squared error</t>
  </si>
  <si>
    <t>Regression Statistics</t>
  </si>
  <si>
    <t>R</t>
  </si>
  <si>
    <t>R Square</t>
  </si>
  <si>
    <t>Adjusted R Square</t>
  </si>
  <si>
    <t>Standard Error</t>
  </si>
  <si>
    <t>Total Number Of Cases</t>
  </si>
  <si>
    <t>ANOVA</t>
  </si>
  <si>
    <t/>
  </si>
  <si>
    <t>d.f.</t>
  </si>
  <si>
    <t>SS</t>
  </si>
  <si>
    <t>MS</t>
  </si>
  <si>
    <t>F</t>
  </si>
  <si>
    <t>Regression</t>
  </si>
  <si>
    <t>Residual</t>
  </si>
  <si>
    <t>Total</t>
  </si>
  <si>
    <t>Coefficients</t>
  </si>
  <si>
    <t>LCL</t>
  </si>
  <si>
    <t>UCL</t>
  </si>
  <si>
    <t>Intercept</t>
  </si>
  <si>
    <t>T (2%)</t>
  </si>
  <si>
    <t>LCL - Lower value of a reliable interval (LCL)</t>
  </si>
  <si>
    <t>UCL - Upper value of a reliable interval (UCL)</t>
  </si>
  <si>
    <t>Residuals</t>
  </si>
  <si>
    <t>Observation</t>
  </si>
  <si>
    <t>Predicted Y</t>
  </si>
  <si>
    <t>Standard Residuals</t>
  </si>
  <si>
    <t>Decomposition with s = 12</t>
  </si>
  <si>
    <t>Season</t>
  </si>
  <si>
    <t>S(i)</t>
  </si>
  <si>
    <t>Adj. S(i)</t>
  </si>
  <si>
    <t>Decomposition</t>
  </si>
  <si>
    <t>Seasonality</t>
  </si>
  <si>
    <t>Weekly index</t>
  </si>
  <si>
    <t>Sq. Error</t>
  </si>
  <si>
    <t>Week</t>
  </si>
  <si>
    <t>F(t)=T(t)*S(t)</t>
  </si>
  <si>
    <t>T(t)=(a+b·t)</t>
  </si>
  <si>
    <t>Ratio</t>
  </si>
  <si>
    <t>S(t) (Adj.)</t>
  </si>
  <si>
    <t xml:space="preserve">RMSE = </t>
  </si>
  <si>
    <t>t</t>
  </si>
  <si>
    <t>Forecast for period t+1</t>
  </si>
  <si>
    <t>(calculated only for periods 25-48)</t>
  </si>
  <si>
    <t>Centered MA</t>
  </si>
  <si>
    <t>Holt-Winters (optional) s = 12</t>
  </si>
  <si>
    <t>Model 5</t>
  </si>
  <si>
    <t>Decomposition s =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</si>
</sst>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00000000000000000000"/>
    <numFmt numFmtId="166" formatCode="0.000"/>
    <numFmt numFmtId="167" formatCode="#,##0.#####"/>
    <numFmt numFmtId="168" formatCode="0.000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i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93">
    <xf numFmtId="0" fontId="0" fillId="0" borderId="0" xfId="0"/>
    <xf numFmtId="0" fontId="0" fillId="0" borderId="0" xfId="0" applyAlignment="1">
      <alignment horizontal="left"/>
    </xf>
    <xf numFmtId="164" fontId="0" fillId="2" borderId="0" xfId="0" applyNumberFormat="1" applyFill="1"/>
    <xf numFmtId="0" fontId="0" fillId="3" borderId="0" xfId="0" applyFill="1" applyAlignment="1">
      <alignment horizontal="right"/>
    </xf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164" fontId="1" fillId="2" borderId="1" xfId="0" applyNumberFormat="1" applyFont="1" applyFill="1" applyBorder="1"/>
    <xf numFmtId="2" fontId="0" fillId="4" borderId="0" xfId="0" applyNumberFormat="1" applyFill="1"/>
    <xf numFmtId="2" fontId="1" fillId="4" borderId="2" xfId="0" applyNumberFormat="1" applyFont="1" applyFill="1" applyBorder="1"/>
    <xf numFmtId="2" fontId="1" fillId="4" borderId="3" xfId="0" applyNumberFormat="1" applyFont="1" applyFill="1" applyBorder="1"/>
    <xf numFmtId="1" fontId="0" fillId="2" borderId="0" xfId="0" applyNumberFormat="1" applyFill="1"/>
    <xf numFmtId="0" fontId="0" fillId="5" borderId="0" xfId="0" applyFill="1"/>
    <xf numFmtId="0" fontId="2" fillId="5" borderId="0" xfId="0" applyFont="1" applyFill="1" applyAlignment="1">
      <alignment horizontal="left"/>
    </xf>
    <xf numFmtId="0" fontId="2" fillId="2" borderId="2" xfId="0" applyFont="1" applyFill="1" applyBorder="1" applyAlignment="1">
      <alignment horizontal="right"/>
    </xf>
    <xf numFmtId="0" fontId="2" fillId="0" borderId="0" xfId="0" applyFont="1" applyAlignment="1">
      <alignment horizontal="left"/>
    </xf>
    <xf numFmtId="2" fontId="0" fillId="5" borderId="0" xfId="0" applyNumberFormat="1" applyFill="1"/>
    <xf numFmtId="2" fontId="1" fillId="0" borderId="0" xfId="0" applyNumberFormat="1" applyFon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5" fontId="2" fillId="0" borderId="0" xfId="0" applyNumberFormat="1" applyFont="1" applyAlignment="1">
      <alignment horizontal="center"/>
    </xf>
    <xf numFmtId="166" fontId="4" fillId="6" borderId="0" xfId="0" applyNumberFormat="1" applyFont="1" applyFill="1"/>
    <xf numFmtId="166" fontId="0" fillId="4" borderId="0" xfId="0" applyNumberFormat="1" applyFill="1"/>
    <xf numFmtId="0" fontId="0" fillId="0" borderId="0" xfId="0" applyAlignment="1">
      <alignment horizontal="left" vertical="top" wrapText="1"/>
    </xf>
    <xf numFmtId="0" fontId="0" fillId="8" borderId="4" xfId="0" applyFill="1" applyBorder="1"/>
    <xf numFmtId="0" fontId="0" fillId="8" borderId="4" xfId="0" quotePrefix="1" applyFill="1" applyBorder="1" applyAlignment="1">
      <alignment horizontal="center"/>
    </xf>
    <xf numFmtId="0" fontId="2" fillId="8" borderId="4" xfId="0" applyFont="1" applyFill="1" applyBorder="1" applyAlignment="1">
      <alignment horizontal="left" vertical="top" wrapText="1"/>
    </xf>
    <xf numFmtId="0" fontId="2" fillId="8" borderId="4" xfId="0" applyFont="1" applyFill="1" applyBorder="1" applyAlignment="1">
      <alignment vertical="top"/>
    </xf>
    <xf numFmtId="164" fontId="0" fillId="0" borderId="0" xfId="0" applyNumberFormat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164" fontId="2" fillId="2" borderId="3" xfId="0" applyNumberFormat="1" applyFont="1" applyFill="1" applyBorder="1"/>
    <xf numFmtId="2" fontId="0" fillId="9" borderId="4" xfId="0" applyNumberFormat="1" applyFill="1" applyBorder="1"/>
    <xf numFmtId="166" fontId="0" fillId="9" borderId="4" xfId="0" applyNumberFormat="1" applyFill="1" applyBorder="1" applyAlignment="1">
      <alignment horizontal="right"/>
    </xf>
    <xf numFmtId="1" fontId="0" fillId="2" borderId="13" xfId="0" applyNumberFormat="1" applyFill="1" applyBorder="1"/>
    <xf numFmtId="0" fontId="7" fillId="3" borderId="4" xfId="1" applyFont="1" applyFill="1" applyBorder="1" applyAlignment="1">
      <alignment horizontal="center" vertical="center" wrapText="1"/>
    </xf>
    <xf numFmtId="0" fontId="7" fillId="5" borderId="4" xfId="1" applyFont="1" applyFill="1" applyBorder="1" applyAlignment="1">
      <alignment horizontal="center" vertical="center" wrapText="1"/>
    </xf>
    <xf numFmtId="0" fontId="6" fillId="0" borderId="0" xfId="0" applyFont="1"/>
    <xf numFmtId="1" fontId="8" fillId="3" borderId="4" xfId="1" applyNumberFormat="1" applyFont="1" applyFill="1" applyBorder="1" applyAlignment="1">
      <alignment horizontal="center" wrapText="1"/>
    </xf>
    <xf numFmtId="1" fontId="8" fillId="2" borderId="4" xfId="1" applyNumberFormat="1" applyFont="1" applyFill="1" applyBorder="1" applyAlignment="1">
      <alignment horizontal="center" wrapText="1"/>
    </xf>
    <xf numFmtId="0" fontId="5" fillId="0" borderId="0" xfId="1" applyAlignment="1">
      <alignment horizontal="center"/>
    </xf>
    <xf numFmtId="0" fontId="9" fillId="0" borderId="0" xfId="1" applyFont="1"/>
    <xf numFmtId="0" fontId="5" fillId="0" borderId="0" xfId="1"/>
    <xf numFmtId="0" fontId="5" fillId="7" borderId="0" xfId="1" applyFill="1" applyAlignment="1">
      <alignment horizontal="center"/>
    </xf>
    <xf numFmtId="1" fontId="5" fillId="7" borderId="0" xfId="1" applyNumberFormat="1" applyFill="1" applyAlignment="1">
      <alignment horizontal="center"/>
    </xf>
    <xf numFmtId="0" fontId="0" fillId="0" borderId="0" xfId="0" applyAlignment="1">
      <alignment horizontal="center"/>
    </xf>
    <xf numFmtId="0" fontId="10" fillId="0" borderId="14" xfId="1" applyFont="1" applyBorder="1"/>
    <xf numFmtId="0" fontId="5" fillId="0" borderId="14" xfId="1" applyBorder="1"/>
    <xf numFmtId="0" fontId="11" fillId="0" borderId="0" xfId="1" applyFont="1"/>
    <xf numFmtId="167" fontId="5" fillId="0" borderId="0" xfId="1" applyNumberFormat="1"/>
    <xf numFmtId="0" fontId="5" fillId="0" borderId="15" xfId="1" applyBorder="1"/>
    <xf numFmtId="0" fontId="11" fillId="0" borderId="16" xfId="1" applyFont="1" applyBorder="1" applyAlignment="1">
      <alignment horizontal="center"/>
    </xf>
    <xf numFmtId="0" fontId="11" fillId="0" borderId="14" xfId="1" applyFont="1" applyBorder="1"/>
    <xf numFmtId="167" fontId="5" fillId="0" borderId="14" xfId="1" applyNumberFormat="1" applyBorder="1"/>
    <xf numFmtId="0" fontId="10" fillId="0" borderId="0" xfId="1" applyFont="1" applyAlignment="1">
      <alignment horizontal="left"/>
    </xf>
    <xf numFmtId="0" fontId="11" fillId="0" borderId="17" xfId="1" applyFont="1" applyBorder="1"/>
    <xf numFmtId="167" fontId="5" fillId="0" borderId="17" xfId="1" applyNumberFormat="1" applyBorder="1"/>
    <xf numFmtId="0" fontId="5" fillId="0" borderId="17" xfId="1" applyBorder="1"/>
    <xf numFmtId="0" fontId="5" fillId="0" borderId="16" xfId="1" applyBorder="1"/>
    <xf numFmtId="0" fontId="12" fillId="10" borderId="0" xfId="0" applyFont="1" applyFill="1" applyAlignment="1">
      <alignment horizontal="center" vertical="center"/>
    </xf>
    <xf numFmtId="0" fontId="2" fillId="5" borderId="0" xfId="0" applyFont="1" applyFill="1"/>
    <xf numFmtId="0" fontId="0" fillId="11" borderId="0" xfId="0" applyFill="1"/>
    <xf numFmtId="0" fontId="2" fillId="5" borderId="0" xfId="0" applyFont="1" applyFill="1" applyAlignment="1">
      <alignment horizontal="center"/>
    </xf>
    <xf numFmtId="2" fontId="4" fillId="0" borderId="0" xfId="0" applyNumberFormat="1" applyFont="1"/>
    <xf numFmtId="1" fontId="0" fillId="4" borderId="0" xfId="0" applyNumberFormat="1" applyFill="1"/>
    <xf numFmtId="0" fontId="0" fillId="8" borderId="0" xfId="0" applyFill="1"/>
    <xf numFmtId="0" fontId="0" fillId="8" borderId="0" xfId="0" applyFill="1" applyAlignment="1">
      <alignment horizontal="center"/>
    </xf>
    <xf numFmtId="164" fontId="0" fillId="2" borderId="10" xfId="0" applyNumberFormat="1" applyFill="1" applyBorder="1"/>
    <xf numFmtId="1" fontId="0" fillId="2" borderId="21" xfId="0" applyNumberFormat="1" applyFill="1" applyBorder="1"/>
    <xf numFmtId="164" fontId="0" fillId="2" borderId="22" xfId="0" applyNumberFormat="1" applyFill="1" applyBorder="1"/>
    <xf numFmtId="1" fontId="0" fillId="2" borderId="5" xfId="0" applyNumberFormat="1" applyFill="1" applyBorder="1"/>
    <xf numFmtId="164" fontId="0" fillId="2" borderId="12" xfId="0" applyNumberFormat="1" applyFill="1" applyBorder="1"/>
    <xf numFmtId="1" fontId="0" fillId="2" borderId="6" xfId="0" applyNumberFormat="1" applyFill="1" applyBorder="1"/>
    <xf numFmtId="164" fontId="0" fillId="2" borderId="11" xfId="0" applyNumberFormat="1" applyFill="1" applyBorder="1"/>
    <xf numFmtId="1" fontId="0" fillId="2" borderId="23" xfId="0" applyNumberFormat="1" applyFill="1" applyBorder="1"/>
    <xf numFmtId="164" fontId="0" fillId="2" borderId="24" xfId="0" applyNumberFormat="1" applyFill="1" applyBorder="1"/>
    <xf numFmtId="1" fontId="0" fillId="2" borderId="7" xfId="0" applyNumberFormat="1" applyFill="1" applyBorder="1"/>
    <xf numFmtId="166" fontId="0" fillId="0" borderId="0" xfId="0" applyNumberFormat="1"/>
    <xf numFmtId="0" fontId="2" fillId="0" borderId="0" xfId="0" applyFont="1" applyAlignment="1">
      <alignment horizontal="right"/>
    </xf>
    <xf numFmtId="164" fontId="2" fillId="0" borderId="0" xfId="0" applyNumberFormat="1" applyFont="1"/>
    <xf numFmtId="168" fontId="0" fillId="5" borderId="0" xfId="0" applyNumberFormat="1" applyFill="1"/>
    <xf numFmtId="2" fontId="2" fillId="2" borderId="3" xfId="0" applyNumberFormat="1" applyFont="1" applyFill="1" applyBorder="1"/>
    <xf numFmtId="0" fontId="2" fillId="4" borderId="11" xfId="1" applyFont="1" applyFill="1" applyBorder="1" applyAlignment="1">
      <alignment horizontal="right"/>
    </xf>
    <xf numFmtId="164" fontId="2" fillId="4" borderId="7" xfId="1" applyNumberFormat="1" applyFont="1" applyFill="1" applyBorder="1" applyAlignment="1">
      <alignment horizontal="right"/>
    </xf>
    <xf numFmtId="166" fontId="0" fillId="4" borderId="18" xfId="0" applyNumberFormat="1" applyFill="1" applyBorder="1"/>
    <xf numFmtId="166" fontId="0" fillId="4" borderId="19" xfId="0" applyNumberFormat="1" applyFill="1" applyBorder="1"/>
    <xf numFmtId="166" fontId="0" fillId="4" borderId="20" xfId="0" applyNumberFormat="1" applyFill="1" applyBorder="1"/>
    <xf numFmtId="0" fontId="11" fillId="0" borderId="0" xfId="1" applyFont="1"/>
    <xf numFmtId="0" fontId="5" fillId="0" borderId="0" xfId="1"/>
    <xf numFmtId="0" fontId="2" fillId="8" borderId="4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Causal!$B$1</c:f>
              <c:strCache>
                <c:ptCount val="1"/>
                <c:pt idx="0">
                  <c:v>Annual Demand of Bricks 
(million kg)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Causal!$A$2:$A$13</c:f>
              <c:numCache>
                <c:formatCode>0</c:formatCode>
                <c:ptCount val="12"/>
                <c:pt idx="0">
                  <c:v>14</c:v>
                </c:pt>
                <c:pt idx="1">
                  <c:v>21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44</c:v>
                </c:pt>
                <c:pt idx="6">
                  <c:v>50</c:v>
                </c:pt>
                <c:pt idx="7">
                  <c:v>76</c:v>
                </c:pt>
                <c:pt idx="8">
                  <c:v>85</c:v>
                </c:pt>
                <c:pt idx="9">
                  <c:v>88</c:v>
                </c:pt>
                <c:pt idx="10">
                  <c:v>110</c:v>
                </c:pt>
                <c:pt idx="11">
                  <c:v>100</c:v>
                </c:pt>
              </c:numCache>
            </c:numRef>
          </c:xVal>
          <c:yVal>
            <c:numRef>
              <c:f>Causal!$B$2:$B$13</c:f>
              <c:numCache>
                <c:formatCode>0</c:formatCode>
                <c:ptCount val="12"/>
                <c:pt idx="0">
                  <c:v>210</c:v>
                </c:pt>
                <c:pt idx="1">
                  <c:v>120</c:v>
                </c:pt>
                <c:pt idx="2">
                  <c:v>50</c:v>
                </c:pt>
                <c:pt idx="3">
                  <c:v>190</c:v>
                </c:pt>
                <c:pt idx="4">
                  <c:v>200</c:v>
                </c:pt>
                <c:pt idx="5">
                  <c:v>180</c:v>
                </c:pt>
                <c:pt idx="6">
                  <c:v>200</c:v>
                </c:pt>
                <c:pt idx="7">
                  <c:v>240</c:v>
                </c:pt>
                <c:pt idx="8">
                  <c:v>410</c:v>
                </c:pt>
                <c:pt idx="9">
                  <c:v>400</c:v>
                </c:pt>
                <c:pt idx="10">
                  <c:v>500</c:v>
                </c:pt>
                <c:pt idx="11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36-4C56-B9DD-47A9AEDA2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334864"/>
        <c:axId val="689229752"/>
      </c:scatterChart>
      <c:valAx>
        <c:axId val="6243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Causal!$A$1</c:f>
              <c:strCache>
                <c:ptCount val="1"/>
                <c:pt idx="0">
                  <c:v>Population (thousands)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29752"/>
        <c:crosses val="autoZero"/>
        <c:crossBetween val="midCat"/>
      </c:valAx>
      <c:valAx>
        <c:axId val="68922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Causal!$B$1</c:f>
              <c:strCache>
                <c:ptCount val="1"/>
                <c:pt idx="0">
                  <c:v>Annual Demand of Bricks 
(million kg)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3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MovAvg!$C$2</c:f>
          <c:strCache>
            <c:ptCount val="1"/>
            <c:pt idx="0">
              <c:v>Moving Average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MovAvg!$B$2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MovAvg!$A$8:$A$30</c:f>
              <c:numCache>
                <c:formatCode>General</c:formatCode>
                <c:ptCount val="2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</c:numCache>
            </c:numRef>
          </c:cat>
          <c:val>
            <c:numRef>
              <c:f>MovAvg!$B$8:$B$30</c:f>
              <c:numCache>
                <c:formatCode>General</c:formatCode>
                <c:ptCount val="23"/>
                <c:pt idx="0">
                  <c:v>51</c:v>
                </c:pt>
                <c:pt idx="1">
                  <c:v>58</c:v>
                </c:pt>
                <c:pt idx="2">
                  <c:v>52</c:v>
                </c:pt>
                <c:pt idx="3">
                  <c:v>62</c:v>
                </c:pt>
                <c:pt idx="4">
                  <c:v>63</c:v>
                </c:pt>
                <c:pt idx="5">
                  <c:v>59</c:v>
                </c:pt>
                <c:pt idx="6">
                  <c:v>55</c:v>
                </c:pt>
                <c:pt idx="7">
                  <c:v>53</c:v>
                </c:pt>
                <c:pt idx="8">
                  <c:v>48</c:v>
                </c:pt>
                <c:pt idx="9">
                  <c:v>60</c:v>
                </c:pt>
                <c:pt idx="10">
                  <c:v>65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60</c:v>
                </c:pt>
                <c:pt idx="15">
                  <c:v>66</c:v>
                </c:pt>
                <c:pt idx="16">
                  <c:v>65</c:v>
                </c:pt>
                <c:pt idx="17">
                  <c:v>52</c:v>
                </c:pt>
                <c:pt idx="18">
                  <c:v>58</c:v>
                </c:pt>
                <c:pt idx="19">
                  <c:v>71</c:v>
                </c:pt>
                <c:pt idx="20">
                  <c:v>74</c:v>
                </c:pt>
                <c:pt idx="21">
                  <c:v>79</c:v>
                </c:pt>
                <c:pt idx="22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C-4852-A69B-74B8EF995C3F}"/>
            </c:ext>
          </c:extLst>
        </c:ser>
        <c:ser>
          <c:idx val="1"/>
          <c:order val="1"/>
          <c:tx>
            <c:strRef>
              <c:f>MovAvg!$C$2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MovAvg!$A$8:$A$30</c:f>
              <c:numCache>
                <c:formatCode>General</c:formatCode>
                <c:ptCount val="2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</c:numCache>
            </c:numRef>
          </c:cat>
          <c:val>
            <c:numRef>
              <c:f>MovAvg!$C$8:$C$30</c:f>
              <c:numCache>
                <c:formatCode>0.0</c:formatCode>
                <c:ptCount val="23"/>
                <c:pt idx="0">
                  <c:v>53.25</c:v>
                </c:pt>
                <c:pt idx="1">
                  <c:v>54.5</c:v>
                </c:pt>
                <c:pt idx="2">
                  <c:v>55.5</c:v>
                </c:pt>
                <c:pt idx="3">
                  <c:v>53.25</c:v>
                </c:pt>
                <c:pt idx="4">
                  <c:v>55.75</c:v>
                </c:pt>
                <c:pt idx="5">
                  <c:v>58.75</c:v>
                </c:pt>
                <c:pt idx="6">
                  <c:v>59</c:v>
                </c:pt>
                <c:pt idx="7">
                  <c:v>59.75</c:v>
                </c:pt>
                <c:pt idx="8">
                  <c:v>57.5</c:v>
                </c:pt>
                <c:pt idx="9">
                  <c:v>53.75</c:v>
                </c:pt>
                <c:pt idx="10">
                  <c:v>54</c:v>
                </c:pt>
                <c:pt idx="11">
                  <c:v>56.5</c:v>
                </c:pt>
                <c:pt idx="12">
                  <c:v>55.5</c:v>
                </c:pt>
                <c:pt idx="13">
                  <c:v>56</c:v>
                </c:pt>
                <c:pt idx="14">
                  <c:v>53.75</c:v>
                </c:pt>
                <c:pt idx="15">
                  <c:v>52.5</c:v>
                </c:pt>
                <c:pt idx="16">
                  <c:v>56.75</c:v>
                </c:pt>
                <c:pt idx="17">
                  <c:v>60.5</c:v>
                </c:pt>
                <c:pt idx="18">
                  <c:v>60.75</c:v>
                </c:pt>
                <c:pt idx="19">
                  <c:v>60.25</c:v>
                </c:pt>
                <c:pt idx="20">
                  <c:v>61.5</c:v>
                </c:pt>
                <c:pt idx="21">
                  <c:v>63.75</c:v>
                </c:pt>
                <c:pt idx="22">
                  <c:v>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C-4852-A69B-74B8EF995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55512"/>
        <c:axId val="210055904"/>
      </c:lineChart>
      <c:catAx>
        <c:axId val="210055512"/>
        <c:scaling>
          <c:orientation val="minMax"/>
        </c:scaling>
        <c:delete val="0"/>
        <c:axPos val="b"/>
        <c:title>
          <c:tx>
            <c:strRef>
              <c:f>MovAvg!$A$3</c:f>
              <c:strCache>
                <c:ptCount val="1"/>
                <c:pt idx="0">
                  <c:v>Period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5904"/>
        <c:crosses val="autoZero"/>
        <c:auto val="1"/>
        <c:lblAlgn val="ctr"/>
        <c:lblOffset val="100"/>
        <c:noMultiLvlLbl val="0"/>
      </c:catAx>
      <c:valAx>
        <c:axId val="2100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5512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'S.Exp.Alpha'!$B$5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cat>
            <c:numRef>
              <c:f>'S.Exp.Alpha'!$A$11:$A$34</c:f>
              <c:numCache>
                <c:formatCode>General</c:formatCode>
                <c:ptCount val="2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</c:numCache>
            </c:numRef>
          </c:cat>
          <c:val>
            <c:numRef>
              <c:f>'S.Exp.Alpha'!$B$11:$B$34</c:f>
              <c:numCache>
                <c:formatCode>General</c:formatCode>
                <c:ptCount val="24"/>
                <c:pt idx="0">
                  <c:v>51</c:v>
                </c:pt>
                <c:pt idx="1">
                  <c:v>58</c:v>
                </c:pt>
                <c:pt idx="2">
                  <c:v>52</c:v>
                </c:pt>
                <c:pt idx="3">
                  <c:v>62</c:v>
                </c:pt>
                <c:pt idx="4">
                  <c:v>63</c:v>
                </c:pt>
                <c:pt idx="5">
                  <c:v>59</c:v>
                </c:pt>
                <c:pt idx="6">
                  <c:v>55</c:v>
                </c:pt>
                <c:pt idx="7">
                  <c:v>53</c:v>
                </c:pt>
                <c:pt idx="8">
                  <c:v>48</c:v>
                </c:pt>
                <c:pt idx="9">
                  <c:v>60</c:v>
                </c:pt>
                <c:pt idx="10">
                  <c:v>65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60</c:v>
                </c:pt>
                <c:pt idx="15">
                  <c:v>66</c:v>
                </c:pt>
                <c:pt idx="16">
                  <c:v>65</c:v>
                </c:pt>
                <c:pt idx="17">
                  <c:v>52</c:v>
                </c:pt>
                <c:pt idx="18">
                  <c:v>58</c:v>
                </c:pt>
                <c:pt idx="19">
                  <c:v>71</c:v>
                </c:pt>
                <c:pt idx="20">
                  <c:v>74</c:v>
                </c:pt>
                <c:pt idx="21">
                  <c:v>79</c:v>
                </c:pt>
                <c:pt idx="22">
                  <c:v>73</c:v>
                </c:pt>
                <c:pt idx="23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0-4F2B-940E-0DFF111FA570}"/>
            </c:ext>
          </c:extLst>
        </c:ser>
        <c:ser>
          <c:idx val="1"/>
          <c:order val="1"/>
          <c:tx>
            <c:strRef>
              <c:f>'S.Exp.Alpha'!$C$5</c:f>
              <c:strCache>
                <c:ptCount val="1"/>
                <c:pt idx="0">
                  <c:v>S.Exp|α=0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>
                    <a:lumMod val="50000"/>
                    <a:lumOff val="50000"/>
                    <a:alpha val="98000"/>
                  </a:schemeClr>
                </a:solidFill>
              </a:ln>
              <a:effectLst/>
            </c:spPr>
          </c:marker>
          <c:cat>
            <c:numRef>
              <c:f>'S.Exp.Alpha'!$A$11:$A$34</c:f>
              <c:numCache>
                <c:formatCode>General</c:formatCode>
                <c:ptCount val="2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</c:numCache>
            </c:numRef>
          </c:cat>
          <c:val>
            <c:numRef>
              <c:f>'S.Exp.Alpha'!$C$11:$C$34</c:f>
              <c:numCache>
                <c:formatCode>0.0</c:formatCode>
                <c:ptCount val="24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0-4F2B-940E-0DFF111FA570}"/>
            </c:ext>
          </c:extLst>
        </c:ser>
        <c:ser>
          <c:idx val="2"/>
          <c:order val="2"/>
          <c:tx>
            <c:strRef>
              <c:f>'S.Exp.Alpha'!$E$5</c:f>
              <c:strCache>
                <c:ptCount val="1"/>
                <c:pt idx="0">
                  <c:v>S.Exp|α=0.2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  <a:effectLst/>
            </c:spPr>
          </c:marker>
          <c:cat>
            <c:numRef>
              <c:f>'S.Exp.Alpha'!$A$11:$A$34</c:f>
              <c:numCache>
                <c:formatCode>General</c:formatCode>
                <c:ptCount val="2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</c:numCache>
            </c:numRef>
          </c:cat>
          <c:val>
            <c:numRef>
              <c:f>'S.Exp.Alpha'!$E$11:$E$34</c:f>
              <c:numCache>
                <c:formatCode>0.0</c:formatCode>
                <c:ptCount val="24"/>
                <c:pt idx="0">
                  <c:v>50.624000000000009</c:v>
                </c:pt>
                <c:pt idx="1">
                  <c:v>50.699200000000012</c:v>
                </c:pt>
                <c:pt idx="2">
                  <c:v>52.159360000000014</c:v>
                </c:pt>
                <c:pt idx="3">
                  <c:v>52.127488000000014</c:v>
                </c:pt>
                <c:pt idx="4">
                  <c:v>54.101990400000012</c:v>
                </c:pt>
                <c:pt idx="5">
                  <c:v>55.881592320000017</c:v>
                </c:pt>
                <c:pt idx="6">
                  <c:v>56.505273856000017</c:v>
                </c:pt>
                <c:pt idx="7">
                  <c:v>56.204219084800016</c:v>
                </c:pt>
                <c:pt idx="8">
                  <c:v>55.563375267840016</c:v>
                </c:pt>
                <c:pt idx="9">
                  <c:v>54.05070021427202</c:v>
                </c:pt>
                <c:pt idx="10">
                  <c:v>55.24056017141762</c:v>
                </c:pt>
                <c:pt idx="11">
                  <c:v>57.1924481371341</c:v>
                </c:pt>
                <c:pt idx="12">
                  <c:v>55.553958509707286</c:v>
                </c:pt>
                <c:pt idx="13">
                  <c:v>54.443166807765834</c:v>
                </c:pt>
                <c:pt idx="14">
                  <c:v>53.754533446212676</c:v>
                </c:pt>
                <c:pt idx="15">
                  <c:v>55.003626756970142</c:v>
                </c:pt>
                <c:pt idx="16">
                  <c:v>57.202901405576121</c:v>
                </c:pt>
                <c:pt idx="17">
                  <c:v>58.762321124460897</c:v>
                </c:pt>
                <c:pt idx="18">
                  <c:v>57.409856899568716</c:v>
                </c:pt>
                <c:pt idx="19">
                  <c:v>57.52788551965498</c:v>
                </c:pt>
                <c:pt idx="20">
                  <c:v>60.222308415723987</c:v>
                </c:pt>
                <c:pt idx="21">
                  <c:v>62.977846732579195</c:v>
                </c:pt>
                <c:pt idx="22">
                  <c:v>66.182277386063362</c:v>
                </c:pt>
                <c:pt idx="23">
                  <c:v>67.545821908850684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B50-4F2B-940E-0DFF111FA570}"/>
            </c:ext>
          </c:extLst>
        </c:ser>
        <c:ser>
          <c:idx val="3"/>
          <c:order val="3"/>
          <c:tx>
            <c:strRef>
              <c:f>'S.Exp.Alpha'!$G$5</c:f>
              <c:strCache>
                <c:ptCount val="1"/>
                <c:pt idx="0">
                  <c:v>S.Exp|α=0.4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'S.Exp.Alpha'!$A$11:$A$34</c:f>
              <c:numCache>
                <c:formatCode>General</c:formatCode>
                <c:ptCount val="2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</c:numCache>
            </c:numRef>
          </c:cat>
          <c:val>
            <c:numRef>
              <c:f>'S.Exp.Alpha'!$G$11:$G$32</c:f>
              <c:numCache>
                <c:formatCode>0.0</c:formatCode>
                <c:ptCount val="22"/>
                <c:pt idx="0">
                  <c:v>53.152000000000001</c:v>
                </c:pt>
                <c:pt idx="1">
                  <c:v>52.291200000000003</c:v>
                </c:pt>
                <c:pt idx="2">
                  <c:v>54.574719999999999</c:v>
                </c:pt>
                <c:pt idx="3">
                  <c:v>53.544832</c:v>
                </c:pt>
                <c:pt idx="4">
                  <c:v>56.926899199999994</c:v>
                </c:pt>
                <c:pt idx="5">
                  <c:v>59.356139519999999</c:v>
                </c:pt>
                <c:pt idx="6">
                  <c:v>59.213683711999998</c:v>
                </c:pt>
                <c:pt idx="7">
                  <c:v>57.528210227199999</c:v>
                </c:pt>
                <c:pt idx="8">
                  <c:v>55.716926136319998</c:v>
                </c:pt>
                <c:pt idx="9">
                  <c:v>52.630155681791997</c:v>
                </c:pt>
                <c:pt idx="10">
                  <c:v>55.578093409075194</c:v>
                </c:pt>
                <c:pt idx="11">
                  <c:v>59.346856045445115</c:v>
                </c:pt>
                <c:pt idx="12">
                  <c:v>55.208113627267068</c:v>
                </c:pt>
                <c:pt idx="13">
                  <c:v>53.124868176360238</c:v>
                </c:pt>
                <c:pt idx="14">
                  <c:v>52.274920905816145</c:v>
                </c:pt>
                <c:pt idx="15">
                  <c:v>55.364952543489686</c:v>
                </c:pt>
                <c:pt idx="16">
                  <c:v>59.618971526093816</c:v>
                </c:pt>
                <c:pt idx="17">
                  <c:v>61.771382915656289</c:v>
                </c:pt>
                <c:pt idx="18">
                  <c:v>57.862829749393768</c:v>
                </c:pt>
                <c:pt idx="19">
                  <c:v>57.917697849636262</c:v>
                </c:pt>
                <c:pt idx="20">
                  <c:v>63.150618709781753</c:v>
                </c:pt>
                <c:pt idx="21">
                  <c:v>67.490371225869055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B50-4F2B-940E-0DFF111FA570}"/>
            </c:ext>
          </c:extLst>
        </c:ser>
        <c:ser>
          <c:idx val="4"/>
          <c:order val="4"/>
          <c:tx>
            <c:strRef>
              <c:f>'S.Exp.Alpha'!$I$5</c:f>
              <c:strCache>
                <c:ptCount val="1"/>
                <c:pt idx="0">
                  <c:v>S.Exp|α=0.6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'S.Exp.Alpha'!$A$11:$A$34</c:f>
              <c:numCache>
                <c:formatCode>General</c:formatCode>
                <c:ptCount val="2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</c:numCache>
            </c:numRef>
          </c:cat>
          <c:val>
            <c:numRef>
              <c:f>'S.Exp.Alpha'!$I$11:$I$34</c:f>
              <c:numCache>
                <c:formatCode>0.0</c:formatCode>
                <c:ptCount val="24"/>
                <c:pt idx="0">
                  <c:v>53.968000000000004</c:v>
                </c:pt>
                <c:pt idx="1">
                  <c:v>52.187200000000004</c:v>
                </c:pt>
                <c:pt idx="2">
                  <c:v>55.674880000000002</c:v>
                </c:pt>
                <c:pt idx="3">
                  <c:v>53.469952000000006</c:v>
                </c:pt>
                <c:pt idx="4">
                  <c:v>58.587980799999997</c:v>
                </c:pt>
                <c:pt idx="5">
                  <c:v>61.235192319999996</c:v>
                </c:pt>
                <c:pt idx="6">
                  <c:v>59.894076927999997</c:v>
                </c:pt>
                <c:pt idx="7">
                  <c:v>56.957630771200002</c:v>
                </c:pt>
                <c:pt idx="8">
                  <c:v>54.583052308479999</c:v>
                </c:pt>
                <c:pt idx="9">
                  <c:v>50.633220923392003</c:v>
                </c:pt>
                <c:pt idx="10">
                  <c:v>56.253288369356802</c:v>
                </c:pt>
                <c:pt idx="11">
                  <c:v>61.501315347742718</c:v>
                </c:pt>
                <c:pt idx="12">
                  <c:v>54.00052613909709</c:v>
                </c:pt>
                <c:pt idx="13">
                  <c:v>51.600210455638837</c:v>
                </c:pt>
                <c:pt idx="14">
                  <c:v>51.240084182255529</c:v>
                </c:pt>
                <c:pt idx="15">
                  <c:v>56.496033672902215</c:v>
                </c:pt>
                <c:pt idx="16">
                  <c:v>62.19841346916089</c:v>
                </c:pt>
                <c:pt idx="17">
                  <c:v>63.879365387664357</c:v>
                </c:pt>
                <c:pt idx="18">
                  <c:v>56.751746155065746</c:v>
                </c:pt>
                <c:pt idx="19">
                  <c:v>57.500698462026293</c:v>
                </c:pt>
                <c:pt idx="20">
                  <c:v>65.60027938481052</c:v>
                </c:pt>
                <c:pt idx="21">
                  <c:v>70.640111753924202</c:v>
                </c:pt>
                <c:pt idx="22">
                  <c:v>75.656044701569684</c:v>
                </c:pt>
                <c:pt idx="23">
                  <c:v>74.062417880627876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B50-4F2B-940E-0DFF111FA570}"/>
            </c:ext>
          </c:extLst>
        </c:ser>
        <c:ser>
          <c:idx val="5"/>
          <c:order val="5"/>
          <c:tx>
            <c:strRef>
              <c:f>'S.Exp.Alpha'!$K$5</c:f>
              <c:strCache>
                <c:ptCount val="1"/>
                <c:pt idx="0">
                  <c:v>S.Exp|α=0.8</c:v>
                </c:pt>
              </c:strCache>
            </c:strRef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prstDash val="lgDashDot"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numRef>
              <c:f>'S.Exp.Alpha'!$A$11:$A$34</c:f>
              <c:numCache>
                <c:formatCode>General</c:formatCode>
                <c:ptCount val="2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</c:numCache>
            </c:numRef>
          </c:cat>
          <c:val>
            <c:numRef>
              <c:f>'S.Exp.Alpha'!$K$11:$K$34</c:f>
              <c:numCache>
                <c:formatCode>0.0</c:formatCode>
                <c:ptCount val="24"/>
                <c:pt idx="0">
                  <c:v>53.456000000000003</c:v>
                </c:pt>
                <c:pt idx="1">
                  <c:v>51.491200000000006</c:v>
                </c:pt>
                <c:pt idx="2">
                  <c:v>56.698240000000006</c:v>
                </c:pt>
                <c:pt idx="3">
                  <c:v>52.939647999999998</c:v>
                </c:pt>
                <c:pt idx="4">
                  <c:v>60.187929599999997</c:v>
                </c:pt>
                <c:pt idx="5">
                  <c:v>62.437585920000004</c:v>
                </c:pt>
                <c:pt idx="6">
                  <c:v>59.687517184000001</c:v>
                </c:pt>
                <c:pt idx="7">
                  <c:v>55.9375034368</c:v>
                </c:pt>
                <c:pt idx="8">
                  <c:v>53.587500687360006</c:v>
                </c:pt>
                <c:pt idx="9">
                  <c:v>49.117500137472007</c:v>
                </c:pt>
                <c:pt idx="10">
                  <c:v>57.823500027494397</c:v>
                </c:pt>
                <c:pt idx="11">
                  <c:v>63.564700005498878</c:v>
                </c:pt>
                <c:pt idx="12">
                  <c:v>51.912940001099777</c:v>
                </c:pt>
                <c:pt idx="13">
                  <c:v>50.382588000219954</c:v>
                </c:pt>
                <c:pt idx="14">
                  <c:v>50.876517600043996</c:v>
                </c:pt>
                <c:pt idx="15">
                  <c:v>58.175303520008796</c:v>
                </c:pt>
                <c:pt idx="16">
                  <c:v>64.435060704001756</c:v>
                </c:pt>
                <c:pt idx="17">
                  <c:v>64.887012140800351</c:v>
                </c:pt>
                <c:pt idx="18">
                  <c:v>54.57740242816007</c:v>
                </c:pt>
                <c:pt idx="19">
                  <c:v>57.315480485632015</c:v>
                </c:pt>
                <c:pt idx="20">
                  <c:v>68.263096097126407</c:v>
                </c:pt>
                <c:pt idx="21">
                  <c:v>72.852619219425279</c:v>
                </c:pt>
                <c:pt idx="22">
                  <c:v>77.770523843885059</c:v>
                </c:pt>
                <c:pt idx="23">
                  <c:v>73.954104768777015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B50-4F2B-940E-0DFF111FA570}"/>
            </c:ext>
          </c:extLst>
        </c:ser>
        <c:ser>
          <c:idx val="6"/>
          <c:order val="6"/>
          <c:tx>
            <c:strRef>
              <c:f>'S.Exp.Alpha'!$M$5</c:f>
              <c:strCache>
                <c:ptCount val="1"/>
                <c:pt idx="0">
                  <c:v>S.Exp|α=1</c:v>
                </c:pt>
              </c:strCache>
            </c:strRef>
          </c:tx>
          <c:spPr>
            <a:ln w="254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cat>
            <c:numRef>
              <c:f>'S.Exp.Alpha'!$A$11:$A$34</c:f>
              <c:numCache>
                <c:formatCode>General</c:formatCode>
                <c:ptCount val="2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</c:numCache>
            </c:numRef>
          </c:cat>
          <c:val>
            <c:numRef>
              <c:f>'S.Exp.Alpha'!$M$11:$M$34</c:f>
              <c:numCache>
                <c:formatCode>0.0</c:formatCode>
                <c:ptCount val="24"/>
                <c:pt idx="0">
                  <c:v>52</c:v>
                </c:pt>
                <c:pt idx="1">
                  <c:v>51</c:v>
                </c:pt>
                <c:pt idx="2">
                  <c:v>58</c:v>
                </c:pt>
                <c:pt idx="3">
                  <c:v>52</c:v>
                </c:pt>
                <c:pt idx="4">
                  <c:v>62</c:v>
                </c:pt>
                <c:pt idx="5">
                  <c:v>63</c:v>
                </c:pt>
                <c:pt idx="6">
                  <c:v>59</c:v>
                </c:pt>
                <c:pt idx="7">
                  <c:v>55</c:v>
                </c:pt>
                <c:pt idx="8">
                  <c:v>53</c:v>
                </c:pt>
                <c:pt idx="9">
                  <c:v>48</c:v>
                </c:pt>
                <c:pt idx="10">
                  <c:v>60</c:v>
                </c:pt>
                <c:pt idx="11">
                  <c:v>65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60</c:v>
                </c:pt>
                <c:pt idx="16">
                  <c:v>66</c:v>
                </c:pt>
                <c:pt idx="17">
                  <c:v>65</c:v>
                </c:pt>
                <c:pt idx="18">
                  <c:v>52</c:v>
                </c:pt>
                <c:pt idx="19">
                  <c:v>58</c:v>
                </c:pt>
                <c:pt idx="20">
                  <c:v>71</c:v>
                </c:pt>
                <c:pt idx="21">
                  <c:v>74</c:v>
                </c:pt>
                <c:pt idx="22">
                  <c:v>79</c:v>
                </c:pt>
                <c:pt idx="23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B50-4F2B-940E-0DFF111FA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55120"/>
        <c:axId val="210056688"/>
      </c:lineChart>
      <c:catAx>
        <c:axId val="210055120"/>
        <c:scaling>
          <c:orientation val="minMax"/>
        </c:scaling>
        <c:delete val="0"/>
        <c:axPos val="b"/>
        <c:title>
          <c:tx>
            <c:strRef>
              <c:f>'S.Exp.Alpha'!$A$6</c:f>
              <c:strCache>
                <c:ptCount val="1"/>
                <c:pt idx="0">
                  <c:v>Period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6688"/>
        <c:crosses val="autoZero"/>
        <c:auto val="1"/>
        <c:lblAlgn val="ctr"/>
        <c:lblOffset val="100"/>
        <c:noMultiLvlLbl val="0"/>
      </c:catAx>
      <c:valAx>
        <c:axId val="21005668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5120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'S.Exp.Smooth'!$C$2</c:f>
          <c:strCache>
            <c:ptCount val="1"/>
            <c:pt idx="0">
              <c:v>S.Exp.Smoothing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'S.Exp.Smooth'!$B$2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'S.Exp.Smooth'!$A$8:$A$30</c:f>
              <c:numCache>
                <c:formatCode>General</c:formatCode>
                <c:ptCount val="2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</c:numCache>
            </c:numRef>
          </c:cat>
          <c:val>
            <c:numRef>
              <c:f>'S.Exp.Smooth'!$B$8:$B$30</c:f>
              <c:numCache>
                <c:formatCode>General</c:formatCode>
                <c:ptCount val="23"/>
                <c:pt idx="0">
                  <c:v>51</c:v>
                </c:pt>
                <c:pt idx="1">
                  <c:v>58</c:v>
                </c:pt>
                <c:pt idx="2">
                  <c:v>52</c:v>
                </c:pt>
                <c:pt idx="3">
                  <c:v>62</c:v>
                </c:pt>
                <c:pt idx="4">
                  <c:v>63</c:v>
                </c:pt>
                <c:pt idx="5">
                  <c:v>59</c:v>
                </c:pt>
                <c:pt idx="6">
                  <c:v>55</c:v>
                </c:pt>
                <c:pt idx="7">
                  <c:v>53</c:v>
                </c:pt>
                <c:pt idx="8">
                  <c:v>48</c:v>
                </c:pt>
                <c:pt idx="9">
                  <c:v>60</c:v>
                </c:pt>
                <c:pt idx="10">
                  <c:v>65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60</c:v>
                </c:pt>
                <c:pt idx="15">
                  <c:v>66</c:v>
                </c:pt>
                <c:pt idx="16">
                  <c:v>65</c:v>
                </c:pt>
                <c:pt idx="17">
                  <c:v>52</c:v>
                </c:pt>
                <c:pt idx="18">
                  <c:v>58</c:v>
                </c:pt>
                <c:pt idx="19">
                  <c:v>71</c:v>
                </c:pt>
                <c:pt idx="20">
                  <c:v>74</c:v>
                </c:pt>
                <c:pt idx="21">
                  <c:v>79</c:v>
                </c:pt>
                <c:pt idx="22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A-4EA1-99FC-A83272A54BCF}"/>
            </c:ext>
          </c:extLst>
        </c:ser>
        <c:ser>
          <c:idx val="1"/>
          <c:order val="1"/>
          <c:tx>
            <c:strRef>
              <c:f>'S.Exp.Smooth'!$C$2</c:f>
              <c:strCache>
                <c:ptCount val="1"/>
                <c:pt idx="0">
                  <c:v>S.Exp.Smoothing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'S.Exp.Smooth'!$A$8:$A$30</c:f>
              <c:numCache>
                <c:formatCode>General</c:formatCode>
                <c:ptCount val="2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</c:numCache>
            </c:numRef>
          </c:cat>
          <c:val>
            <c:numRef>
              <c:f>'S.Exp.Smooth'!$C$8:$C$30</c:f>
              <c:numCache>
                <c:formatCode>0.0</c:formatCode>
                <c:ptCount val="23"/>
                <c:pt idx="0">
                  <c:v>53.925494945633233</c:v>
                </c:pt>
                <c:pt idx="1">
                  <c:v>52.283666487979062</c:v>
                </c:pt>
                <c:pt idx="2">
                  <c:v>55.491752370160171</c:v>
                </c:pt>
                <c:pt idx="3">
                  <c:v>53.532132369118102</c:v>
                </c:pt>
                <c:pt idx="4">
                  <c:v>58.284417473142156</c:v>
                </c:pt>
                <c:pt idx="5">
                  <c:v>60.930867981822196</c:v>
                </c:pt>
                <c:pt idx="6">
                  <c:v>59.847238011700071</c:v>
                </c:pt>
                <c:pt idx="7">
                  <c:v>57.126900613574918</c:v>
                </c:pt>
                <c:pt idx="8">
                  <c:v>54.810826583301335</c:v>
                </c:pt>
                <c:pt idx="9">
                  <c:v>50.988495964920716</c:v>
                </c:pt>
                <c:pt idx="10">
                  <c:v>56.045877381061231</c:v>
                </c:pt>
                <c:pt idx="11">
                  <c:v>61.071055548277798</c:v>
                </c:pt>
                <c:pt idx="12">
                  <c:v>54.296611264014331</c:v>
                </c:pt>
                <c:pt idx="13">
                  <c:v>51.885293256008254</c:v>
                </c:pt>
                <c:pt idx="14">
                  <c:v>51.388454366146817</c:v>
                </c:pt>
                <c:pt idx="15">
                  <c:v>56.221373564025413</c:v>
                </c:pt>
                <c:pt idx="16">
                  <c:v>61.70927474235998</c:v>
                </c:pt>
                <c:pt idx="17">
                  <c:v>63.556075531532173</c:v>
                </c:pt>
                <c:pt idx="18">
                  <c:v>57.070645196131693</c:v>
                </c:pt>
                <c:pt idx="19">
                  <c:v>57.592212039556301</c:v>
                </c:pt>
                <c:pt idx="20">
                  <c:v>65.116849147717346</c:v>
                </c:pt>
                <c:pt idx="21">
                  <c:v>70.102196972256365</c:v>
                </c:pt>
                <c:pt idx="22">
                  <c:v>75.095767801478502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1A-4EA1-99FC-A83272A54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55120"/>
        <c:axId val="210056688"/>
      </c:lineChart>
      <c:catAx>
        <c:axId val="210055120"/>
        <c:scaling>
          <c:orientation val="minMax"/>
        </c:scaling>
        <c:delete val="0"/>
        <c:axPos val="b"/>
        <c:title>
          <c:tx>
            <c:strRef>
              <c:f>'S.Exp.Smooth'!$A$3</c:f>
              <c:strCache>
                <c:ptCount val="1"/>
                <c:pt idx="0">
                  <c:v>Period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6688"/>
        <c:crosses val="autoZero"/>
        <c:auto val="1"/>
        <c:lblAlgn val="ctr"/>
        <c:lblOffset val="100"/>
        <c:noMultiLvlLbl val="0"/>
      </c:catAx>
      <c:valAx>
        <c:axId val="2100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5120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Holt!$C$2</c:f>
          <c:strCache>
            <c:ptCount val="1"/>
            <c:pt idx="0">
              <c:v>Holt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Holt!$B$2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Holt!$A$8:$A$30</c:f>
              <c:numCache>
                <c:formatCode>General</c:formatCode>
                <c:ptCount val="2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</c:numCache>
            </c:numRef>
          </c:cat>
          <c:val>
            <c:numRef>
              <c:f>Holt!$B$8:$B$30</c:f>
              <c:numCache>
                <c:formatCode>General</c:formatCode>
                <c:ptCount val="23"/>
                <c:pt idx="0">
                  <c:v>51</c:v>
                </c:pt>
                <c:pt idx="1">
                  <c:v>58</c:v>
                </c:pt>
                <c:pt idx="2">
                  <c:v>52</c:v>
                </c:pt>
                <c:pt idx="3">
                  <c:v>62</c:v>
                </c:pt>
                <c:pt idx="4">
                  <c:v>63</c:v>
                </c:pt>
                <c:pt idx="5">
                  <c:v>59</c:v>
                </c:pt>
                <c:pt idx="6">
                  <c:v>55</c:v>
                </c:pt>
                <c:pt idx="7">
                  <c:v>53</c:v>
                </c:pt>
                <c:pt idx="8">
                  <c:v>48</c:v>
                </c:pt>
                <c:pt idx="9">
                  <c:v>60</c:v>
                </c:pt>
                <c:pt idx="10">
                  <c:v>65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60</c:v>
                </c:pt>
                <c:pt idx="15">
                  <c:v>66</c:v>
                </c:pt>
                <c:pt idx="16">
                  <c:v>65</c:v>
                </c:pt>
                <c:pt idx="17">
                  <c:v>52</c:v>
                </c:pt>
                <c:pt idx="18">
                  <c:v>58</c:v>
                </c:pt>
                <c:pt idx="19">
                  <c:v>71</c:v>
                </c:pt>
                <c:pt idx="20">
                  <c:v>74</c:v>
                </c:pt>
                <c:pt idx="21">
                  <c:v>79</c:v>
                </c:pt>
                <c:pt idx="22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1-4FC2-9821-55BEB51A8CD5}"/>
            </c:ext>
          </c:extLst>
        </c:ser>
        <c:ser>
          <c:idx val="1"/>
          <c:order val="1"/>
          <c:tx>
            <c:strRef>
              <c:f>Holt!$C$2</c:f>
              <c:strCache>
                <c:ptCount val="1"/>
                <c:pt idx="0">
                  <c:v>Holt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Holt!$A$8:$A$30</c:f>
              <c:numCache>
                <c:formatCode>General</c:formatCode>
                <c:ptCount val="2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</c:numCache>
            </c:numRef>
          </c:cat>
          <c:val>
            <c:numRef>
              <c:f>Holt!$C$8:$C$30</c:f>
              <c:numCache>
                <c:formatCode>0.0</c:formatCode>
                <c:ptCount val="23"/>
                <c:pt idx="0">
                  <c:v>53.563839967903007</c:v>
                </c:pt>
                <c:pt idx="1">
                  <c:v>52.768285574738101</c:v>
                </c:pt>
                <c:pt idx="2">
                  <c:v>55.1167553641572</c:v>
                </c:pt>
                <c:pt idx="3">
                  <c:v>54.133647772503657</c:v>
                </c:pt>
                <c:pt idx="4">
                  <c:v>57.587199280213028</c:v>
                </c:pt>
                <c:pt idx="5">
                  <c:v>60.151854542837881</c:v>
                </c:pt>
                <c:pt idx="6">
                  <c:v>60.115308278580549</c:v>
                </c:pt>
                <c:pt idx="7">
                  <c:v>58.445255912721997</c:v>
                </c:pt>
                <c:pt idx="8">
                  <c:v>56.567656915680629</c:v>
                </c:pt>
                <c:pt idx="9">
                  <c:v>53.338489729866637</c:v>
                </c:pt>
                <c:pt idx="10">
                  <c:v>56.20065579852897</c:v>
                </c:pt>
                <c:pt idx="11">
                  <c:v>60.030027913808453</c:v>
                </c:pt>
                <c:pt idx="12">
                  <c:v>55.894491979537833</c:v>
                </c:pt>
                <c:pt idx="13">
                  <c:v>53.696994441433084</c:v>
                </c:pt>
                <c:pt idx="14">
                  <c:v>52.720034811851534</c:v>
                </c:pt>
                <c:pt idx="15">
                  <c:v>55.775211641012135</c:v>
                </c:pt>
                <c:pt idx="16">
                  <c:v>60.13566237660249</c:v>
                </c:pt>
                <c:pt idx="17">
                  <c:v>62.454829540280159</c:v>
                </c:pt>
                <c:pt idx="18">
                  <c:v>58.593145742130098</c:v>
                </c:pt>
                <c:pt idx="19">
                  <c:v>58.605963379706466</c:v>
                </c:pt>
                <c:pt idx="20">
                  <c:v>63.909078983403106</c:v>
                </c:pt>
                <c:pt idx="21">
                  <c:v>68.449226717822597</c:v>
                </c:pt>
                <c:pt idx="22">
                  <c:v>73.320858791904101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1-4FC2-9821-55BEB51A8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227792"/>
        <c:axId val="689230144"/>
      </c:lineChart>
      <c:catAx>
        <c:axId val="689227792"/>
        <c:scaling>
          <c:orientation val="minMax"/>
        </c:scaling>
        <c:delete val="0"/>
        <c:axPos val="b"/>
        <c:title>
          <c:tx>
            <c:strRef>
              <c:f>Holt!$A$3</c:f>
              <c:strCache>
                <c:ptCount val="1"/>
                <c:pt idx="0">
                  <c:v>Period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30144"/>
        <c:crosses val="autoZero"/>
        <c:auto val="1"/>
        <c:lblAlgn val="ctr"/>
        <c:lblOffset val="100"/>
        <c:noMultiLvlLbl val="0"/>
      </c:catAx>
      <c:valAx>
        <c:axId val="6892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27792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'Holt-Winters(s3)'!$C$2</c:f>
          <c:strCache>
            <c:ptCount val="1"/>
            <c:pt idx="0">
              <c:v>Holt-Winters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'Holt-Winters(s3)'!$B$2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'Holt-Winters(s3)'!$A$19:$A$41</c:f>
              <c:numCache>
                <c:formatCode>General</c:formatCode>
                <c:ptCount val="2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</c:numCache>
            </c:numRef>
          </c:cat>
          <c:val>
            <c:numRef>
              <c:f>'Holt-Winters(s3)'!$B$19:$B$41</c:f>
              <c:numCache>
                <c:formatCode>General</c:formatCode>
                <c:ptCount val="23"/>
                <c:pt idx="0">
                  <c:v>51</c:v>
                </c:pt>
                <c:pt idx="1">
                  <c:v>58</c:v>
                </c:pt>
                <c:pt idx="2">
                  <c:v>52</c:v>
                </c:pt>
                <c:pt idx="3">
                  <c:v>62</c:v>
                </c:pt>
                <c:pt idx="4">
                  <c:v>63</c:v>
                </c:pt>
                <c:pt idx="5">
                  <c:v>59</c:v>
                </c:pt>
                <c:pt idx="6">
                  <c:v>55</c:v>
                </c:pt>
                <c:pt idx="7">
                  <c:v>53</c:v>
                </c:pt>
                <c:pt idx="8">
                  <c:v>48</c:v>
                </c:pt>
                <c:pt idx="9">
                  <c:v>60</c:v>
                </c:pt>
                <c:pt idx="10">
                  <c:v>65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60</c:v>
                </c:pt>
                <c:pt idx="15">
                  <c:v>66</c:v>
                </c:pt>
                <c:pt idx="16">
                  <c:v>65</c:v>
                </c:pt>
                <c:pt idx="17">
                  <c:v>52</c:v>
                </c:pt>
                <c:pt idx="18">
                  <c:v>58</c:v>
                </c:pt>
                <c:pt idx="19">
                  <c:v>71</c:v>
                </c:pt>
                <c:pt idx="20">
                  <c:v>74</c:v>
                </c:pt>
                <c:pt idx="21">
                  <c:v>79</c:v>
                </c:pt>
                <c:pt idx="22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4-4EDE-9CCA-5C287D82E3B5}"/>
            </c:ext>
          </c:extLst>
        </c:ser>
        <c:ser>
          <c:idx val="1"/>
          <c:order val="1"/>
          <c:tx>
            <c:strRef>
              <c:f>'Holt-Winters(s3)'!$C$2</c:f>
              <c:strCache>
                <c:ptCount val="1"/>
                <c:pt idx="0">
                  <c:v>Holt-Winters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'Holt-Winters(s3)'!$A$19:$A$41</c:f>
              <c:numCache>
                <c:formatCode>General</c:formatCode>
                <c:ptCount val="2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</c:numCache>
            </c:numRef>
          </c:cat>
          <c:val>
            <c:numRef>
              <c:f>'Holt-Winters(s3)'!$C$19:$C$41</c:f>
              <c:numCache>
                <c:formatCode>0.0</c:formatCode>
                <c:ptCount val="23"/>
                <c:pt idx="0">
                  <c:v>53.26897525694384</c:v>
                </c:pt>
                <c:pt idx="1">
                  <c:v>51.083379729566332</c:v>
                </c:pt>
                <c:pt idx="2">
                  <c:v>56.195053231782289</c:v>
                </c:pt>
                <c:pt idx="3">
                  <c:v>53.418532610003318</c:v>
                </c:pt>
                <c:pt idx="4">
                  <c:v>62.007859167954464</c:v>
                </c:pt>
                <c:pt idx="5">
                  <c:v>60.584064886739192</c:v>
                </c:pt>
                <c:pt idx="6">
                  <c:v>61.397851838273056</c:v>
                </c:pt>
                <c:pt idx="7">
                  <c:v>55.573312932539842</c:v>
                </c:pt>
                <c:pt idx="8">
                  <c:v>51.053497643077151</c:v>
                </c:pt>
                <c:pt idx="9">
                  <c:v>49.747636666381112</c:v>
                </c:pt>
                <c:pt idx="10">
                  <c:v>59.593579353518102</c:v>
                </c:pt>
                <c:pt idx="11">
                  <c:v>61.900700839000507</c:v>
                </c:pt>
                <c:pt idx="12">
                  <c:v>52.52384879709706</c:v>
                </c:pt>
                <c:pt idx="13">
                  <c:v>50.181469608833467</c:v>
                </c:pt>
                <c:pt idx="14">
                  <c:v>47.533171139052364</c:v>
                </c:pt>
                <c:pt idx="15">
                  <c:v>63.026741348219758</c:v>
                </c:pt>
                <c:pt idx="16">
                  <c:v>66.089789245603839</c:v>
                </c:pt>
                <c:pt idx="17">
                  <c:v>61.65806573600112</c:v>
                </c:pt>
                <c:pt idx="18">
                  <c:v>55.608133817413773</c:v>
                </c:pt>
                <c:pt idx="19">
                  <c:v>57.816947674799188</c:v>
                </c:pt>
                <c:pt idx="20">
                  <c:v>65.429736666118444</c:v>
                </c:pt>
                <c:pt idx="21">
                  <c:v>78.673682297840784</c:v>
                </c:pt>
                <c:pt idx="22">
                  <c:v>79.880153057354178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4-4EDE-9CCA-5C287D82E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631464"/>
        <c:axId val="619629112"/>
      </c:lineChart>
      <c:catAx>
        <c:axId val="619631464"/>
        <c:scaling>
          <c:orientation val="minMax"/>
        </c:scaling>
        <c:delete val="0"/>
        <c:axPos val="b"/>
        <c:title>
          <c:tx>
            <c:strRef>
              <c:f>'Holt-Winters(s3)'!$A$3</c:f>
              <c:strCache>
                <c:ptCount val="1"/>
                <c:pt idx="0">
                  <c:v>Period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29112"/>
        <c:crosses val="autoZero"/>
        <c:auto val="1"/>
        <c:lblAlgn val="ctr"/>
        <c:lblOffset val="100"/>
        <c:noMultiLvlLbl val="0"/>
      </c:catAx>
      <c:valAx>
        <c:axId val="61962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3146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'Holt-Winters(s6)'!$C$2</c:f>
          <c:strCache>
            <c:ptCount val="1"/>
            <c:pt idx="0">
              <c:v>Holt-Winters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'Holt-Winters(s6)'!$B$2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'Holt-Winters(s6)'!$A$19:$A$41</c:f>
              <c:numCache>
                <c:formatCode>General</c:formatCode>
                <c:ptCount val="2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</c:numCache>
            </c:numRef>
          </c:cat>
          <c:val>
            <c:numRef>
              <c:f>'Holt-Winters(s6)'!$B$19:$B$41</c:f>
              <c:numCache>
                <c:formatCode>General</c:formatCode>
                <c:ptCount val="23"/>
                <c:pt idx="0">
                  <c:v>51</c:v>
                </c:pt>
                <c:pt idx="1">
                  <c:v>58</c:v>
                </c:pt>
                <c:pt idx="2">
                  <c:v>52</c:v>
                </c:pt>
                <c:pt idx="3">
                  <c:v>62</c:v>
                </c:pt>
                <c:pt idx="4">
                  <c:v>63</c:v>
                </c:pt>
                <c:pt idx="5">
                  <c:v>59</c:v>
                </c:pt>
                <c:pt idx="6">
                  <c:v>55</c:v>
                </c:pt>
                <c:pt idx="7">
                  <c:v>53</c:v>
                </c:pt>
                <c:pt idx="8">
                  <c:v>48</c:v>
                </c:pt>
                <c:pt idx="9">
                  <c:v>60</c:v>
                </c:pt>
                <c:pt idx="10">
                  <c:v>65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60</c:v>
                </c:pt>
                <c:pt idx="15">
                  <c:v>66</c:v>
                </c:pt>
                <c:pt idx="16">
                  <c:v>65</c:v>
                </c:pt>
                <c:pt idx="17">
                  <c:v>52</c:v>
                </c:pt>
                <c:pt idx="18">
                  <c:v>58</c:v>
                </c:pt>
                <c:pt idx="19">
                  <c:v>71</c:v>
                </c:pt>
                <c:pt idx="20">
                  <c:v>74</c:v>
                </c:pt>
                <c:pt idx="21">
                  <c:v>79</c:v>
                </c:pt>
                <c:pt idx="22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0-460E-AF21-23CD3B673649}"/>
            </c:ext>
          </c:extLst>
        </c:ser>
        <c:ser>
          <c:idx val="1"/>
          <c:order val="1"/>
          <c:tx>
            <c:strRef>
              <c:f>'Holt-Winters(s6)'!$C$2</c:f>
              <c:strCache>
                <c:ptCount val="1"/>
                <c:pt idx="0">
                  <c:v>Holt-Winters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'Holt-Winters(s6)'!$A$19:$A$41</c:f>
              <c:numCache>
                <c:formatCode>General</c:formatCode>
                <c:ptCount val="2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</c:numCache>
            </c:numRef>
          </c:cat>
          <c:val>
            <c:numRef>
              <c:f>'Holt-Winters(s6)'!$C$19:$C$41</c:f>
              <c:numCache>
                <c:formatCode>0.0</c:formatCode>
                <c:ptCount val="23"/>
                <c:pt idx="0">
                  <c:v>54.323471466351045</c:v>
                </c:pt>
                <c:pt idx="1">
                  <c:v>52.574432978763639</c:v>
                </c:pt>
                <c:pt idx="2">
                  <c:v>55.958827027107702</c:v>
                </c:pt>
                <c:pt idx="3">
                  <c:v>56.870083982316501</c:v>
                </c:pt>
                <c:pt idx="4">
                  <c:v>60.57485927652462</c:v>
                </c:pt>
                <c:pt idx="5">
                  <c:v>56.672053670836853</c:v>
                </c:pt>
                <c:pt idx="6">
                  <c:v>58.954151749474164</c:v>
                </c:pt>
                <c:pt idx="7">
                  <c:v>60.254582482107658</c:v>
                </c:pt>
                <c:pt idx="8">
                  <c:v>52.963315132142384</c:v>
                </c:pt>
                <c:pt idx="9">
                  <c:v>56.036258529807611</c:v>
                </c:pt>
                <c:pt idx="10">
                  <c:v>57.982911244217654</c:v>
                </c:pt>
                <c:pt idx="11">
                  <c:v>56.686676223849645</c:v>
                </c:pt>
                <c:pt idx="12">
                  <c:v>50.891372394511457</c:v>
                </c:pt>
                <c:pt idx="13">
                  <c:v>52.253336092433798</c:v>
                </c:pt>
                <c:pt idx="14">
                  <c:v>49.145613707712428</c:v>
                </c:pt>
                <c:pt idx="15">
                  <c:v>65.94798931554098</c:v>
                </c:pt>
                <c:pt idx="16">
                  <c:v>66.75008239037146</c:v>
                </c:pt>
                <c:pt idx="17">
                  <c:v>54.775568665147183</c:v>
                </c:pt>
                <c:pt idx="18">
                  <c:v>54.347223694764367</c:v>
                </c:pt>
                <c:pt idx="19">
                  <c:v>58.5614277066528</c:v>
                </c:pt>
                <c:pt idx="20">
                  <c:v>67.970608124911095</c:v>
                </c:pt>
                <c:pt idx="21">
                  <c:v>79.846083663335406</c:v>
                </c:pt>
                <c:pt idx="22">
                  <c:v>79.769677351815332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0-460E-AF21-23CD3B673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631464"/>
        <c:axId val="619629112"/>
      </c:lineChart>
      <c:catAx>
        <c:axId val="619631464"/>
        <c:scaling>
          <c:orientation val="minMax"/>
        </c:scaling>
        <c:delete val="0"/>
        <c:axPos val="b"/>
        <c:title>
          <c:tx>
            <c:strRef>
              <c:f>'Holt-Winters(s6)'!$A$3</c:f>
              <c:strCache>
                <c:ptCount val="1"/>
                <c:pt idx="0">
                  <c:v>Period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29112"/>
        <c:crosses val="autoZero"/>
        <c:auto val="1"/>
        <c:lblAlgn val="ctr"/>
        <c:lblOffset val="100"/>
        <c:noMultiLvlLbl val="0"/>
      </c:catAx>
      <c:valAx>
        <c:axId val="61962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3146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'Holt-Winters(s12)'!$C$2</c:f>
          <c:strCache>
            <c:ptCount val="1"/>
            <c:pt idx="0">
              <c:v>Holt-Winters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'Holt-Winters(s12)'!$B$2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'Holt-Winters(s12)'!$A$19:$A$41</c:f>
              <c:numCache>
                <c:formatCode>General</c:formatCode>
                <c:ptCount val="2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</c:numCache>
            </c:numRef>
          </c:cat>
          <c:val>
            <c:numRef>
              <c:f>'Holt-Winters(s12)'!$B$19:$B$41</c:f>
              <c:numCache>
                <c:formatCode>General</c:formatCode>
                <c:ptCount val="23"/>
                <c:pt idx="0">
                  <c:v>51</c:v>
                </c:pt>
                <c:pt idx="1">
                  <c:v>58</c:v>
                </c:pt>
                <c:pt idx="2">
                  <c:v>52</c:v>
                </c:pt>
                <c:pt idx="3">
                  <c:v>62</c:v>
                </c:pt>
                <c:pt idx="4">
                  <c:v>63</c:v>
                </c:pt>
                <c:pt idx="5">
                  <c:v>59</c:v>
                </c:pt>
                <c:pt idx="6">
                  <c:v>55</c:v>
                </c:pt>
                <c:pt idx="7">
                  <c:v>53</c:v>
                </c:pt>
                <c:pt idx="8">
                  <c:v>48</c:v>
                </c:pt>
                <c:pt idx="9">
                  <c:v>60</c:v>
                </c:pt>
                <c:pt idx="10">
                  <c:v>65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60</c:v>
                </c:pt>
                <c:pt idx="15">
                  <c:v>66</c:v>
                </c:pt>
                <c:pt idx="16">
                  <c:v>65</c:v>
                </c:pt>
                <c:pt idx="17">
                  <c:v>52</c:v>
                </c:pt>
                <c:pt idx="18">
                  <c:v>58</c:v>
                </c:pt>
                <c:pt idx="19">
                  <c:v>71</c:v>
                </c:pt>
                <c:pt idx="20">
                  <c:v>74</c:v>
                </c:pt>
                <c:pt idx="21">
                  <c:v>79</c:v>
                </c:pt>
                <c:pt idx="22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0-49B4-A57E-A28C44185071}"/>
            </c:ext>
          </c:extLst>
        </c:ser>
        <c:ser>
          <c:idx val="1"/>
          <c:order val="1"/>
          <c:tx>
            <c:strRef>
              <c:f>'Holt-Winters(s12)'!$C$2</c:f>
              <c:strCache>
                <c:ptCount val="1"/>
                <c:pt idx="0">
                  <c:v>Holt-Winters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'Holt-Winters(s12)'!$A$19:$A$41</c:f>
              <c:numCache>
                <c:formatCode>General</c:formatCode>
                <c:ptCount val="2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</c:numCache>
            </c:numRef>
          </c:cat>
          <c:val>
            <c:numRef>
              <c:f>'Holt-Winters(s12)'!$C$19:$C$41</c:f>
              <c:numCache>
                <c:formatCode>0.0</c:formatCode>
                <c:ptCount val="23"/>
                <c:pt idx="0">
                  <c:v>54.174543393553115</c:v>
                </c:pt>
                <c:pt idx="1">
                  <c:v>52.41445250645458</c:v>
                </c:pt>
                <c:pt idx="2">
                  <c:v>55.837719476794334</c:v>
                </c:pt>
                <c:pt idx="3">
                  <c:v>53.706352830784766</c:v>
                </c:pt>
                <c:pt idx="4">
                  <c:v>58.758568539366529</c:v>
                </c:pt>
                <c:pt idx="5">
                  <c:v>61.479509674937837</c:v>
                </c:pt>
                <c:pt idx="6">
                  <c:v>60.241236372313764</c:v>
                </c:pt>
                <c:pt idx="7">
                  <c:v>57.334972806239463</c:v>
                </c:pt>
                <c:pt idx="8">
                  <c:v>54.917131906644123</c:v>
                </c:pt>
                <c:pt idx="9">
                  <c:v>53.184791838917185</c:v>
                </c:pt>
                <c:pt idx="10">
                  <c:v>57.64521764339095</c:v>
                </c:pt>
                <c:pt idx="11">
                  <c:v>57.618194378889164</c:v>
                </c:pt>
                <c:pt idx="12">
                  <c:v>53.134464603741989</c:v>
                </c:pt>
                <c:pt idx="13">
                  <c:v>53.736076402050188</c:v>
                </c:pt>
                <c:pt idx="14">
                  <c:v>49.718784317217825</c:v>
                </c:pt>
                <c:pt idx="15">
                  <c:v>59.305667599482625</c:v>
                </c:pt>
                <c:pt idx="16">
                  <c:v>62.195822871482974</c:v>
                </c:pt>
                <c:pt idx="17">
                  <c:v>62.117341250781742</c:v>
                </c:pt>
                <c:pt idx="18">
                  <c:v>55.516791769279187</c:v>
                </c:pt>
                <c:pt idx="19">
                  <c:v>57.332479088634479</c:v>
                </c:pt>
                <c:pt idx="20">
                  <c:v>64.546908731915792</c:v>
                </c:pt>
                <c:pt idx="21">
                  <c:v>79.092443634161143</c:v>
                </c:pt>
                <c:pt idx="22">
                  <c:v>79.931294476823822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0-49B4-A57E-A28C44185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631464"/>
        <c:axId val="619629112"/>
      </c:lineChart>
      <c:catAx>
        <c:axId val="619631464"/>
        <c:scaling>
          <c:orientation val="minMax"/>
        </c:scaling>
        <c:delete val="0"/>
        <c:axPos val="b"/>
        <c:title>
          <c:tx>
            <c:strRef>
              <c:f>'Holt-Winters(s12)'!$A$3</c:f>
              <c:strCache>
                <c:ptCount val="1"/>
                <c:pt idx="0">
                  <c:v>Period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29112"/>
        <c:crosses val="autoZero"/>
        <c:auto val="1"/>
        <c:lblAlgn val="ctr"/>
        <c:lblOffset val="100"/>
        <c:noMultiLvlLbl val="0"/>
      </c:catAx>
      <c:valAx>
        <c:axId val="61962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3146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'Decomposition(s12)'!$C$2</c:f>
          <c:strCache>
            <c:ptCount val="1"/>
            <c:pt idx="0">
              <c:v>Decomposition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'Decomposition(s12)'!$B$2</c:f>
              <c:strCache>
                <c:ptCount val="1"/>
                <c:pt idx="0">
                  <c:v>Demand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'Decomposition(s12)'!$A$12:$A$35</c:f>
              <c:numCache>
                <c:formatCode>General</c:formatCode>
                <c:ptCount val="2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</c:numCache>
            </c:numRef>
          </c:xVal>
          <c:yVal>
            <c:numRef>
              <c:f>'Decomposition(s12)'!$B$12:$B$35</c:f>
              <c:numCache>
                <c:formatCode>General</c:formatCode>
                <c:ptCount val="24"/>
                <c:pt idx="0">
                  <c:v>51</c:v>
                </c:pt>
                <c:pt idx="1">
                  <c:v>58</c:v>
                </c:pt>
                <c:pt idx="2">
                  <c:v>52</c:v>
                </c:pt>
                <c:pt idx="3">
                  <c:v>62</c:v>
                </c:pt>
                <c:pt idx="4">
                  <c:v>63</c:v>
                </c:pt>
                <c:pt idx="5">
                  <c:v>59</c:v>
                </c:pt>
                <c:pt idx="6">
                  <c:v>55</c:v>
                </c:pt>
                <c:pt idx="7">
                  <c:v>53</c:v>
                </c:pt>
                <c:pt idx="8">
                  <c:v>48</c:v>
                </c:pt>
                <c:pt idx="9">
                  <c:v>60</c:v>
                </c:pt>
                <c:pt idx="10">
                  <c:v>65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60</c:v>
                </c:pt>
                <c:pt idx="15">
                  <c:v>66</c:v>
                </c:pt>
                <c:pt idx="16">
                  <c:v>65</c:v>
                </c:pt>
                <c:pt idx="17">
                  <c:v>52</c:v>
                </c:pt>
                <c:pt idx="18">
                  <c:v>58</c:v>
                </c:pt>
                <c:pt idx="19">
                  <c:v>71</c:v>
                </c:pt>
                <c:pt idx="20">
                  <c:v>74</c:v>
                </c:pt>
                <c:pt idx="21">
                  <c:v>79</c:v>
                </c:pt>
                <c:pt idx="22">
                  <c:v>73</c:v>
                </c:pt>
                <c:pt idx="23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F-4858-B7FB-F4C1F215EC2A}"/>
            </c:ext>
          </c:extLst>
        </c:ser>
        <c:ser>
          <c:idx val="1"/>
          <c:order val="1"/>
          <c:tx>
            <c:strRef>
              <c:f>'Decomposition(s12)'!$C$2</c:f>
              <c:strCache>
                <c:ptCount val="1"/>
                <c:pt idx="0">
                  <c:v>Decomposition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'Decomposition(s12)'!$A$12:$A$35</c:f>
              <c:numCache>
                <c:formatCode>General</c:formatCode>
                <c:ptCount val="2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</c:numCache>
            </c:numRef>
          </c:xVal>
          <c:yVal>
            <c:numRef>
              <c:f>'Decomposition(s12)'!$C$12:$C$35</c:f>
              <c:numCache>
                <c:formatCode>0.0</c:formatCode>
                <c:ptCount val="24"/>
                <c:pt idx="0">
                  <c:v>47.162900136921714</c:v>
                </c:pt>
                <c:pt idx="1">
                  <c:v>51.041482683628779</c:v>
                </c:pt>
                <c:pt idx="2">
                  <c:v>51.969377484334444</c:v>
                </c:pt>
                <c:pt idx="3">
                  <c:v>59.171237022394259</c:v>
                </c:pt>
                <c:pt idx="4">
                  <c:v>59.253774656353507</c:v>
                </c:pt>
                <c:pt idx="5">
                  <c:v>51.815578312336442</c:v>
                </c:pt>
                <c:pt idx="6">
                  <c:v>52.786536059239893</c:v>
                </c:pt>
                <c:pt idx="7">
                  <c:v>57.730741772648251</c:v>
                </c:pt>
                <c:pt idx="8">
                  <c:v>56.212531141559268</c:v>
                </c:pt>
                <c:pt idx="9">
                  <c:v>64.085519028466649</c:v>
                </c:pt>
                <c:pt idx="10">
                  <c:v>64.002431902324233</c:v>
                </c:pt>
                <c:pt idx="11">
                  <c:v>53.9439405894163</c:v>
                </c:pt>
                <c:pt idx="12">
                  <c:v>55.14269379057297</c:v>
                </c:pt>
                <c:pt idx="13">
                  <c:v>59.557446061954955</c:v>
                </c:pt>
                <c:pt idx="14">
                  <c:v>60.521252121049883</c:v>
                </c:pt>
                <c:pt idx="15">
                  <c:v>68.776504046774292</c:v>
                </c:pt>
                <c:pt idx="16">
                  <c:v>68.744060176067265</c:v>
                </c:pt>
                <c:pt idx="17">
                  <c:v>60.005230208784823</c:v>
                </c:pt>
                <c:pt idx="18">
                  <c:v>61.021191648889932</c:v>
                </c:pt>
                <c:pt idx="19">
                  <c:v>66.621115093901764</c:v>
                </c:pt>
                <c:pt idx="20">
                  <c:v>64.759421154024238</c:v>
                </c:pt>
                <c:pt idx="21">
                  <c:v>73.707549359297388</c:v>
                </c:pt>
                <c:pt idx="22">
                  <c:v>73.493238578926608</c:v>
                </c:pt>
                <c:pt idx="23">
                  <c:v>61.845548549379622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F-4858-B7FB-F4C1F215EC2A}"/>
            </c:ext>
          </c:extLst>
        </c:ser>
        <c:ser>
          <c:idx val="2"/>
          <c:order val="2"/>
          <c:tx>
            <c:strRef>
              <c:f>'Decomposition(s12)'!$D$2</c:f>
              <c:strCache>
                <c:ptCount val="1"/>
                <c:pt idx="0">
                  <c:v>Centered 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796495843343866"/>
                  <c:y val="-4.10006618019711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'Decomposition(s12)'!$A$12:$A$35</c:f>
              <c:numCache>
                <c:formatCode>General</c:formatCode>
                <c:ptCount val="2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</c:numCache>
            </c:numRef>
          </c:xVal>
          <c:yVal>
            <c:numRef>
              <c:f>'Decomposition(s12)'!$D$12:$D$35</c:f>
              <c:numCache>
                <c:formatCode>0.00</c:formatCode>
                <c:ptCount val="24"/>
                <c:pt idx="0">
                  <c:v>54.625</c:v>
                </c:pt>
                <c:pt idx="1">
                  <c:v>55.125</c:v>
                </c:pt>
                <c:pt idx="2">
                  <c:v>55.583333333333336</c:v>
                </c:pt>
                <c:pt idx="3">
                  <c:v>55.916666666666664</c:v>
                </c:pt>
                <c:pt idx="4">
                  <c:v>56.333333333333336</c:v>
                </c:pt>
                <c:pt idx="5">
                  <c:v>56.375</c:v>
                </c:pt>
                <c:pt idx="6">
                  <c:v>56.208333333333336</c:v>
                </c:pt>
                <c:pt idx="7">
                  <c:v>55.875</c:v>
                </c:pt>
                <c:pt idx="8">
                  <c:v>55.916666666666664</c:v>
                </c:pt>
                <c:pt idx="9">
                  <c:v>56.416666666666664</c:v>
                </c:pt>
                <c:pt idx="10">
                  <c:v>56.666666666666664</c:v>
                </c:pt>
                <c:pt idx="11">
                  <c:v>56.458333333333336</c:v>
                </c:pt>
                <c:pt idx="12">
                  <c:v>56.291666666666664</c:v>
                </c:pt>
                <c:pt idx="13">
                  <c:v>57.166666666666664</c:v>
                </c:pt>
                <c:pt idx="14">
                  <c:v>59</c:v>
                </c:pt>
                <c:pt idx="15">
                  <c:v>60.875</c:v>
                </c:pt>
                <c:pt idx="16">
                  <c:v>62</c:v>
                </c:pt>
                <c:pt idx="17">
                  <c:v>63.166666666666664</c:v>
                </c:pt>
                <c:pt idx="18">
                  <c:v>64.333333333333329</c:v>
                </c:pt>
                <c:pt idx="19">
                  <c:v>65.666666666666671</c:v>
                </c:pt>
                <c:pt idx="20">
                  <c:v>67.708333333333329</c:v>
                </c:pt>
                <c:pt idx="21">
                  <c:v>69.708333333333329</c:v>
                </c:pt>
                <c:pt idx="22">
                  <c:v>71.583333333333329</c:v>
                </c:pt>
                <c:pt idx="23">
                  <c:v>73.708333333333329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F-4858-B7FB-F4C1F215E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606192"/>
        <c:axId val="770606584"/>
      </c:scatterChart>
      <c:valAx>
        <c:axId val="770606192"/>
        <c:scaling>
          <c:orientation val="minMax"/>
          <c:max val="60"/>
          <c:min val="27"/>
        </c:scaling>
        <c:delete val="0"/>
        <c:axPos val="b"/>
        <c:title>
          <c:tx>
            <c:strRef>
              <c:f>'Decomposition(s12)'!$A$3</c:f>
              <c:strCache>
                <c:ptCount val="1"/>
                <c:pt idx="0">
                  <c:v>Week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06584"/>
        <c:crosses val="autoZero"/>
        <c:crossBetween val="midCat"/>
        <c:majorUnit val="1"/>
      </c:valAx>
      <c:valAx>
        <c:axId val="77060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06192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204100</xdr:colOff>
      <xdr:row>0</xdr:row>
      <xdr:rowOff>133119</xdr:rowOff>
    </xdr:from>
    <xdr:to>
      <xdr:col>17</xdr:col>
      <xdr:colOff>205368</xdr:colOff>
      <xdr:row>19</xdr:row>
      <xdr:rowOff>31321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100543</xdr:colOff>
      <xdr:row>6</xdr:row>
      <xdr:rowOff>111125</xdr:rowOff>
    </xdr:from>
    <xdr:to>
      <xdr:col>17</xdr:col>
      <xdr:colOff>444500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283634</xdr:colOff>
      <xdr:row>0</xdr:row>
      <xdr:rowOff>155574</xdr:rowOff>
    </xdr:from>
    <xdr:to>
      <xdr:col>31</xdr:col>
      <xdr:colOff>95249</xdr:colOff>
      <xdr:row>31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61385</xdr:colOff>
      <xdr:row>7</xdr:row>
      <xdr:rowOff>15875</xdr:rowOff>
    </xdr:from>
    <xdr:to>
      <xdr:col>16</xdr:col>
      <xdr:colOff>405342</xdr:colOff>
      <xdr:row>27</xdr:row>
      <xdr:rowOff>164571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533400</xdr:colOff>
          <xdr:row>1</xdr:row>
          <xdr:rowOff>95250</xdr:rowOff>
        </xdr:from>
        <xdr:to>
          <xdr:col>13</xdr:col>
          <xdr:colOff>333375</xdr:colOff>
          <xdr:row>3</xdr:row>
          <xdr:rowOff>57150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5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100541</xdr:colOff>
      <xdr:row>8</xdr:row>
      <xdr:rowOff>10584</xdr:rowOff>
    </xdr:from>
    <xdr:to>
      <xdr:col>17</xdr:col>
      <xdr:colOff>354542</xdr:colOff>
      <xdr:row>28</xdr:row>
      <xdr:rowOff>151871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0</xdr:row>
          <xdr:rowOff>57150</xdr:rowOff>
        </xdr:from>
        <xdr:to>
          <xdr:col>13</xdr:col>
          <xdr:colOff>400050</xdr:colOff>
          <xdr:row>5</xdr:row>
          <xdr:rowOff>85725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6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8819</xdr:colOff>
      <xdr:row>10</xdr:row>
      <xdr:rowOff>109361</xdr:rowOff>
    </xdr:from>
    <xdr:to>
      <xdr:col>18</xdr:col>
      <xdr:colOff>262820</xdr:colOff>
      <xdr:row>31</xdr:row>
      <xdr:rowOff>63676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276225</xdr:colOff>
          <xdr:row>0</xdr:row>
          <xdr:rowOff>152400</xdr:rowOff>
        </xdr:from>
        <xdr:to>
          <xdr:col>13</xdr:col>
          <xdr:colOff>628650</xdr:colOff>
          <xdr:row>9</xdr:row>
          <xdr:rowOff>19050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07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8819</xdr:colOff>
      <xdr:row>10</xdr:row>
      <xdr:rowOff>109361</xdr:rowOff>
    </xdr:from>
    <xdr:to>
      <xdr:col>18</xdr:col>
      <xdr:colOff>262820</xdr:colOff>
      <xdr:row>31</xdr:row>
      <xdr:rowOff>63676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276225</xdr:colOff>
          <xdr:row>0</xdr:row>
          <xdr:rowOff>152400</xdr:rowOff>
        </xdr:from>
        <xdr:to>
          <xdr:col>13</xdr:col>
          <xdr:colOff>628650</xdr:colOff>
          <xdr:row>9</xdr:row>
          <xdr:rowOff>19050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08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8819</xdr:colOff>
      <xdr:row>10</xdr:row>
      <xdr:rowOff>109361</xdr:rowOff>
    </xdr:from>
    <xdr:to>
      <xdr:col>18</xdr:col>
      <xdr:colOff>262820</xdr:colOff>
      <xdr:row>31</xdr:row>
      <xdr:rowOff>63676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276225</xdr:colOff>
          <xdr:row>0</xdr:row>
          <xdr:rowOff>152400</xdr:rowOff>
        </xdr:from>
        <xdr:to>
          <xdr:col>13</xdr:col>
          <xdr:colOff>628650</xdr:colOff>
          <xdr:row>9</xdr:row>
          <xdr:rowOff>19050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9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185207</xdr:colOff>
      <xdr:row>14</xdr:row>
      <xdr:rowOff>10585</xdr:rowOff>
    </xdr:from>
    <xdr:to>
      <xdr:col>21</xdr:col>
      <xdr:colOff>439209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7EC38-8D22-41BC-B964-1BF64BAEE469}">
  <dimension ref="A1:L79"/>
  <sheetViews>
    <sheetView zoomScale="76" zoomScaleNormal="130" workbookViewId="0">
      <selection activeCell="E15" sqref="E15"/>
    </sheetView>
  </sheetViews>
  <sheetFormatPr defaultColWidth="9" defaultRowHeight="15.75" x14ac:dyDescent="0.5"/>
  <cols>
    <col min="1" max="1" width="20" style="45" customWidth="1"/>
    <col min="2" max="2" width="15.3984375" style="45" bestFit="1" customWidth="1"/>
    <col min="3" max="3" width="14" style="45" bestFit="1" customWidth="1"/>
    <col min="4" max="4" width="16" style="45" customWidth="1"/>
    <col min="5" max="6" width="14" style="45" customWidth="1"/>
    <col min="7" max="16384" width="9" style="40"/>
  </cols>
  <sheetData>
    <row r="1" spans="1:6" ht="47.25" x14ac:dyDescent="0.45">
      <c r="A1" s="38" t="s">
        <v>38</v>
      </c>
      <c r="B1" s="38" t="s">
        <v>39</v>
      </c>
      <c r="C1" s="39" t="s">
        <v>40</v>
      </c>
      <c r="D1" s="39" t="s">
        <v>41</v>
      </c>
      <c r="E1" s="39" t="s">
        <v>42</v>
      </c>
      <c r="F1" s="39" t="s">
        <v>43</v>
      </c>
    </row>
    <row r="2" spans="1:6" x14ac:dyDescent="0.5">
      <c r="A2" s="41">
        <v>14</v>
      </c>
      <c r="B2" s="41">
        <v>210</v>
      </c>
      <c r="C2" s="42">
        <f>5.0862*A2+4.2987</f>
        <v>75.505499999999998</v>
      </c>
      <c r="D2" s="42">
        <f>B2-C2</f>
        <v>134.49450000000002</v>
      </c>
      <c r="E2" s="42">
        <f>D2^2</f>
        <v>18088.770530250004</v>
      </c>
      <c r="F2" s="42">
        <f>ABS(D2)</f>
        <v>134.49450000000002</v>
      </c>
    </row>
    <row r="3" spans="1:6" x14ac:dyDescent="0.5">
      <c r="A3" s="41">
        <v>21</v>
      </c>
      <c r="B3" s="41">
        <v>120</v>
      </c>
      <c r="C3" s="42">
        <f t="shared" ref="C3:C13" si="0">5.0862*A3+4.2987</f>
        <v>111.10889999999999</v>
      </c>
      <c r="D3" s="42">
        <f t="shared" ref="D3:D13" si="1">B3-C3</f>
        <v>8.8911000000000087</v>
      </c>
      <c r="E3" s="42">
        <f t="shared" ref="E3:E13" si="2">D3^2</f>
        <v>79.051659210000153</v>
      </c>
      <c r="F3" s="42">
        <f t="shared" ref="F3:F13" si="3">ABS(D3)</f>
        <v>8.8911000000000087</v>
      </c>
    </row>
    <row r="4" spans="1:6" x14ac:dyDescent="0.5">
      <c r="A4" s="41">
        <v>25</v>
      </c>
      <c r="B4" s="41">
        <v>50</v>
      </c>
      <c r="C4" s="42">
        <f t="shared" si="0"/>
        <v>131.4537</v>
      </c>
      <c r="D4" s="42">
        <f t="shared" si="1"/>
        <v>-81.453699999999998</v>
      </c>
      <c r="E4" s="42">
        <f t="shared" si="2"/>
        <v>6634.7052436899994</v>
      </c>
      <c r="F4" s="42">
        <f t="shared" si="3"/>
        <v>81.453699999999998</v>
      </c>
    </row>
    <row r="5" spans="1:6" x14ac:dyDescent="0.5">
      <c r="A5" s="41">
        <v>30</v>
      </c>
      <c r="B5" s="41">
        <v>190</v>
      </c>
      <c r="C5" s="42">
        <f t="shared" si="0"/>
        <v>156.88469999999998</v>
      </c>
      <c r="D5" s="42">
        <f t="shared" si="1"/>
        <v>33.115300000000019</v>
      </c>
      <c r="E5" s="42">
        <f t="shared" si="2"/>
        <v>1096.6230940900014</v>
      </c>
      <c r="F5" s="42">
        <f t="shared" si="3"/>
        <v>33.115300000000019</v>
      </c>
    </row>
    <row r="6" spans="1:6" x14ac:dyDescent="0.5">
      <c r="A6" s="41">
        <v>35</v>
      </c>
      <c r="B6" s="41">
        <v>200</v>
      </c>
      <c r="C6" s="42">
        <f t="shared" si="0"/>
        <v>182.31569999999999</v>
      </c>
      <c r="D6" s="42">
        <f t="shared" si="1"/>
        <v>17.684300000000007</v>
      </c>
      <c r="E6" s="42">
        <f t="shared" si="2"/>
        <v>312.73446649000027</v>
      </c>
      <c r="F6" s="42">
        <f t="shared" si="3"/>
        <v>17.684300000000007</v>
      </c>
    </row>
    <row r="7" spans="1:6" x14ac:dyDescent="0.5">
      <c r="A7" s="41">
        <v>44</v>
      </c>
      <c r="B7" s="41">
        <v>180</v>
      </c>
      <c r="C7" s="42">
        <f t="shared" si="0"/>
        <v>228.0915</v>
      </c>
      <c r="D7" s="42">
        <f t="shared" si="1"/>
        <v>-48.091499999999996</v>
      </c>
      <c r="E7" s="42">
        <f t="shared" si="2"/>
        <v>2312.7923722499995</v>
      </c>
      <c r="F7" s="42">
        <f t="shared" si="3"/>
        <v>48.091499999999996</v>
      </c>
    </row>
    <row r="8" spans="1:6" x14ac:dyDescent="0.5">
      <c r="A8" s="41">
        <v>50</v>
      </c>
      <c r="B8" s="41">
        <v>200</v>
      </c>
      <c r="C8" s="42">
        <f t="shared" si="0"/>
        <v>258.6087</v>
      </c>
      <c r="D8" s="42">
        <f t="shared" si="1"/>
        <v>-58.608699999999999</v>
      </c>
      <c r="E8" s="42">
        <f t="shared" si="2"/>
        <v>3434.9797156899999</v>
      </c>
      <c r="F8" s="42">
        <f t="shared" si="3"/>
        <v>58.608699999999999</v>
      </c>
    </row>
    <row r="9" spans="1:6" x14ac:dyDescent="0.5">
      <c r="A9" s="41">
        <v>76</v>
      </c>
      <c r="B9" s="41">
        <v>240</v>
      </c>
      <c r="C9" s="42">
        <f t="shared" si="0"/>
        <v>390.84989999999999</v>
      </c>
      <c r="D9" s="42">
        <f t="shared" si="1"/>
        <v>-150.84989999999999</v>
      </c>
      <c r="E9" s="42">
        <f t="shared" si="2"/>
        <v>22755.692330009999</v>
      </c>
      <c r="F9" s="42">
        <f t="shared" si="3"/>
        <v>150.84989999999999</v>
      </c>
    </row>
    <row r="10" spans="1:6" x14ac:dyDescent="0.5">
      <c r="A10" s="41">
        <v>85</v>
      </c>
      <c r="B10" s="41">
        <v>410</v>
      </c>
      <c r="C10" s="42">
        <f t="shared" si="0"/>
        <v>436.62569999999999</v>
      </c>
      <c r="D10" s="42">
        <f t="shared" si="1"/>
        <v>-26.625699999999995</v>
      </c>
      <c r="E10" s="42">
        <f t="shared" si="2"/>
        <v>708.92790048999973</v>
      </c>
      <c r="F10" s="42">
        <f t="shared" si="3"/>
        <v>26.625699999999995</v>
      </c>
    </row>
    <row r="11" spans="1:6" x14ac:dyDescent="0.5">
      <c r="A11" s="41">
        <v>88</v>
      </c>
      <c r="B11" s="41">
        <v>400</v>
      </c>
      <c r="C11" s="42">
        <f t="shared" si="0"/>
        <v>451.8843</v>
      </c>
      <c r="D11" s="42">
        <f t="shared" si="1"/>
        <v>-51.884299999999996</v>
      </c>
      <c r="E11" s="42">
        <f t="shared" si="2"/>
        <v>2691.9805864899995</v>
      </c>
      <c r="F11" s="42">
        <f t="shared" si="3"/>
        <v>51.884299999999996</v>
      </c>
    </row>
    <row r="12" spans="1:6" x14ac:dyDescent="0.5">
      <c r="A12" s="41">
        <v>110</v>
      </c>
      <c r="B12" s="41">
        <v>500</v>
      </c>
      <c r="C12" s="42">
        <f t="shared" si="0"/>
        <v>563.78070000000002</v>
      </c>
      <c r="D12" s="42">
        <f t="shared" si="1"/>
        <v>-63.780700000000024</v>
      </c>
      <c r="E12" s="42">
        <f t="shared" si="2"/>
        <v>4067.9776924900029</v>
      </c>
      <c r="F12" s="42">
        <f t="shared" si="3"/>
        <v>63.780700000000024</v>
      </c>
    </row>
    <row r="13" spans="1:6" x14ac:dyDescent="0.5">
      <c r="A13" s="41">
        <v>100</v>
      </c>
      <c r="B13" s="41">
        <v>800</v>
      </c>
      <c r="C13" s="42">
        <f t="shared" si="0"/>
        <v>512.91870000000006</v>
      </c>
      <c r="D13" s="42">
        <f t="shared" si="1"/>
        <v>287.08129999999994</v>
      </c>
      <c r="E13" s="42">
        <f t="shared" si="2"/>
        <v>82415.672809689961</v>
      </c>
      <c r="F13" s="42">
        <f t="shared" si="3"/>
        <v>287.08129999999994</v>
      </c>
    </row>
    <row r="14" spans="1:6" x14ac:dyDescent="0.5">
      <c r="A14" s="43" t="s">
        <v>44</v>
      </c>
      <c r="B14" s="43" t="s">
        <v>45</v>
      </c>
      <c r="C14" s="44" t="s">
        <v>46</v>
      </c>
      <c r="D14" s="42">
        <f>AVERAGE(D2:D13)</f>
        <v>-2.3333333333350006E-3</v>
      </c>
      <c r="E14" s="42">
        <f>AVERAGE(E2:E13)</f>
        <v>12049.992366736662</v>
      </c>
      <c r="F14" s="42">
        <f>AVERAGE(F2:F13)</f>
        <v>80.213416666666674</v>
      </c>
    </row>
    <row r="15" spans="1:6" x14ac:dyDescent="0.5">
      <c r="D15" s="46" t="s">
        <v>47</v>
      </c>
      <c r="E15" s="47">
        <f>SQRT(E14)</f>
        <v>109.77245723193347</v>
      </c>
    </row>
    <row r="16" spans="1:6" x14ac:dyDescent="0.5">
      <c r="D16" s="45" t="s">
        <v>48</v>
      </c>
    </row>
    <row r="20" spans="12:12" x14ac:dyDescent="0.5">
      <c r="L20" s="48" t="s">
        <v>44</v>
      </c>
    </row>
    <row r="43" spans="1:6" ht="14.25" x14ac:dyDescent="0.45">
      <c r="A43" s="40"/>
      <c r="B43" s="40"/>
      <c r="C43" s="40"/>
      <c r="D43" s="40"/>
      <c r="E43" s="40"/>
      <c r="F43" s="40"/>
    </row>
    <row r="45" spans="1:6" ht="16.149999999999999" thickBot="1" x14ac:dyDescent="0.55000000000000004">
      <c r="A45" s="49" t="s">
        <v>49</v>
      </c>
      <c r="B45" s="50"/>
      <c r="C45" s="50"/>
      <c r="D45" s="50"/>
      <c r="E45" s="50"/>
      <c r="F45" s="50"/>
    </row>
    <row r="46" spans="1:6" x14ac:dyDescent="0.5">
      <c r="A46" s="51" t="s">
        <v>50</v>
      </c>
      <c r="B46" s="52">
        <v>0.89390744240593356</v>
      </c>
    </row>
    <row r="47" spans="1:6" x14ac:dyDescent="0.5">
      <c r="A47" s="51" t="s">
        <v>51</v>
      </c>
      <c r="B47" s="52">
        <v>0.79907051558871744</v>
      </c>
    </row>
    <row r="48" spans="1:6" x14ac:dyDescent="0.5">
      <c r="A48" s="51" t="s">
        <v>52</v>
      </c>
      <c r="B48" s="52">
        <v>0.77674501732079715</v>
      </c>
    </row>
    <row r="49" spans="1:6" x14ac:dyDescent="0.5">
      <c r="A49" s="51" t="s">
        <v>53</v>
      </c>
      <c r="B49" s="52">
        <v>63.826284214812034</v>
      </c>
    </row>
    <row r="50" spans="1:6" x14ac:dyDescent="0.5">
      <c r="A50" s="51" t="s">
        <v>54</v>
      </c>
      <c r="B50" s="45">
        <v>11</v>
      </c>
    </row>
    <row r="51" spans="1:6" ht="14.65" thickBot="1" x14ac:dyDescent="0.5">
      <c r="A51" s="40"/>
      <c r="B51" s="40"/>
      <c r="C51" s="40"/>
      <c r="D51" s="40"/>
      <c r="E51" s="40"/>
      <c r="F51" s="40"/>
    </row>
    <row r="52" spans="1:6" x14ac:dyDescent="0.5">
      <c r="A52" s="53"/>
      <c r="B52" s="53"/>
      <c r="C52" s="53"/>
      <c r="D52" s="53"/>
      <c r="E52" s="53"/>
      <c r="F52" s="53"/>
    </row>
    <row r="53" spans="1:6" ht="16.149999999999999" thickBot="1" x14ac:dyDescent="0.55000000000000004">
      <c r="A53" s="49" t="s">
        <v>55</v>
      </c>
      <c r="B53" s="50"/>
      <c r="C53" s="50"/>
      <c r="D53" s="50"/>
      <c r="E53" s="50"/>
      <c r="F53" s="50"/>
    </row>
    <row r="54" spans="1:6" ht="14.25" x14ac:dyDescent="0.45">
      <c r="A54" s="54" t="s">
        <v>56</v>
      </c>
      <c r="B54" s="54" t="s">
        <v>57</v>
      </c>
      <c r="C54" s="54" t="s">
        <v>58</v>
      </c>
      <c r="D54" s="54" t="s">
        <v>59</v>
      </c>
      <c r="E54" s="54" t="s">
        <v>60</v>
      </c>
      <c r="F54" s="54"/>
    </row>
    <row r="55" spans="1:6" x14ac:dyDescent="0.5">
      <c r="A55" s="51" t="s">
        <v>61</v>
      </c>
      <c r="B55" s="52">
        <v>1</v>
      </c>
      <c r="C55" s="52">
        <v>145808.57626269761</v>
      </c>
      <c r="D55" s="52">
        <v>145808.57626269761</v>
      </c>
      <c r="E55" s="52">
        <v>35.791833445299147</v>
      </c>
      <c r="F55" s="52"/>
    </row>
    <row r="56" spans="1:6" x14ac:dyDescent="0.5">
      <c r="A56" s="51" t="s">
        <v>62</v>
      </c>
      <c r="B56" s="52">
        <v>9</v>
      </c>
      <c r="C56" s="52">
        <v>36664.151010029673</v>
      </c>
      <c r="D56" s="52">
        <v>4073.7945566699636</v>
      </c>
    </row>
    <row r="57" spans="1:6" ht="16.149999999999999" thickBot="1" x14ac:dyDescent="0.55000000000000004">
      <c r="A57" s="55" t="s">
        <v>63</v>
      </c>
      <c r="B57" s="56">
        <v>10</v>
      </c>
      <c r="C57" s="56">
        <v>182472.72727272729</v>
      </c>
      <c r="D57" s="50"/>
      <c r="E57" s="50"/>
      <c r="F57" s="50"/>
    </row>
    <row r="58" spans="1:6" ht="16.149999999999999" thickBot="1" x14ac:dyDescent="0.55000000000000004">
      <c r="A58" s="50"/>
      <c r="B58" s="50"/>
      <c r="C58" s="50"/>
      <c r="D58" s="50"/>
      <c r="E58" s="50"/>
      <c r="F58" s="50"/>
    </row>
    <row r="59" spans="1:6" ht="14.25" x14ac:dyDescent="0.45">
      <c r="A59" s="54" t="s">
        <v>56</v>
      </c>
      <c r="B59" s="54" t="s">
        <v>64</v>
      </c>
      <c r="C59" s="54" t="s">
        <v>53</v>
      </c>
      <c r="D59" s="54" t="s">
        <v>65</v>
      </c>
      <c r="E59" s="54" t="s">
        <v>66</v>
      </c>
      <c r="F59" s="54"/>
    </row>
    <row r="60" spans="1:6" x14ac:dyDescent="0.5">
      <c r="A60" s="57" t="s">
        <v>67</v>
      </c>
      <c r="B60" s="52">
        <v>47.722489052126036</v>
      </c>
      <c r="C60" s="52">
        <v>38.245471705888477</v>
      </c>
      <c r="D60" s="52">
        <v>-60.184735279369264</v>
      </c>
      <c r="E60" s="52">
        <v>155.62971338362132</v>
      </c>
      <c r="F60" s="52"/>
    </row>
    <row r="61" spans="1:6" x14ac:dyDescent="0.5">
      <c r="A61" s="57" t="s">
        <v>38</v>
      </c>
      <c r="B61" s="52">
        <v>3.7630668173470823</v>
      </c>
      <c r="C61" s="52">
        <v>0.62899900270460707</v>
      </c>
      <c r="D61" s="52">
        <v>1.9883851763128921</v>
      </c>
      <c r="E61" s="52">
        <v>5.5377484583812722</v>
      </c>
      <c r="F61" s="52"/>
    </row>
    <row r="62" spans="1:6" x14ac:dyDescent="0.5">
      <c r="A62" s="58" t="s">
        <v>68</v>
      </c>
      <c r="B62" s="59">
        <v>2.8214379250258097</v>
      </c>
      <c r="C62" s="60"/>
      <c r="D62" s="60"/>
      <c r="E62" s="60"/>
      <c r="F62" s="60"/>
    </row>
    <row r="63" spans="1:6" x14ac:dyDescent="0.5">
      <c r="A63" s="90" t="s">
        <v>69</v>
      </c>
      <c r="B63" s="91"/>
      <c r="C63" s="91"/>
      <c r="D63" s="91"/>
    </row>
    <row r="64" spans="1:6" ht="16.149999999999999" thickBot="1" x14ac:dyDescent="0.55000000000000004">
      <c r="A64" s="90" t="s">
        <v>70</v>
      </c>
      <c r="B64" s="91"/>
      <c r="C64" s="91"/>
      <c r="D64" s="91"/>
    </row>
    <row r="65" spans="1:6" x14ac:dyDescent="0.5">
      <c r="A65" s="53"/>
      <c r="B65" s="53"/>
      <c r="C65" s="53"/>
      <c r="D65" s="53"/>
      <c r="E65" s="53"/>
      <c r="F65" s="53"/>
    </row>
    <row r="66" spans="1:6" ht="16.149999999999999" thickBot="1" x14ac:dyDescent="0.55000000000000004">
      <c r="A66" s="49" t="s">
        <v>71</v>
      </c>
      <c r="B66" s="50"/>
      <c r="C66" s="50"/>
      <c r="D66" s="50"/>
      <c r="E66" s="50"/>
      <c r="F66" s="50"/>
    </row>
    <row r="67" spans="1:6" x14ac:dyDescent="0.5">
      <c r="A67" s="54" t="s">
        <v>72</v>
      </c>
      <c r="B67" s="54" t="s">
        <v>73</v>
      </c>
      <c r="C67" s="54" t="s">
        <v>62</v>
      </c>
      <c r="D67" s="54" t="s">
        <v>74</v>
      </c>
      <c r="E67" s="61"/>
      <c r="F67" s="61"/>
    </row>
    <row r="68" spans="1:6" x14ac:dyDescent="0.5">
      <c r="A68" s="45">
        <v>1</v>
      </c>
      <c r="B68" s="52">
        <v>100.40542449498518</v>
      </c>
      <c r="C68" s="52">
        <v>109.59457550501482</v>
      </c>
      <c r="D68" s="52">
        <v>1.8099569378489035</v>
      </c>
    </row>
    <row r="69" spans="1:6" x14ac:dyDescent="0.5">
      <c r="A69" s="45">
        <v>2</v>
      </c>
      <c r="B69" s="52">
        <v>126.74689221641476</v>
      </c>
      <c r="C69" s="52">
        <v>-6.7468922164147642</v>
      </c>
      <c r="D69" s="52">
        <v>-0.11142508029934299</v>
      </c>
    </row>
    <row r="70" spans="1:6" x14ac:dyDescent="0.5">
      <c r="A70" s="45">
        <v>3</v>
      </c>
      <c r="B70" s="52">
        <v>141.7991594858031</v>
      </c>
      <c r="C70" s="52">
        <v>-91.799159485803102</v>
      </c>
      <c r="D70" s="52">
        <v>-1.5160652325572863</v>
      </c>
    </row>
    <row r="71" spans="1:6" x14ac:dyDescent="0.5">
      <c r="A71" s="45">
        <v>4</v>
      </c>
      <c r="B71" s="52">
        <v>160.61449357253849</v>
      </c>
      <c r="C71" s="52">
        <v>29.385506427461507</v>
      </c>
      <c r="D71" s="52">
        <v>0.48530231524236156</v>
      </c>
    </row>
    <row r="72" spans="1:6" x14ac:dyDescent="0.5">
      <c r="A72" s="45">
        <v>5</v>
      </c>
      <c r="B72" s="52">
        <v>179.42982765927391</v>
      </c>
      <c r="C72" s="52">
        <v>20.570172340726089</v>
      </c>
      <c r="D72" s="52">
        <v>0.33971686982939386</v>
      </c>
    </row>
    <row r="73" spans="1:6" x14ac:dyDescent="0.5">
      <c r="A73" s="45">
        <v>6</v>
      </c>
      <c r="B73" s="52">
        <v>213.29742901539765</v>
      </c>
      <c r="C73" s="52">
        <v>-33.297429015397654</v>
      </c>
      <c r="D73" s="52">
        <v>-0.54990780685301988</v>
      </c>
    </row>
    <row r="74" spans="1:6" x14ac:dyDescent="0.5">
      <c r="A74" s="45">
        <v>7</v>
      </c>
      <c r="B74" s="52">
        <v>235.87582991948014</v>
      </c>
      <c r="C74" s="52">
        <v>-35.87582991948014</v>
      </c>
      <c r="D74" s="52">
        <v>-0.59249015715088149</v>
      </c>
    </row>
    <row r="75" spans="1:6" x14ac:dyDescent="0.5">
      <c r="A75" s="45">
        <v>8</v>
      </c>
      <c r="B75" s="52">
        <v>333.7155671705043</v>
      </c>
      <c r="C75" s="52">
        <v>-93.715567170504301</v>
      </c>
      <c r="D75" s="52">
        <v>-1.5477147495948624</v>
      </c>
    </row>
    <row r="76" spans="1:6" x14ac:dyDescent="0.5">
      <c r="A76" s="45">
        <v>9</v>
      </c>
      <c r="B76" s="52">
        <v>367.58316852662801</v>
      </c>
      <c r="C76" s="52">
        <v>42.416831473371985</v>
      </c>
      <c r="D76" s="52">
        <v>0.70051494841808482</v>
      </c>
    </row>
    <row r="77" spans="1:6" x14ac:dyDescent="0.5">
      <c r="A77" s="45">
        <v>10</v>
      </c>
      <c r="B77" s="52">
        <v>378.87236897866927</v>
      </c>
      <c r="C77" s="52">
        <v>21.127631021330728</v>
      </c>
      <c r="D77" s="52">
        <v>0.34892331277490529</v>
      </c>
    </row>
    <row r="78" spans="1:6" ht="16.149999999999999" thickBot="1" x14ac:dyDescent="0.55000000000000004">
      <c r="A78" s="45">
        <v>11</v>
      </c>
      <c r="B78" s="52">
        <v>461.65983896030508</v>
      </c>
      <c r="C78" s="52">
        <v>38.34016103969492</v>
      </c>
      <c r="D78" s="52">
        <v>0.63318864234174366</v>
      </c>
    </row>
    <row r="79" spans="1:6" x14ac:dyDescent="0.5">
      <c r="A79" s="53"/>
      <c r="B79" s="53"/>
      <c r="C79" s="53"/>
      <c r="D79" s="53"/>
      <c r="E79" s="53"/>
      <c r="F79" s="53"/>
    </row>
  </sheetData>
  <mergeCells count="2">
    <mergeCell ref="A63:D63"/>
    <mergeCell ref="A64:D6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6394-86B5-4232-B542-CD19FE385007}">
  <dimension ref="A1:J43"/>
  <sheetViews>
    <sheetView zoomScale="90" zoomScaleNormal="90" workbookViewId="0">
      <selection activeCell="F16" sqref="F16"/>
    </sheetView>
  </sheetViews>
  <sheetFormatPr defaultColWidth="9" defaultRowHeight="14.25" x14ac:dyDescent="0.45"/>
  <cols>
    <col min="1" max="1" width="7.86328125" customWidth="1"/>
    <col min="3" max="3" width="8.73046875" customWidth="1"/>
    <col min="4" max="4" width="10.1328125" customWidth="1"/>
    <col min="5" max="5" width="12.1328125" bestFit="1" customWidth="1"/>
    <col min="6" max="6" width="11" style="22" customWidth="1"/>
    <col min="7" max="7" width="14.265625" customWidth="1"/>
    <col min="10" max="10" width="9.265625" bestFit="1" customWidth="1"/>
  </cols>
  <sheetData>
    <row r="1" spans="1:10" ht="14.65" thickBot="1" x14ac:dyDescent="0.5">
      <c r="A1" s="7" t="s">
        <v>21</v>
      </c>
    </row>
    <row r="2" spans="1:10" ht="14.65" thickBot="1" x14ac:dyDescent="0.5">
      <c r="B2" s="5" t="s">
        <v>0</v>
      </c>
      <c r="C2" s="16" t="s">
        <v>16</v>
      </c>
      <c r="I2" s="15" t="s">
        <v>13</v>
      </c>
      <c r="J2" s="84">
        <f>AVERAGE(G19:G42)</f>
        <v>43.354352776080283</v>
      </c>
    </row>
    <row r="3" spans="1:10" ht="14.65" thickBot="1" x14ac:dyDescent="0.5">
      <c r="A3" s="5" t="s">
        <v>20</v>
      </c>
      <c r="B3" s="6" t="s">
        <v>2</v>
      </c>
      <c r="C3" s="6" t="s">
        <v>3</v>
      </c>
      <c r="D3" s="6" t="s">
        <v>4</v>
      </c>
      <c r="E3" s="6" t="s">
        <v>5</v>
      </c>
      <c r="F3" s="23" t="s">
        <v>15</v>
      </c>
      <c r="G3" s="6" t="s">
        <v>6</v>
      </c>
      <c r="I3" s="15" t="s">
        <v>17</v>
      </c>
      <c r="J3" s="84">
        <f>SQRT(J2)</f>
        <v>6.5844022337703736</v>
      </c>
    </row>
    <row r="4" spans="1:10" x14ac:dyDescent="0.45">
      <c r="A4" s="5"/>
      <c r="B4" s="6"/>
      <c r="C4" s="6"/>
      <c r="D4" s="6"/>
      <c r="E4" s="6"/>
      <c r="F4" s="24">
        <v>1</v>
      </c>
      <c r="G4" s="6"/>
      <c r="I4" s="14" t="s">
        <v>10</v>
      </c>
      <c r="J4" s="13"/>
    </row>
    <row r="5" spans="1:10" x14ac:dyDescent="0.45">
      <c r="A5" s="5"/>
      <c r="B5" s="6"/>
      <c r="C5" s="6"/>
      <c r="D5" s="6"/>
      <c r="E5" s="6"/>
      <c r="F5" s="24">
        <v>1</v>
      </c>
      <c r="G5" s="6"/>
      <c r="I5" s="13" t="s">
        <v>9</v>
      </c>
      <c r="J5" s="83">
        <v>0.58549571576705473</v>
      </c>
    </row>
    <row r="6" spans="1:10" x14ac:dyDescent="0.45">
      <c r="A6" s="5"/>
      <c r="B6" s="6"/>
      <c r="C6" s="6"/>
      <c r="D6" s="6"/>
      <c r="E6" s="6"/>
      <c r="F6" s="24">
        <v>1</v>
      </c>
      <c r="G6" s="6"/>
      <c r="I6" s="13" t="s">
        <v>12</v>
      </c>
      <c r="J6" s="83">
        <v>1.6622920976271795E-2</v>
      </c>
    </row>
    <row r="7" spans="1:10" x14ac:dyDescent="0.45">
      <c r="A7" s="5"/>
      <c r="B7" s="6"/>
      <c r="C7" s="6"/>
      <c r="D7" s="6"/>
      <c r="E7" s="6"/>
      <c r="F7" s="24">
        <v>1</v>
      </c>
      <c r="G7" s="6"/>
      <c r="I7" s="13" t="s">
        <v>14</v>
      </c>
      <c r="J7" s="83">
        <v>0.67977667317124768</v>
      </c>
    </row>
    <row r="8" spans="1:10" x14ac:dyDescent="0.45">
      <c r="A8" s="5"/>
      <c r="B8" s="6"/>
      <c r="C8" s="6"/>
      <c r="D8" s="6"/>
      <c r="E8" s="6"/>
      <c r="F8" s="24">
        <v>1</v>
      </c>
      <c r="G8" s="6"/>
      <c r="H8" s="21"/>
      <c r="I8" s="81"/>
      <c r="J8" s="82"/>
    </row>
    <row r="9" spans="1:10" x14ac:dyDescent="0.45">
      <c r="A9" s="5"/>
      <c r="B9" s="6"/>
      <c r="C9" s="6"/>
      <c r="D9" s="6"/>
      <c r="E9" s="6"/>
      <c r="F9" s="24">
        <v>1</v>
      </c>
      <c r="G9" s="6"/>
      <c r="H9" s="21"/>
      <c r="I9" s="81"/>
      <c r="J9" s="82"/>
    </row>
    <row r="10" spans="1:10" x14ac:dyDescent="0.45">
      <c r="A10" s="5"/>
      <c r="B10" s="6"/>
      <c r="C10" s="6"/>
      <c r="D10" s="6"/>
      <c r="E10" s="6"/>
      <c r="F10" s="24">
        <v>1</v>
      </c>
      <c r="G10" s="6"/>
    </row>
    <row r="11" spans="1:10" x14ac:dyDescent="0.45">
      <c r="A11" s="21"/>
      <c r="C11" s="31"/>
      <c r="D11" s="18"/>
      <c r="E11" s="18"/>
      <c r="F11" s="24">
        <v>1</v>
      </c>
      <c r="G11" s="20"/>
    </row>
    <row r="12" spans="1:10" x14ac:dyDescent="0.45">
      <c r="A12" s="21"/>
      <c r="C12" s="31"/>
      <c r="D12" s="19"/>
      <c r="E12" s="19"/>
      <c r="F12" s="24">
        <v>1</v>
      </c>
      <c r="G12" s="20"/>
    </row>
    <row r="13" spans="1:10" x14ac:dyDescent="0.45">
      <c r="A13" s="21"/>
      <c r="C13" s="31"/>
      <c r="D13" s="19"/>
      <c r="E13" s="19"/>
      <c r="F13" s="24">
        <v>1</v>
      </c>
      <c r="G13" s="20"/>
    </row>
    <row r="14" spans="1:10" x14ac:dyDescent="0.45">
      <c r="A14" s="21"/>
      <c r="C14" s="31"/>
      <c r="D14" s="19"/>
      <c r="E14" s="19"/>
      <c r="F14" s="24">
        <v>1</v>
      </c>
      <c r="G14" s="20"/>
    </row>
    <row r="15" spans="1:10" x14ac:dyDescent="0.45">
      <c r="A15" s="3">
        <v>21</v>
      </c>
      <c r="B15" s="4">
        <f>VLOOKUP($A15,TS_Data!$A:$B,2,FALSE)</f>
        <v>46</v>
      </c>
      <c r="C15" s="31"/>
      <c r="D15" s="32">
        <f>B15</f>
        <v>46</v>
      </c>
      <c r="E15" s="33">
        <v>0</v>
      </c>
      <c r="F15" s="24">
        <v>1</v>
      </c>
      <c r="G15" s="20"/>
    </row>
    <row r="16" spans="1:10" x14ac:dyDescent="0.45">
      <c r="A16" s="3">
        <v>22</v>
      </c>
      <c r="B16" s="4">
        <f>VLOOKUP($A16,TS_Data!$A:$B,2,FALSE)</f>
        <v>54</v>
      </c>
      <c r="C16" s="31"/>
      <c r="D16" s="9">
        <f>$J$5*B16/F4+(1-$J$5)*(D15+E15)</f>
        <v>50.683965726136435</v>
      </c>
      <c r="E16" s="9">
        <f>$J$6*(D16-D15)+(1-$J$6)*E15</f>
        <v>7.7861192121131503E-2</v>
      </c>
      <c r="F16" s="25">
        <f>$J$7*B16/D16+(1-$J$7)*F4</f>
        <v>1.0444748692118697</v>
      </c>
      <c r="G16" s="20"/>
    </row>
    <row r="17" spans="1:7" x14ac:dyDescent="0.45">
      <c r="A17" s="3">
        <v>23</v>
      </c>
      <c r="B17" s="4">
        <f>VLOOKUP($A17,TS_Data!$A:$B,2,FALSE)</f>
        <v>61</v>
      </c>
      <c r="C17" s="31"/>
      <c r="D17" s="9">
        <f>$J$5*B17/F5+(1-$J$5)*(D16+E16)</f>
        <v>56.756233394899347</v>
      </c>
      <c r="E17" s="9">
        <f>$J$6*(D17-D16)+(1-$J$6)*E16</f>
        <v>0.17750573728199964</v>
      </c>
      <c r="F17" s="25">
        <f>$J$7*B17/D17+(1-$J$7)*F5</f>
        <v>1.0508281359063871</v>
      </c>
      <c r="G17" s="20"/>
    </row>
    <row r="18" spans="1:7" x14ac:dyDescent="0.45">
      <c r="A18" s="3">
        <v>24</v>
      </c>
      <c r="B18" s="4">
        <f>VLOOKUP($A18,TS_Data!$A:$B,2,FALSE)</f>
        <v>52</v>
      </c>
      <c r="C18" s="31"/>
      <c r="D18" s="9">
        <f>$J$5*B18/F6+(1-$J$5)*(D17+E17)</f>
        <v>54.045056007576903</v>
      </c>
      <c r="E18" s="9">
        <f>$J$6*(D18-D17)+(1-$J$6)*E17</f>
        <v>0.1294873859762101</v>
      </c>
      <c r="F18" s="25">
        <f>$J$7*B18/D18+(1-$J$7)*F6</f>
        <v>0.97427736277885246</v>
      </c>
      <c r="G18" s="20"/>
    </row>
    <row r="19" spans="1:7" x14ac:dyDescent="0.45">
      <c r="A19" s="3">
        <v>25</v>
      </c>
      <c r="B19" s="4">
        <f>VLOOKUP($A19,TS_Data!$A:$B,2,FALSE)</f>
        <v>51</v>
      </c>
      <c r="C19" s="2">
        <f>(D18+E18)*F7</f>
        <v>54.174543393553115</v>
      </c>
      <c r="D19" s="9">
        <f>$J$5*B19/F7+(1-$J$5)*(D18+E18)</f>
        <v>52.315861837111157</v>
      </c>
      <c r="E19" s="9">
        <f>$J$6*(D19-D18)+(1-$J$6)*E18</f>
        <v>9.8590669343421589E-2</v>
      </c>
      <c r="F19" s="25">
        <f>$J$7*B19/D19+(1-$J$7)*F7</f>
        <v>0.98290208455765316</v>
      </c>
      <c r="G19" s="12">
        <f>(B19-C19)^2</f>
        <v>10.077725757551729</v>
      </c>
    </row>
    <row r="20" spans="1:7" x14ac:dyDescent="0.45">
      <c r="A20" s="3">
        <v>26</v>
      </c>
      <c r="B20" s="4">
        <f>VLOOKUP($A20,TS_Data!$A:$B,2,FALSE)</f>
        <v>58</v>
      </c>
      <c r="C20" s="2">
        <f t="shared" ref="C20:C43" si="0">(D19+E19)*F8</f>
        <v>52.41445250645458</v>
      </c>
      <c r="D20" s="9">
        <f t="shared" ref="D20:D42" si="1">$J$5*B20/F8+(1-$J$5)*(D19+E19)</f>
        <v>55.684766634138832</v>
      </c>
      <c r="E20" s="9">
        <f t="shared" ref="E20:E42" si="2">$J$6*(D20-D19)+(1-$J$6)*E19</f>
        <v>0.15295284265550216</v>
      </c>
      <c r="F20" s="25">
        <f t="shared" ref="F20:F42" si="3">$J$7*B20/D20+(1-$J$7)*F8</f>
        <v>1.0282634143984235</v>
      </c>
      <c r="G20" s="12">
        <f t="shared" ref="G20:G42" si="4">(B20-C20)^2</f>
        <v>31.198340802651519</v>
      </c>
    </row>
    <row r="21" spans="1:7" x14ac:dyDescent="0.45">
      <c r="A21" s="3">
        <v>27</v>
      </c>
      <c r="B21" s="4">
        <f>VLOOKUP($A21,TS_Data!$A:$B,2,FALSE)</f>
        <v>52</v>
      </c>
      <c r="C21" s="2">
        <f t="shared" si="0"/>
        <v>55.837719476794334</v>
      </c>
      <c r="D21" s="9">
        <f t="shared" si="1"/>
        <v>53.590751164815472</v>
      </c>
      <c r="E21" s="9">
        <f t="shared" si="2"/>
        <v>0.11560166596929071</v>
      </c>
      <c r="F21" s="25">
        <f t="shared" si="3"/>
        <v>0.97982197466619014</v>
      </c>
      <c r="G21" s="12">
        <f t="shared" si="4"/>
        <v>14.728090782566575</v>
      </c>
    </row>
    <row r="22" spans="1:7" x14ac:dyDescent="0.45">
      <c r="A22" s="3">
        <v>28</v>
      </c>
      <c r="B22" s="4">
        <f>VLOOKUP($A22,TS_Data!$A:$B,2,FALSE)</f>
        <v>62</v>
      </c>
      <c r="C22" s="2">
        <f t="shared" si="0"/>
        <v>53.706352830784766</v>
      </c>
      <c r="D22" s="9">
        <f t="shared" si="1"/>
        <v>58.562247716443842</v>
      </c>
      <c r="E22" s="9">
        <f t="shared" si="2"/>
        <v>0.19632082292268394</v>
      </c>
      <c r="F22" s="25">
        <f t="shared" si="3"/>
        <v>1.039904612640858</v>
      </c>
      <c r="G22" s="12">
        <f t="shared" si="4"/>
        <v>68.784583367431864</v>
      </c>
    </row>
    <row r="23" spans="1:7" x14ac:dyDescent="0.45">
      <c r="A23" s="3">
        <v>29</v>
      </c>
      <c r="B23" s="4">
        <f>VLOOKUP($A23,TS_Data!$A:$B,2,FALSE)</f>
        <v>63</v>
      </c>
      <c r="C23" s="2">
        <f t="shared" si="0"/>
        <v>58.758568539366529</v>
      </c>
      <c r="D23" s="9">
        <f t="shared" si="1"/>
        <v>61.241908488287031</v>
      </c>
      <c r="E23" s="9">
        <f t="shared" si="2"/>
        <v>0.23760118665080832</v>
      </c>
      <c r="F23" s="25">
        <f t="shared" si="3"/>
        <v>1.0195145714505522</v>
      </c>
      <c r="G23" s="12">
        <f t="shared" si="4"/>
        <v>17.989740835251382</v>
      </c>
    </row>
    <row r="24" spans="1:7" x14ac:dyDescent="0.45">
      <c r="A24" s="3">
        <v>30</v>
      </c>
      <c r="B24" s="4">
        <f>VLOOKUP($A24,TS_Data!$A:$B,2,FALSE)</f>
        <v>59</v>
      </c>
      <c r="C24" s="2">
        <f t="shared" si="0"/>
        <v>61.479509674937837</v>
      </c>
      <c r="D24" s="9">
        <f t="shared" si="1"/>
        <v>60.027767383058773</v>
      </c>
      <c r="E24" s="9">
        <f t="shared" si="2"/>
        <v>0.21346898925499089</v>
      </c>
      <c r="F24" s="25">
        <f t="shared" si="3"/>
        <v>0.98836118145138974</v>
      </c>
      <c r="G24" s="12">
        <f t="shared" si="4"/>
        <v>6.14796822811034</v>
      </c>
    </row>
    <row r="25" spans="1:7" x14ac:dyDescent="0.45">
      <c r="A25" s="3">
        <v>31</v>
      </c>
      <c r="B25" s="4">
        <f>VLOOKUP($A25,TS_Data!$A:$B,2,FALSE)</f>
        <v>55</v>
      </c>
      <c r="C25" s="2">
        <f t="shared" si="0"/>
        <v>60.241236372313764</v>
      </c>
      <c r="D25" s="9">
        <f t="shared" si="1"/>
        <v>57.172514931001594</v>
      </c>
      <c r="E25" s="9">
        <f t="shared" si="2"/>
        <v>0.16245787523786778</v>
      </c>
      <c r="F25" s="25">
        <f t="shared" si="3"/>
        <v>0.97416896958278942</v>
      </c>
      <c r="G25" s="12">
        <f t="shared" si="4"/>
        <v>27.470558710464751</v>
      </c>
    </row>
    <row r="26" spans="1:7" x14ac:dyDescent="0.45">
      <c r="A26" s="3">
        <v>32</v>
      </c>
      <c r="B26" s="4">
        <f>VLOOKUP($A26,TS_Data!$A:$B,2,FALSE)</f>
        <v>53</v>
      </c>
      <c r="C26" s="2">
        <f t="shared" si="0"/>
        <v>57.334972806239463</v>
      </c>
      <c r="D26" s="9">
        <f t="shared" si="1"/>
        <v>54.796864800219566</v>
      </c>
      <c r="E26" s="9">
        <f t="shared" si="2"/>
        <v>0.12026710642455629</v>
      </c>
      <c r="F26" s="25">
        <f t="shared" si="3"/>
        <v>0.97770918499653137</v>
      </c>
      <c r="G26" s="12">
        <f t="shared" si="4"/>
        <v>18.791989230835647</v>
      </c>
    </row>
    <row r="27" spans="1:7" x14ac:dyDescent="0.45">
      <c r="A27" s="3">
        <v>33</v>
      </c>
      <c r="B27" s="4">
        <f>VLOOKUP($A27,TS_Data!$A:$B,2,FALSE)</f>
        <v>48</v>
      </c>
      <c r="C27" s="2">
        <f t="shared" si="0"/>
        <v>54.917131906644123</v>
      </c>
      <c r="D27" s="9">
        <f t="shared" si="1"/>
        <v>50.86718080990839</v>
      </c>
      <c r="E27" s="9">
        <f t="shared" si="2"/>
        <v>5.2945089385752916E-2</v>
      </c>
      <c r="F27" s="25">
        <f t="shared" si="3"/>
        <v>0.96168369071556026</v>
      </c>
      <c r="G27" s="12">
        <f t="shared" si="4"/>
        <v>47.846713813914157</v>
      </c>
    </row>
    <row r="28" spans="1:7" x14ac:dyDescent="0.45">
      <c r="A28" s="3">
        <v>34</v>
      </c>
      <c r="B28" s="4">
        <f>VLOOKUP($A28,TS_Data!$A:$B,2,FALSE)</f>
        <v>60</v>
      </c>
      <c r="C28" s="2">
        <f t="shared" si="0"/>
        <v>53.184791838917185</v>
      </c>
      <c r="D28" s="9">
        <f t="shared" si="1"/>
        <v>54.740490848223544</v>
      </c>
      <c r="E28" s="9">
        <f t="shared" si="2"/>
        <v>0.11645071403232499</v>
      </c>
      <c r="F28" s="25">
        <f t="shared" si="3"/>
        <v>1.0795553647244498</v>
      </c>
      <c r="G28" s="12">
        <f t="shared" si="4"/>
        <v>46.447062278889803</v>
      </c>
    </row>
    <row r="29" spans="1:7" x14ac:dyDescent="0.45">
      <c r="A29" s="3">
        <v>35</v>
      </c>
      <c r="B29" s="4">
        <f>VLOOKUP($A29,TS_Data!$A:$B,2,FALSE)</f>
        <v>65</v>
      </c>
      <c r="C29" s="2">
        <f t="shared" si="0"/>
        <v>57.64521764339095</v>
      </c>
      <c r="D29" s="9">
        <f t="shared" si="1"/>
        <v>58.954846265273204</v>
      </c>
      <c r="E29" s="9">
        <f t="shared" si="2"/>
        <v>0.18456986007887469</v>
      </c>
      <c r="F29" s="25">
        <f t="shared" si="3"/>
        <v>1.085979776206992</v>
      </c>
      <c r="G29" s="12">
        <f t="shared" si="4"/>
        <v>54.092823513087772</v>
      </c>
    </row>
    <row r="30" spans="1:7" x14ac:dyDescent="0.45">
      <c r="A30" s="3">
        <v>36</v>
      </c>
      <c r="B30" s="4">
        <f>VLOOKUP($A30,TS_Data!$A:$B,2,FALSE)</f>
        <v>49</v>
      </c>
      <c r="C30" s="2">
        <f t="shared" si="0"/>
        <v>57.618194378889164</v>
      </c>
      <c r="D30" s="9">
        <f t="shared" si="1"/>
        <v>53.960279178050683</v>
      </c>
      <c r="E30" s="9">
        <f t="shared" si="2"/>
        <v>9.8477475878594053E-2</v>
      </c>
      <c r="F30" s="25">
        <f t="shared" si="3"/>
        <v>0.92927478632454275</v>
      </c>
      <c r="G30" s="12">
        <f t="shared" si="4"/>
        <v>74.27327435231679</v>
      </c>
    </row>
    <row r="31" spans="1:7" x14ac:dyDescent="0.45">
      <c r="A31" s="3">
        <v>37</v>
      </c>
      <c r="B31" s="4">
        <f>VLOOKUP($A31,TS_Data!$A:$B,2,FALSE)</f>
        <v>50</v>
      </c>
      <c r="C31" s="2">
        <f t="shared" si="0"/>
        <v>53.134464603741989</v>
      </c>
      <c r="D31" s="9">
        <f t="shared" si="1"/>
        <v>52.191616858880074</v>
      </c>
      <c r="E31" s="9">
        <f t="shared" si="2"/>
        <v>6.7440158613838841E-2</v>
      </c>
      <c r="F31" s="25">
        <f t="shared" si="3"/>
        <v>0.96597984261971281</v>
      </c>
      <c r="G31" s="12">
        <f t="shared" si="4"/>
        <v>9.8248683521114248</v>
      </c>
    </row>
    <row r="32" spans="1:7" x14ac:dyDescent="0.45">
      <c r="A32" s="3">
        <v>38</v>
      </c>
      <c r="B32" s="4">
        <f>VLOOKUP($A32,TS_Data!$A:$B,2,FALSE)</f>
        <v>51</v>
      </c>
      <c r="C32" s="2">
        <f t="shared" si="0"/>
        <v>53.736076402050188</v>
      </c>
      <c r="D32" s="9">
        <f t="shared" si="1"/>
        <v>50.701128388525888</v>
      </c>
      <c r="E32" s="9">
        <f t="shared" si="2"/>
        <v>4.1542834127831885E-2</v>
      </c>
      <c r="F32" s="25">
        <f t="shared" si="3"/>
        <v>1.0130577333466582</v>
      </c>
      <c r="G32" s="12">
        <f t="shared" si="4"/>
        <v>7.4861140778558992</v>
      </c>
    </row>
    <row r="33" spans="1:7" x14ac:dyDescent="0.45">
      <c r="A33" s="3">
        <v>39</v>
      </c>
      <c r="B33" s="4">
        <f>VLOOKUP($A33,TS_Data!$A:$B,2,FALSE)</f>
        <v>60</v>
      </c>
      <c r="C33" s="2">
        <f t="shared" si="0"/>
        <v>49.718784317217825</v>
      </c>
      <c r="D33" s="9">
        <f t="shared" si="1"/>
        <v>56.886244127514118</v>
      </c>
      <c r="E33" s="9">
        <f t="shared" si="2"/>
        <v>0.14366696103729085</v>
      </c>
      <c r="F33" s="25">
        <f t="shared" si="3"/>
        <v>1.0307471450203898</v>
      </c>
      <c r="G33" s="12">
        <f t="shared" si="4"/>
        <v>105.70339591588615</v>
      </c>
    </row>
    <row r="34" spans="1:7" x14ac:dyDescent="0.45">
      <c r="A34" s="3">
        <v>40</v>
      </c>
      <c r="B34" s="4">
        <f>VLOOKUP($A34,TS_Data!$A:$B,2,FALSE)</f>
        <v>66</v>
      </c>
      <c r="C34" s="2">
        <f t="shared" si="0"/>
        <v>59.305667599482625</v>
      </c>
      <c r="D34" s="9">
        <f t="shared" si="1"/>
        <v>60.799009612376452</v>
      </c>
      <c r="E34" s="9">
        <f t="shared" si="2"/>
        <v>0.20632038795061722</v>
      </c>
      <c r="F34" s="25">
        <f t="shared" si="3"/>
        <v>1.0709292025318122</v>
      </c>
      <c r="G34" s="12">
        <f t="shared" si="4"/>
        <v>44.814086288616721</v>
      </c>
    </row>
    <row r="35" spans="1:7" x14ac:dyDescent="0.45">
      <c r="A35" s="3">
        <v>41</v>
      </c>
      <c r="B35" s="4">
        <f>VLOOKUP($A35,TS_Data!$A:$B,2,FALSE)</f>
        <v>65</v>
      </c>
      <c r="C35" s="2">
        <f t="shared" si="0"/>
        <v>62.195822871482974</v>
      </c>
      <c r="D35" s="9">
        <f t="shared" si="1"/>
        <v>62.615737287260401</v>
      </c>
      <c r="E35" s="9">
        <f t="shared" si="2"/>
        <v>0.23309006102092228</v>
      </c>
      <c r="F35" s="25">
        <f t="shared" si="3"/>
        <v>1.0321333472815333</v>
      </c>
      <c r="G35" s="12">
        <f t="shared" si="4"/>
        <v>7.8634093680979911</v>
      </c>
    </row>
    <row r="36" spans="1:7" x14ac:dyDescent="0.45">
      <c r="A36" s="3">
        <v>42</v>
      </c>
      <c r="B36" s="4">
        <f>VLOOKUP($A36,TS_Data!$A:$B,2,FALSE)</f>
        <v>52</v>
      </c>
      <c r="C36" s="2">
        <f t="shared" si="0"/>
        <v>62.117341250781742</v>
      </c>
      <c r="D36" s="9">
        <f t="shared" si="1"/>
        <v>56.855411106875302</v>
      </c>
      <c r="E36" s="9">
        <f t="shared" si="2"/>
        <v>0.13346197646212604</v>
      </c>
      <c r="F36" s="25">
        <f t="shared" si="3"/>
        <v>0.9382205411405804</v>
      </c>
      <c r="G36" s="12">
        <f t="shared" si="4"/>
        <v>102.36059398476986</v>
      </c>
    </row>
    <row r="37" spans="1:7" x14ac:dyDescent="0.45">
      <c r="A37" s="3">
        <v>43</v>
      </c>
      <c r="B37" s="4">
        <f>VLOOKUP($A37,TS_Data!$A:$B,2,FALSE)</f>
        <v>58</v>
      </c>
      <c r="C37" s="2">
        <f t="shared" si="0"/>
        <v>55.516791769279187</v>
      </c>
      <c r="D37" s="9">
        <f t="shared" si="1"/>
        <v>58.48133263177408</v>
      </c>
      <c r="E37" s="9">
        <f t="shared" si="2"/>
        <v>0.15827101359607079</v>
      </c>
      <c r="F37" s="25">
        <f t="shared" si="3"/>
        <v>0.98613337607448281</v>
      </c>
      <c r="G37" s="12">
        <f t="shared" si="4"/>
        <v>6.166323117119588</v>
      </c>
    </row>
    <row r="38" spans="1:7" x14ac:dyDescent="0.45">
      <c r="A38" s="3">
        <v>44</v>
      </c>
      <c r="B38" s="4">
        <f>VLOOKUP($A38,TS_Data!$A:$B,2,FALSE)</f>
        <v>71</v>
      </c>
      <c r="C38" s="2">
        <f t="shared" si="0"/>
        <v>57.332479088634479</v>
      </c>
      <c r="D38" s="9">
        <f t="shared" si="1"/>
        <v>66.824322641120943</v>
      </c>
      <c r="E38" s="9">
        <f t="shared" si="2"/>
        <v>0.29432495067542686</v>
      </c>
      <c r="F38" s="25">
        <f t="shared" si="3"/>
        <v>1.0353394296102494</v>
      </c>
      <c r="G38" s="12">
        <f t="shared" si="4"/>
        <v>186.80112786261381</v>
      </c>
    </row>
    <row r="39" spans="1:7" x14ac:dyDescent="0.45">
      <c r="A39" s="3">
        <v>45</v>
      </c>
      <c r="B39" s="4">
        <f>VLOOKUP($A39,TS_Data!$A:$B,2,FALSE)</f>
        <v>74</v>
      </c>
      <c r="C39" s="2">
        <f t="shared" si="0"/>
        <v>64.546908731915792</v>
      </c>
      <c r="D39" s="9">
        <f t="shared" si="1"/>
        <v>72.873912541854978</v>
      </c>
      <c r="E39" s="9">
        <f t="shared" si="2"/>
        <v>0.38999426513775792</v>
      </c>
      <c r="F39" s="25">
        <f t="shared" si="3"/>
        <v>0.99823450402351255</v>
      </c>
      <c r="G39" s="12">
        <f t="shared" si="4"/>
        <v>89.360934522729892</v>
      </c>
    </row>
    <row r="40" spans="1:7" x14ac:dyDescent="0.45">
      <c r="A40" s="3">
        <v>46</v>
      </c>
      <c r="B40" s="4">
        <f>VLOOKUP($A40,TS_Data!$A:$B,2,FALSE)</f>
        <v>79</v>
      </c>
      <c r="C40" s="2">
        <f t="shared" si="0"/>
        <v>79.092443634161143</v>
      </c>
      <c r="D40" s="9">
        <f t="shared" si="1"/>
        <v>73.213770099307439</v>
      </c>
      <c r="E40" s="9">
        <f t="shared" si="2"/>
        <v>0.38916084660789474</v>
      </c>
      <c r="F40" s="25">
        <f t="shared" si="3"/>
        <v>1.0791995863715131</v>
      </c>
      <c r="G40" s="12">
        <f t="shared" si="4"/>
        <v>8.5458254969191603E-3</v>
      </c>
    </row>
    <row r="41" spans="1:7" x14ac:dyDescent="0.45">
      <c r="A41" s="3">
        <v>47</v>
      </c>
      <c r="B41" s="4">
        <f>VLOOKUP($A41,TS_Data!$A:$B,2,FALSE)</f>
        <v>73</v>
      </c>
      <c r="C41" s="2">
        <f t="shared" si="0"/>
        <v>79.931294476823822</v>
      </c>
      <c r="D41" s="9">
        <f t="shared" si="1"/>
        <v>69.865989144775682</v>
      </c>
      <c r="E41" s="9">
        <f t="shared" si="2"/>
        <v>0.32704195835462352</v>
      </c>
      <c r="F41" s="25">
        <f t="shared" si="3"/>
        <v>1.0580257853094299</v>
      </c>
      <c r="G41" s="12">
        <f t="shared" si="4"/>
        <v>48.042843124448424</v>
      </c>
    </row>
    <row r="42" spans="1:7" x14ac:dyDescent="0.45">
      <c r="A42" s="3">
        <v>48</v>
      </c>
      <c r="B42" s="4">
        <f>VLOOKUP($A42,TS_Data!$A:$B,2,FALSE)</f>
        <v>69</v>
      </c>
      <c r="C42" s="2">
        <f t="shared" si="0"/>
        <v>65.228613979833398</v>
      </c>
      <c r="D42" s="9">
        <f t="shared" si="1"/>
        <v>72.56921777020311</v>
      </c>
      <c r="E42" s="9">
        <f t="shared" si="2"/>
        <v>0.36654112154624541</v>
      </c>
      <c r="F42" s="25">
        <f t="shared" si="3"/>
        <v>0.94391825040564814</v>
      </c>
      <c r="G42" s="12">
        <f t="shared" si="4"/>
        <v>14.223352513108084</v>
      </c>
    </row>
    <row r="43" spans="1:7" x14ac:dyDescent="0.45">
      <c r="A43" s="3">
        <v>49</v>
      </c>
      <c r="C43" s="2">
        <f t="shared" si="0"/>
        <v>70.45447289560137</v>
      </c>
      <c r="D43" s="19"/>
      <c r="E43" s="19"/>
      <c r="F43" s="80"/>
      <c r="G43" s="20"/>
    </row>
  </sheetData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shapeId="25601" r:id="rId4">
          <objectPr defaultSize="0" autoPict="0" r:id="rId5">
            <anchor moveWithCells="1">
              <from>
                <xdr:col>10</xdr:col>
                <xdr:colOff>276225</xdr:colOff>
                <xdr:row>0</xdr:row>
                <xdr:rowOff>152400</xdr:rowOff>
              </from>
              <to>
                <xdr:col>13</xdr:col>
                <xdr:colOff>628650</xdr:colOff>
                <xdr:row>9</xdr:row>
                <xdr:rowOff>19050</xdr:rowOff>
              </to>
            </anchor>
          </objectPr>
        </oleObject>
      </mc:Choice>
      <mc:Fallback>
        <oleObject shapeId="25601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51036-CB8A-42BC-A127-E7A31229ADE8}">
  <dimension ref="A1:O47"/>
  <sheetViews>
    <sheetView zoomScaleNormal="100" workbookViewId="0">
      <selection activeCell="J14" sqref="J14"/>
    </sheetView>
  </sheetViews>
  <sheetFormatPr defaultColWidth="9" defaultRowHeight="14.25" x14ac:dyDescent="0.45"/>
  <cols>
    <col min="1" max="1" width="7.86328125" customWidth="1"/>
    <col min="3" max="3" width="13.1328125" customWidth="1"/>
    <col min="4" max="4" width="11.59765625" bestFit="1" customWidth="1"/>
    <col min="5" max="6" width="9.73046875" customWidth="1"/>
    <col min="7" max="7" width="13.265625" customWidth="1"/>
    <col min="8" max="11" width="9" customWidth="1"/>
  </cols>
  <sheetData>
    <row r="1" spans="1:15" ht="14.65" thickBot="1" x14ac:dyDescent="0.5">
      <c r="A1" s="7" t="s">
        <v>75</v>
      </c>
      <c r="M1" s="62" t="s">
        <v>76</v>
      </c>
      <c r="N1" s="62" t="s">
        <v>77</v>
      </c>
      <c r="O1" s="62" t="s">
        <v>78</v>
      </c>
    </row>
    <row r="2" spans="1:15" ht="14.65" thickBot="1" x14ac:dyDescent="0.5">
      <c r="B2" s="5" t="s">
        <v>0</v>
      </c>
      <c r="C2" s="16" t="s">
        <v>79</v>
      </c>
      <c r="D2" s="6" t="s">
        <v>92</v>
      </c>
      <c r="E2" s="63" t="s">
        <v>61</v>
      </c>
      <c r="F2" s="5" t="s">
        <v>80</v>
      </c>
      <c r="G2" s="63" t="s">
        <v>81</v>
      </c>
      <c r="H2" s="5" t="s">
        <v>82</v>
      </c>
      <c r="I2" s="15" t="s">
        <v>13</v>
      </c>
      <c r="J2" s="34">
        <f>AVERAGE(H12:H35)</f>
        <v>27.189208395160531</v>
      </c>
      <c r="K2" s="5"/>
      <c r="M2" s="64">
        <v>1</v>
      </c>
      <c r="N2" s="25">
        <f>AVERAGE(F12,F24)</f>
        <v>0.91093469199016919</v>
      </c>
      <c r="O2" s="25">
        <f>1/$N$14*N2</f>
        <v>0.91180968664601347</v>
      </c>
    </row>
    <row r="3" spans="1:15" ht="14.65" thickBot="1" x14ac:dyDescent="0.5">
      <c r="A3" s="5" t="s">
        <v>83</v>
      </c>
      <c r="B3" s="6" t="s">
        <v>2</v>
      </c>
      <c r="C3" s="6" t="s">
        <v>84</v>
      </c>
      <c r="D3" s="6"/>
      <c r="E3" s="65" t="s">
        <v>85</v>
      </c>
      <c r="F3" s="6" t="s">
        <v>86</v>
      </c>
      <c r="G3" s="65" t="s">
        <v>87</v>
      </c>
      <c r="H3" s="6"/>
      <c r="I3" s="85" t="s">
        <v>88</v>
      </c>
      <c r="J3" s="86">
        <f>SQRT(J2)</f>
        <v>5.2143272236368645</v>
      </c>
      <c r="K3" s="6"/>
      <c r="M3" s="64">
        <v>2</v>
      </c>
      <c r="N3" s="25">
        <f t="shared" ref="N3:N13" si="0">AVERAGE(F13,F25)</f>
        <v>0.97214123744735992</v>
      </c>
      <c r="O3" s="25">
        <f t="shared" ref="O3:O13" si="1">1/$N$14*N3</f>
        <v>0.97307502380435318</v>
      </c>
    </row>
    <row r="4" spans="1:15" x14ac:dyDescent="0.45">
      <c r="A4" s="3">
        <v>17</v>
      </c>
      <c r="B4" s="4">
        <f>VLOOKUP($A4,TS_Data!$A:$B,2,FALSE)</f>
        <v>48</v>
      </c>
      <c r="C4" s="31"/>
      <c r="D4" s="18"/>
      <c r="E4" s="20"/>
      <c r="F4" s="18"/>
      <c r="G4" s="66"/>
      <c r="H4" s="20"/>
      <c r="I4" t="s">
        <v>91</v>
      </c>
      <c r="J4" s="20"/>
      <c r="K4" s="20"/>
      <c r="M4" s="64">
        <v>3</v>
      </c>
      <c r="N4" s="25">
        <f t="shared" si="0"/>
        <v>0.97624069321271567</v>
      </c>
      <c r="O4" s="25">
        <f t="shared" si="1"/>
        <v>0.97717841728546184</v>
      </c>
    </row>
    <row r="5" spans="1:15" x14ac:dyDescent="0.45">
      <c r="A5" s="3">
        <v>18</v>
      </c>
      <c r="B5" s="4">
        <f>VLOOKUP($A5,TS_Data!$A:$B,2,FALSE)</f>
        <v>55</v>
      </c>
      <c r="C5" s="31"/>
      <c r="D5" s="19"/>
      <c r="E5" s="20"/>
      <c r="F5" s="19"/>
      <c r="G5" s="66"/>
      <c r="H5" s="20"/>
      <c r="I5" s="20"/>
      <c r="J5" s="20"/>
      <c r="K5" s="20"/>
      <c r="M5" s="64">
        <v>4</v>
      </c>
      <c r="N5" s="25">
        <f t="shared" si="0"/>
        <v>1.0964908791010384</v>
      </c>
      <c r="O5" s="25">
        <f t="shared" si="1"/>
        <v>1.097544109006356</v>
      </c>
    </row>
    <row r="6" spans="1:15" x14ac:dyDescent="0.45">
      <c r="A6" s="3">
        <v>19</v>
      </c>
      <c r="B6" s="4">
        <f>VLOOKUP($A6,TS_Data!$A:$B,2,FALSE)</f>
        <v>52</v>
      </c>
      <c r="C6" s="31"/>
      <c r="D6" s="19"/>
      <c r="E6" s="20"/>
      <c r="F6" s="19"/>
      <c r="G6" s="66"/>
      <c r="H6" s="20"/>
      <c r="I6" s="20"/>
      <c r="J6" s="20"/>
      <c r="K6" s="20"/>
      <c r="M6" s="64">
        <v>5</v>
      </c>
      <c r="N6" s="25">
        <f t="shared" si="0"/>
        <v>1.0833651460202329</v>
      </c>
      <c r="O6" s="25">
        <f t="shared" si="1"/>
        <v>1.0844057680554138</v>
      </c>
    </row>
    <row r="7" spans="1:15" x14ac:dyDescent="0.45">
      <c r="A7" s="3">
        <v>20</v>
      </c>
      <c r="B7" s="4">
        <f>VLOOKUP($A7,TS_Data!$A:$B,2,FALSE)</f>
        <v>44</v>
      </c>
      <c r="C7" s="31"/>
      <c r="D7" s="19"/>
      <c r="E7" s="20"/>
      <c r="F7" s="19"/>
      <c r="G7" s="66"/>
      <c r="H7" s="20"/>
      <c r="I7" s="20"/>
      <c r="J7" s="20"/>
      <c r="K7" s="20"/>
      <c r="M7" s="64">
        <v>6</v>
      </c>
      <c r="N7" s="25">
        <f t="shared" si="0"/>
        <v>0.93489109513306701</v>
      </c>
      <c r="O7" s="25">
        <f t="shared" si="1"/>
        <v>0.93578910101562995</v>
      </c>
    </row>
    <row r="8" spans="1:15" x14ac:dyDescent="0.45">
      <c r="A8" s="3">
        <v>21</v>
      </c>
      <c r="B8" s="4">
        <f>VLOOKUP($A8,TS_Data!$A:$B,2,FALSE)</f>
        <v>46</v>
      </c>
      <c r="C8" s="31"/>
      <c r="D8" s="19"/>
      <c r="E8" s="20"/>
      <c r="F8" s="19"/>
      <c r="G8" s="66"/>
      <c r="H8" s="20"/>
      <c r="I8" s="20"/>
      <c r="J8" s="20"/>
      <c r="K8" s="20"/>
      <c r="M8" s="64">
        <v>7</v>
      </c>
      <c r="N8" s="25">
        <f t="shared" si="0"/>
        <v>0.94002849932976651</v>
      </c>
      <c r="O8" s="25">
        <f t="shared" si="1"/>
        <v>0.94093143992527484</v>
      </c>
    </row>
    <row r="9" spans="1:15" x14ac:dyDescent="0.45">
      <c r="A9" s="3">
        <v>22</v>
      </c>
      <c r="B9" s="4">
        <f>VLOOKUP($A9,TS_Data!$A:$B,2,FALSE)</f>
        <v>54</v>
      </c>
      <c r="C9" s="31"/>
      <c r="D9" s="19"/>
      <c r="E9" s="20"/>
      <c r="F9" s="19"/>
      <c r="G9" s="66"/>
      <c r="H9" s="20"/>
      <c r="I9" s="20"/>
      <c r="J9" s="20"/>
      <c r="K9" s="20"/>
      <c r="M9" s="64">
        <v>8</v>
      </c>
      <c r="N9" s="25">
        <f t="shared" si="0"/>
        <v>1.0148820677046071</v>
      </c>
      <c r="O9" s="25">
        <f t="shared" si="1"/>
        <v>1.0158569085942581</v>
      </c>
    </row>
    <row r="10" spans="1:15" x14ac:dyDescent="0.45">
      <c r="A10" s="3">
        <v>23</v>
      </c>
      <c r="B10" s="4">
        <f>VLOOKUP($A10,TS_Data!$A:$B,2,FALSE)</f>
        <v>61</v>
      </c>
      <c r="C10" s="31"/>
      <c r="D10" s="19"/>
      <c r="E10" s="20"/>
      <c r="F10" s="19"/>
      <c r="G10" s="19"/>
      <c r="H10" s="20"/>
      <c r="I10" s="31"/>
      <c r="J10" s="31"/>
      <c r="K10" s="31"/>
      <c r="M10" s="64">
        <v>9</v>
      </c>
      <c r="N10" s="25">
        <f t="shared" si="0"/>
        <v>0.97567167258970544</v>
      </c>
      <c r="O10" s="25">
        <f t="shared" si="1"/>
        <v>0.97660885009198006</v>
      </c>
    </row>
    <row r="11" spans="1:15" ht="14.65" thickBot="1" x14ac:dyDescent="0.5">
      <c r="A11" s="3">
        <v>24</v>
      </c>
      <c r="B11" s="4">
        <f>VLOOKUP($A11,TS_Data!$A:$B,2,FALSE)</f>
        <v>52</v>
      </c>
      <c r="C11" s="31"/>
      <c r="D11" s="19"/>
      <c r="E11" s="20"/>
      <c r="F11" s="19"/>
      <c r="G11" s="19"/>
      <c r="H11" s="20"/>
      <c r="I11" s="31"/>
      <c r="J11" s="31"/>
      <c r="K11" s="31"/>
      <c r="M11" s="64">
        <v>10</v>
      </c>
      <c r="N11" s="25">
        <f t="shared" si="0"/>
        <v>1.0984044971795508</v>
      </c>
      <c r="O11" s="25">
        <f t="shared" si="1"/>
        <v>1.0994595652030197</v>
      </c>
    </row>
    <row r="12" spans="1:15" x14ac:dyDescent="0.45">
      <c r="A12" s="3">
        <v>25</v>
      </c>
      <c r="B12" s="4">
        <f>VLOOKUP($A12,TS_Data!$A:$B,2,FALSE)</f>
        <v>51</v>
      </c>
      <c r="C12" s="2">
        <f t="shared" ref="C12:C26" si="2">E12*G12</f>
        <v>47.162900136921714</v>
      </c>
      <c r="D12" s="9">
        <f t="shared" ref="D12:D26" si="3">(SUM(B7:B17)+0.5*B6+0.5*B18)/12</f>
        <v>54.625</v>
      </c>
      <c r="E12" s="67">
        <f>33.492+0.7293*A12</f>
        <v>51.724499999999992</v>
      </c>
      <c r="F12" s="25">
        <f t="shared" ref="F12:F26" si="4">B12/D12</f>
        <v>0.93363844393592677</v>
      </c>
      <c r="G12" s="87">
        <f>O2</f>
        <v>0.91180968664601347</v>
      </c>
      <c r="H12" s="12">
        <f>(B12-C12)^2</f>
        <v>14.723335359235405</v>
      </c>
      <c r="I12" s="31"/>
      <c r="J12" s="31"/>
      <c r="K12" s="31"/>
      <c r="M12" s="64">
        <v>11</v>
      </c>
      <c r="N12" s="25">
        <f t="shared" si="0"/>
        <v>1.083424638772855</v>
      </c>
      <c r="O12" s="25">
        <f t="shared" si="1"/>
        <v>1.0844653179535602</v>
      </c>
    </row>
    <row r="13" spans="1:15" x14ac:dyDescent="0.45">
      <c r="A13" s="3">
        <v>26</v>
      </c>
      <c r="B13" s="4">
        <f>VLOOKUP($A13,TS_Data!$A:$B,2,FALSE)</f>
        <v>58</v>
      </c>
      <c r="C13" s="2">
        <f t="shared" si="2"/>
        <v>51.041482683628779</v>
      </c>
      <c r="D13" s="9">
        <f t="shared" si="3"/>
        <v>55.125</v>
      </c>
      <c r="E13" s="67">
        <f t="shared" ref="E13:E41" si="5">33.492+0.7293*A13</f>
        <v>52.453800000000001</v>
      </c>
      <c r="F13" s="25">
        <f t="shared" si="4"/>
        <v>1.0521541950113378</v>
      </c>
      <c r="G13" s="88">
        <f t="shared" ref="G13:G23" si="6">O3</f>
        <v>0.97307502380435318</v>
      </c>
      <c r="H13" s="12">
        <f t="shared" ref="H13:H26" si="7">(B13-C13)^2</f>
        <v>48.420963242238145</v>
      </c>
      <c r="I13" s="31"/>
      <c r="J13" s="31"/>
      <c r="K13" s="31"/>
      <c r="M13" s="64">
        <v>12</v>
      </c>
      <c r="N13" s="25">
        <f t="shared" si="0"/>
        <v>0.90200939092488719</v>
      </c>
      <c r="O13" s="25">
        <f t="shared" si="1"/>
        <v>0.90287581241867865</v>
      </c>
    </row>
    <row r="14" spans="1:15" x14ac:dyDescent="0.45">
      <c r="A14" s="3">
        <v>27</v>
      </c>
      <c r="B14" s="4">
        <f>VLOOKUP($A14,TS_Data!$A:$B,2,FALSE)</f>
        <v>52</v>
      </c>
      <c r="C14" s="2">
        <f t="shared" si="2"/>
        <v>51.969377484334444</v>
      </c>
      <c r="D14" s="9">
        <f t="shared" si="3"/>
        <v>55.583333333333336</v>
      </c>
      <c r="E14" s="67">
        <f t="shared" si="5"/>
        <v>53.183099999999996</v>
      </c>
      <c r="F14" s="25">
        <f t="shared" si="4"/>
        <v>0.9355322338830584</v>
      </c>
      <c r="G14" s="88">
        <f t="shared" si="6"/>
        <v>0.97717841728546184</v>
      </c>
      <c r="H14" s="12">
        <f t="shared" si="7"/>
        <v>9.377384656872066E-4</v>
      </c>
      <c r="I14" s="31"/>
      <c r="J14" s="31"/>
      <c r="K14" s="31"/>
      <c r="N14" s="80">
        <f>AVERAGE(N2:N13)</f>
        <v>0.99904037578382965</v>
      </c>
      <c r="O14" s="80">
        <f>AVERAGE(O2:O13)</f>
        <v>1</v>
      </c>
    </row>
    <row r="15" spans="1:15" x14ac:dyDescent="0.45">
      <c r="A15" s="3">
        <v>28</v>
      </c>
      <c r="B15" s="4">
        <f>VLOOKUP($A15,TS_Data!$A:$B,2,FALSE)</f>
        <v>62</v>
      </c>
      <c r="C15" s="2">
        <f t="shared" si="2"/>
        <v>59.171237022394259</v>
      </c>
      <c r="D15" s="9">
        <f t="shared" si="3"/>
        <v>55.916666666666664</v>
      </c>
      <c r="E15" s="67">
        <f t="shared" si="5"/>
        <v>53.912399999999991</v>
      </c>
      <c r="F15" s="25">
        <f t="shared" si="4"/>
        <v>1.1087928464977646</v>
      </c>
      <c r="G15" s="88">
        <f t="shared" si="6"/>
        <v>1.097544109006356</v>
      </c>
      <c r="H15" s="12">
        <f t="shared" si="7"/>
        <v>8.0018999834729012</v>
      </c>
      <c r="I15" s="31"/>
      <c r="J15" s="31"/>
      <c r="K15" s="31"/>
    </row>
    <row r="16" spans="1:15" x14ac:dyDescent="0.45">
      <c r="A16" s="3">
        <v>29</v>
      </c>
      <c r="B16" s="4">
        <f>VLOOKUP($A16,TS_Data!$A:$B,2,FALSE)</f>
        <v>63</v>
      </c>
      <c r="C16" s="2">
        <f t="shared" si="2"/>
        <v>59.253774656353507</v>
      </c>
      <c r="D16" s="9">
        <f t="shared" si="3"/>
        <v>56.333333333333336</v>
      </c>
      <c r="E16" s="67">
        <f t="shared" si="5"/>
        <v>54.6417</v>
      </c>
      <c r="F16" s="25">
        <f t="shared" si="4"/>
        <v>1.1183431952662721</v>
      </c>
      <c r="G16" s="88">
        <f t="shared" si="6"/>
        <v>1.0844057680554138</v>
      </c>
      <c r="H16" s="12">
        <f t="shared" si="7"/>
        <v>14.034204325379287</v>
      </c>
      <c r="I16" s="31"/>
      <c r="J16" s="31"/>
      <c r="K16" s="31"/>
    </row>
    <row r="17" spans="1:11" x14ac:dyDescent="0.45">
      <c r="A17" s="3">
        <v>30</v>
      </c>
      <c r="B17" s="4">
        <f>VLOOKUP($A17,TS_Data!$A:$B,2,FALSE)</f>
        <v>59</v>
      </c>
      <c r="C17" s="2">
        <f t="shared" si="2"/>
        <v>51.815578312336442</v>
      </c>
      <c r="D17" s="9">
        <f t="shared" si="3"/>
        <v>56.375</v>
      </c>
      <c r="E17" s="67">
        <f t="shared" si="5"/>
        <v>55.370999999999995</v>
      </c>
      <c r="F17" s="25">
        <f t="shared" si="4"/>
        <v>1.0465631929046564</v>
      </c>
      <c r="G17" s="88">
        <f t="shared" si="6"/>
        <v>0.93578910101562995</v>
      </c>
      <c r="H17" s="12">
        <f t="shared" si="7"/>
        <v>51.615914986170495</v>
      </c>
      <c r="I17" s="31"/>
      <c r="J17" s="31"/>
      <c r="K17" s="31"/>
    </row>
    <row r="18" spans="1:11" x14ac:dyDescent="0.45">
      <c r="A18" s="3">
        <v>31</v>
      </c>
      <c r="B18" s="4">
        <f>VLOOKUP($A18,TS_Data!$A:$B,2,FALSE)</f>
        <v>55</v>
      </c>
      <c r="C18" s="2">
        <f t="shared" si="2"/>
        <v>52.786536059239893</v>
      </c>
      <c r="D18" s="9">
        <f t="shared" si="3"/>
        <v>56.208333333333336</v>
      </c>
      <c r="E18" s="67">
        <f t="shared" si="5"/>
        <v>56.100299999999997</v>
      </c>
      <c r="F18" s="25">
        <f t="shared" si="4"/>
        <v>0.97850259451445509</v>
      </c>
      <c r="G18" s="88">
        <f t="shared" si="6"/>
        <v>0.94093143992527484</v>
      </c>
      <c r="H18" s="12">
        <f t="shared" si="7"/>
        <v>4.8994226170452633</v>
      </c>
      <c r="I18" s="31"/>
      <c r="J18" s="31"/>
      <c r="K18" s="31"/>
    </row>
    <row r="19" spans="1:11" x14ac:dyDescent="0.45">
      <c r="A19" s="3">
        <v>32</v>
      </c>
      <c r="B19" s="4">
        <f>VLOOKUP($A19,TS_Data!$A:$B,2,FALSE)</f>
        <v>53</v>
      </c>
      <c r="C19" s="2">
        <f t="shared" si="2"/>
        <v>57.730741772648251</v>
      </c>
      <c r="D19" s="9">
        <f t="shared" si="3"/>
        <v>55.875</v>
      </c>
      <c r="E19" s="67">
        <f t="shared" si="5"/>
        <v>56.829599999999999</v>
      </c>
      <c r="F19" s="25">
        <f t="shared" si="4"/>
        <v>0.94854586129753915</v>
      </c>
      <c r="G19" s="88">
        <f t="shared" si="6"/>
        <v>1.0158569085942581</v>
      </c>
      <c r="H19" s="12">
        <f t="shared" si="7"/>
        <v>22.379917719479117</v>
      </c>
      <c r="I19" s="31"/>
      <c r="J19" s="31"/>
      <c r="K19" s="31"/>
    </row>
    <row r="20" spans="1:11" x14ac:dyDescent="0.45">
      <c r="A20" s="3">
        <v>33</v>
      </c>
      <c r="B20" s="4">
        <f>VLOOKUP($A20,TS_Data!$A:$B,2,FALSE)</f>
        <v>48</v>
      </c>
      <c r="C20" s="2">
        <f t="shared" si="2"/>
        <v>56.212531141559268</v>
      </c>
      <c r="D20" s="9">
        <f t="shared" si="3"/>
        <v>55.916666666666664</v>
      </c>
      <c r="E20" s="67">
        <f t="shared" si="5"/>
        <v>57.558899999999994</v>
      </c>
      <c r="F20" s="25">
        <f t="shared" si="4"/>
        <v>0.85842026825633388</v>
      </c>
      <c r="G20" s="88">
        <f t="shared" si="6"/>
        <v>0.97660885009198006</v>
      </c>
      <c r="H20" s="12">
        <f t="shared" si="7"/>
        <v>67.445667751080762</v>
      </c>
      <c r="I20" s="31"/>
      <c r="J20" s="31"/>
      <c r="K20" s="31"/>
    </row>
    <row r="21" spans="1:11" x14ac:dyDescent="0.45">
      <c r="A21" s="3">
        <v>34</v>
      </c>
      <c r="B21" s="4">
        <f>VLOOKUP($A21,TS_Data!$A:$B,2,FALSE)</f>
        <v>60</v>
      </c>
      <c r="C21" s="2">
        <f t="shared" si="2"/>
        <v>64.085519028466649</v>
      </c>
      <c r="D21" s="9">
        <f t="shared" si="3"/>
        <v>56.416666666666664</v>
      </c>
      <c r="E21" s="67">
        <f t="shared" si="5"/>
        <v>58.288199999999996</v>
      </c>
      <c r="F21" s="25">
        <f t="shared" si="4"/>
        <v>1.0635155096011817</v>
      </c>
      <c r="G21" s="88">
        <f t="shared" si="6"/>
        <v>1.0994595652030197</v>
      </c>
      <c r="H21" s="12">
        <f t="shared" si="7"/>
        <v>16.691465731963074</v>
      </c>
      <c r="I21" s="31"/>
      <c r="J21" s="31"/>
      <c r="K21" s="31"/>
    </row>
    <row r="22" spans="1:11" x14ac:dyDescent="0.45">
      <c r="A22" s="3">
        <v>35</v>
      </c>
      <c r="B22" s="4">
        <f>VLOOKUP($A22,TS_Data!$A:$B,2,FALSE)</f>
        <v>65</v>
      </c>
      <c r="C22" s="2">
        <f t="shared" si="2"/>
        <v>64.002431902324233</v>
      </c>
      <c r="D22" s="9">
        <f t="shared" si="3"/>
        <v>56.666666666666664</v>
      </c>
      <c r="E22" s="67">
        <f t="shared" si="5"/>
        <v>59.017499999999998</v>
      </c>
      <c r="F22" s="25">
        <f>B22/D22</f>
        <v>1.1470588235294119</v>
      </c>
      <c r="G22" s="88">
        <f t="shared" si="6"/>
        <v>1.0844653179535602</v>
      </c>
      <c r="H22" s="12">
        <f t="shared" si="7"/>
        <v>0.99514210950044912</v>
      </c>
      <c r="I22" s="31"/>
      <c r="J22" s="31"/>
      <c r="K22" s="31"/>
    </row>
    <row r="23" spans="1:11" ht="14.65" thickBot="1" x14ac:dyDescent="0.5">
      <c r="A23" s="3">
        <v>36</v>
      </c>
      <c r="B23" s="4">
        <f>VLOOKUP($A23,TS_Data!$A:$B,2,FALSE)</f>
        <v>49</v>
      </c>
      <c r="C23" s="2">
        <f t="shared" si="2"/>
        <v>53.9439405894163</v>
      </c>
      <c r="D23" s="9">
        <f t="shared" si="3"/>
        <v>56.458333333333336</v>
      </c>
      <c r="E23" s="67">
        <f t="shared" si="5"/>
        <v>59.746799999999993</v>
      </c>
      <c r="F23" s="25">
        <f t="shared" si="4"/>
        <v>0.86789667896678968</v>
      </c>
      <c r="G23" s="89">
        <f t="shared" si="6"/>
        <v>0.90287581241867865</v>
      </c>
      <c r="H23" s="12">
        <f t="shared" si="7"/>
        <v>24.442548551677994</v>
      </c>
      <c r="I23" s="31"/>
      <c r="J23" s="31"/>
      <c r="K23" s="31"/>
    </row>
    <row r="24" spans="1:11" x14ac:dyDescent="0.45">
      <c r="A24" s="3">
        <v>37</v>
      </c>
      <c r="B24" s="4">
        <f>VLOOKUP($A24,TS_Data!$A:$B,2,FALSE)</f>
        <v>50</v>
      </c>
      <c r="C24" s="2">
        <f t="shared" si="2"/>
        <v>55.14269379057297</v>
      </c>
      <c r="D24" s="9">
        <f t="shared" si="3"/>
        <v>56.291666666666664</v>
      </c>
      <c r="E24" s="67">
        <f t="shared" si="5"/>
        <v>60.476099999999995</v>
      </c>
      <c r="F24" s="25">
        <f t="shared" si="4"/>
        <v>0.88823094004441161</v>
      </c>
      <c r="G24" s="87">
        <f>O2</f>
        <v>0.91180968664601347</v>
      </c>
      <c r="H24" s="12">
        <f t="shared" si="7"/>
        <v>26.447299423597784</v>
      </c>
      <c r="I24" s="31"/>
      <c r="J24" s="31"/>
      <c r="K24" s="31"/>
    </row>
    <row r="25" spans="1:11" x14ac:dyDescent="0.45">
      <c r="A25" s="3">
        <v>38</v>
      </c>
      <c r="B25" s="4">
        <f>VLOOKUP($A25,TS_Data!$A:$B,2,FALSE)</f>
        <v>51</v>
      </c>
      <c r="C25" s="2">
        <f t="shared" si="2"/>
        <v>59.557446061954955</v>
      </c>
      <c r="D25" s="9">
        <f t="shared" si="3"/>
        <v>57.166666666666664</v>
      </c>
      <c r="E25" s="67">
        <f t="shared" si="5"/>
        <v>61.205399999999997</v>
      </c>
      <c r="F25" s="25">
        <f t="shared" si="4"/>
        <v>0.89212827988338195</v>
      </c>
      <c r="G25" s="88">
        <f t="shared" ref="G25:G35" si="8">O3</f>
        <v>0.97307502380435318</v>
      </c>
      <c r="H25" s="12">
        <f t="shared" si="7"/>
        <v>73.229883103268378</v>
      </c>
      <c r="I25" s="31"/>
      <c r="J25" s="31"/>
      <c r="K25" s="31"/>
    </row>
    <row r="26" spans="1:11" x14ac:dyDescent="0.45">
      <c r="A26" s="3">
        <v>39</v>
      </c>
      <c r="B26" s="4">
        <f>VLOOKUP($A26,TS_Data!$A:$B,2,FALSE)</f>
        <v>60</v>
      </c>
      <c r="C26" s="2">
        <f t="shared" si="2"/>
        <v>60.521252121049883</v>
      </c>
      <c r="D26" s="9">
        <f t="shared" si="3"/>
        <v>59</v>
      </c>
      <c r="E26" s="67">
        <f t="shared" si="5"/>
        <v>61.934699999999992</v>
      </c>
      <c r="F26" s="25">
        <f t="shared" si="4"/>
        <v>1.0169491525423728</v>
      </c>
      <c r="G26" s="88">
        <f t="shared" si="8"/>
        <v>0.97717841728546184</v>
      </c>
      <c r="H26" s="12">
        <f t="shared" si="7"/>
        <v>0.27170377369900239</v>
      </c>
      <c r="I26" s="31"/>
      <c r="J26" s="31"/>
      <c r="K26" s="31"/>
    </row>
    <row r="27" spans="1:11" x14ac:dyDescent="0.45">
      <c r="A27" s="3">
        <v>40</v>
      </c>
      <c r="B27" s="4">
        <f>VLOOKUP($A27,TS_Data!$A:$B,2,FALSE)</f>
        <v>66</v>
      </c>
      <c r="C27" s="2">
        <f t="shared" ref="C27:C38" si="9">E27*G27</f>
        <v>68.776504046774292</v>
      </c>
      <c r="D27" s="9">
        <f t="shared" ref="D27:D35" si="10">(SUM(B22:B32)+0.5*B21+0.5*B33)/12</f>
        <v>60.875</v>
      </c>
      <c r="E27" s="67">
        <f t="shared" si="5"/>
        <v>62.663999999999994</v>
      </c>
      <c r="F27" s="25">
        <f t="shared" ref="F27:F35" si="11">B27/D27</f>
        <v>1.0841889117043122</v>
      </c>
      <c r="G27" s="88">
        <f t="shared" si="8"/>
        <v>1.097544109006356</v>
      </c>
      <c r="H27" s="12">
        <f t="shared" ref="H27:H35" si="12">(B27-C27)^2</f>
        <v>7.7089747217540205</v>
      </c>
      <c r="I27" s="31"/>
      <c r="J27" s="31"/>
      <c r="K27" s="31"/>
    </row>
    <row r="28" spans="1:11" x14ac:dyDescent="0.45">
      <c r="A28" s="3">
        <v>41</v>
      </c>
      <c r="B28" s="4">
        <f>VLOOKUP($A28,TS_Data!$A:$B,2,FALSE)</f>
        <v>65</v>
      </c>
      <c r="C28" s="2">
        <f t="shared" si="9"/>
        <v>68.744060176067265</v>
      </c>
      <c r="D28" s="9">
        <f t="shared" si="10"/>
        <v>62</v>
      </c>
      <c r="E28" s="67">
        <f t="shared" si="5"/>
        <v>63.393299999999996</v>
      </c>
      <c r="F28" s="25">
        <f t="shared" si="11"/>
        <v>1.0483870967741935</v>
      </c>
      <c r="G28" s="88">
        <f t="shared" si="8"/>
        <v>1.0844057680554138</v>
      </c>
      <c r="H28" s="12">
        <f t="shared" si="12"/>
        <v>14.017986602012838</v>
      </c>
      <c r="I28" s="31"/>
      <c r="J28" s="31"/>
      <c r="K28" s="31"/>
    </row>
    <row r="29" spans="1:11" x14ac:dyDescent="0.45">
      <c r="A29" s="3">
        <v>42</v>
      </c>
      <c r="B29" s="4">
        <f>VLOOKUP($A29,TS_Data!$A:$B,2,FALSE)</f>
        <v>52</v>
      </c>
      <c r="C29" s="2">
        <f t="shared" si="9"/>
        <v>60.005230208784823</v>
      </c>
      <c r="D29" s="9">
        <f t="shared" si="10"/>
        <v>63.166666666666664</v>
      </c>
      <c r="E29" s="67">
        <f t="shared" si="5"/>
        <v>64.122599999999991</v>
      </c>
      <c r="F29" s="25">
        <f t="shared" si="11"/>
        <v>0.82321899736147763</v>
      </c>
      <c r="G29" s="88">
        <f t="shared" si="8"/>
        <v>0.93578910101562995</v>
      </c>
      <c r="H29" s="12">
        <f t="shared" si="12"/>
        <v>64.083710695641102</v>
      </c>
      <c r="I29" s="31"/>
      <c r="J29" s="31"/>
      <c r="K29" s="31"/>
    </row>
    <row r="30" spans="1:11" x14ac:dyDescent="0.45">
      <c r="A30" s="3">
        <v>43</v>
      </c>
      <c r="B30" s="4">
        <f>VLOOKUP($A30,TS_Data!$A:$B,2,FALSE)</f>
        <v>58</v>
      </c>
      <c r="C30" s="2">
        <f t="shared" si="9"/>
        <v>61.021191648889932</v>
      </c>
      <c r="D30" s="9">
        <f t="shared" si="10"/>
        <v>64.333333333333329</v>
      </c>
      <c r="E30" s="67">
        <f t="shared" si="5"/>
        <v>64.851900000000001</v>
      </c>
      <c r="F30" s="25">
        <f t="shared" si="11"/>
        <v>0.90155440414507781</v>
      </c>
      <c r="G30" s="88">
        <f t="shared" si="8"/>
        <v>0.94093143992527484</v>
      </c>
      <c r="H30" s="12">
        <f t="shared" si="12"/>
        <v>9.1275989793222667</v>
      </c>
      <c r="I30" s="31"/>
      <c r="J30" s="31"/>
      <c r="K30" s="31"/>
    </row>
    <row r="31" spans="1:11" x14ac:dyDescent="0.45">
      <c r="A31" s="3">
        <v>44</v>
      </c>
      <c r="B31" s="4">
        <f>VLOOKUP($A31,TS_Data!$A:$B,2,FALSE)</f>
        <v>71</v>
      </c>
      <c r="C31" s="2">
        <f t="shared" si="9"/>
        <v>66.621115093901764</v>
      </c>
      <c r="D31" s="9">
        <f t="shared" si="10"/>
        <v>65.666666666666671</v>
      </c>
      <c r="E31" s="67">
        <f t="shared" si="5"/>
        <v>65.581199999999995</v>
      </c>
      <c r="F31" s="25">
        <f t="shared" si="11"/>
        <v>1.0812182741116751</v>
      </c>
      <c r="G31" s="88">
        <f t="shared" si="8"/>
        <v>1.0158569085942581</v>
      </c>
      <c r="H31" s="12">
        <f t="shared" si="12"/>
        <v>19.174633020854955</v>
      </c>
      <c r="I31" s="31"/>
      <c r="J31" s="31"/>
      <c r="K31" s="31"/>
    </row>
    <row r="32" spans="1:11" x14ac:dyDescent="0.45">
      <c r="A32" s="3">
        <v>45</v>
      </c>
      <c r="B32" s="4">
        <f>VLOOKUP($A32,TS_Data!$A:$B,2,FALSE)</f>
        <v>74</v>
      </c>
      <c r="C32" s="2">
        <f t="shared" si="9"/>
        <v>64.759421154024238</v>
      </c>
      <c r="D32" s="9">
        <f t="shared" si="10"/>
        <v>67.708333333333329</v>
      </c>
      <c r="E32" s="67">
        <f t="shared" si="5"/>
        <v>66.31049999999999</v>
      </c>
      <c r="F32" s="25">
        <f t="shared" si="11"/>
        <v>1.0929230769230771</v>
      </c>
      <c r="G32" s="88">
        <f t="shared" si="8"/>
        <v>0.97660885009198006</v>
      </c>
      <c r="H32" s="12">
        <f t="shared" si="12"/>
        <v>85.38829740869474</v>
      </c>
      <c r="I32" s="31"/>
      <c r="J32" s="31"/>
      <c r="K32" s="31"/>
    </row>
    <row r="33" spans="1:8" x14ac:dyDescent="0.45">
      <c r="A33" s="3">
        <v>46</v>
      </c>
      <c r="B33" s="4">
        <f>VLOOKUP($A33,TS_Data!$A:$B,2,FALSE)</f>
        <v>79</v>
      </c>
      <c r="C33" s="2">
        <f t="shared" si="9"/>
        <v>73.707549359297388</v>
      </c>
      <c r="D33" s="9">
        <f t="shared" si="10"/>
        <v>69.708333333333329</v>
      </c>
      <c r="E33" s="67">
        <f t="shared" si="5"/>
        <v>67.039799999999985</v>
      </c>
      <c r="F33" s="25">
        <f t="shared" si="11"/>
        <v>1.1332934847579199</v>
      </c>
      <c r="G33" s="88">
        <f t="shared" si="8"/>
        <v>1.0994595652030197</v>
      </c>
      <c r="H33" s="12">
        <f t="shared" si="12"/>
        <v>28.010033784273482</v>
      </c>
    </row>
    <row r="34" spans="1:8" x14ac:dyDescent="0.45">
      <c r="A34" s="3">
        <v>47</v>
      </c>
      <c r="B34" s="4">
        <f>VLOOKUP($A34,TS_Data!$A:$B,2,FALSE)</f>
        <v>73</v>
      </c>
      <c r="C34" s="2">
        <f t="shared" si="9"/>
        <v>73.493238578926608</v>
      </c>
      <c r="D34" s="9">
        <f t="shared" si="10"/>
        <v>71.583333333333329</v>
      </c>
      <c r="E34" s="67">
        <f t="shared" si="5"/>
        <v>67.769099999999995</v>
      </c>
      <c r="F34" s="25">
        <f t="shared" si="11"/>
        <v>1.0197904540162981</v>
      </c>
      <c r="G34" s="88">
        <f t="shared" si="8"/>
        <v>1.0844653179535602</v>
      </c>
      <c r="H34" s="12">
        <f t="shared" si="12"/>
        <v>0.24328429574153954</v>
      </c>
    </row>
    <row r="35" spans="1:8" ht="14.65" thickBot="1" x14ac:dyDescent="0.5">
      <c r="A35" s="3">
        <v>48</v>
      </c>
      <c r="B35" s="4">
        <f>VLOOKUP($A35,TS_Data!$A:$B,2,FALSE)</f>
        <v>69</v>
      </c>
      <c r="C35" s="2">
        <f t="shared" si="9"/>
        <v>61.845548549379622</v>
      </c>
      <c r="D35" s="9">
        <f t="shared" si="10"/>
        <v>73.708333333333329</v>
      </c>
      <c r="E35" s="67">
        <f t="shared" si="5"/>
        <v>68.498400000000004</v>
      </c>
      <c r="F35" s="25">
        <f t="shared" si="11"/>
        <v>0.93612210288298481</v>
      </c>
      <c r="G35" s="89">
        <f t="shared" si="8"/>
        <v>0.90287581241867865</v>
      </c>
      <c r="H35" s="12">
        <f t="shared" si="12"/>
        <v>51.186175559284031</v>
      </c>
    </row>
    <row r="36" spans="1:8" x14ac:dyDescent="0.45">
      <c r="A36" s="3">
        <v>49</v>
      </c>
      <c r="B36" s="4">
        <f>VLOOKUP($A36,TS_Data!$A:$B,2,FALSE)</f>
        <v>58</v>
      </c>
      <c r="C36" s="2">
        <f t="shared" si="9"/>
        <v>63.122487444224227</v>
      </c>
      <c r="D36" s="19"/>
      <c r="E36" s="67">
        <f t="shared" si="5"/>
        <v>69.227699999999999</v>
      </c>
      <c r="F36" s="80"/>
      <c r="G36" s="87">
        <f t="shared" ref="G36:G41" si="13">O2</f>
        <v>0.91180968664601347</v>
      </c>
      <c r="H36" s="20"/>
    </row>
    <row r="37" spans="1:8" x14ac:dyDescent="0.45">
      <c r="A37" s="3">
        <v>50</v>
      </c>
      <c r="B37" s="4">
        <f>VLOOKUP($A37,TS_Data!$A:$B,2,FALSE)</f>
        <v>75</v>
      </c>
      <c r="C37" s="2">
        <f t="shared" si="9"/>
        <v>68.073409440281125</v>
      </c>
      <c r="D37" s="19"/>
      <c r="E37" s="67">
        <f t="shared" si="5"/>
        <v>69.956999999999994</v>
      </c>
      <c r="F37" s="80"/>
      <c r="G37" s="88">
        <f t="shared" si="13"/>
        <v>0.97307502380435318</v>
      </c>
      <c r="H37" s="20"/>
    </row>
    <row r="38" spans="1:8" x14ac:dyDescent="0.45">
      <c r="A38" s="3">
        <v>51</v>
      </c>
      <c r="B38" s="4">
        <f>VLOOKUP($A38,TS_Data!$A:$B,2,FALSE)</f>
        <v>85</v>
      </c>
      <c r="C38" s="2">
        <f t="shared" si="9"/>
        <v>69.073126757765337</v>
      </c>
      <c r="D38" s="19"/>
      <c r="E38" s="67">
        <f t="shared" si="5"/>
        <v>70.686299999999989</v>
      </c>
      <c r="F38" s="80"/>
      <c r="G38" s="88">
        <f t="shared" si="13"/>
        <v>0.97717841728546184</v>
      </c>
      <c r="H38" s="20"/>
    </row>
    <row r="39" spans="1:8" x14ac:dyDescent="0.45">
      <c r="A39" s="3">
        <v>52</v>
      </c>
      <c r="B39" s="4">
        <f>VLOOKUP($A39,TS_Data!$A:$B,2,FALSE)</f>
        <v>89</v>
      </c>
      <c r="C39" s="2">
        <f>E39*G39</f>
        <v>78.381771071154319</v>
      </c>
      <c r="D39" s="19"/>
      <c r="E39" s="67">
        <f t="shared" si="5"/>
        <v>71.415599999999998</v>
      </c>
      <c r="F39" s="80"/>
      <c r="G39" s="88">
        <f t="shared" si="13"/>
        <v>1.097544109006356</v>
      </c>
      <c r="H39" s="20"/>
    </row>
    <row r="40" spans="1:8" x14ac:dyDescent="0.45">
      <c r="A40" s="3">
        <v>53</v>
      </c>
      <c r="B40" s="4">
        <f>VLOOKUP($A40,TS_Data!$A:$B,2,FALSE)</f>
        <v>87</v>
      </c>
      <c r="C40" s="2">
        <f>E40*G40</f>
        <v>78.234345695781016</v>
      </c>
      <c r="D40" s="19"/>
      <c r="E40" s="67">
        <f t="shared" si="5"/>
        <v>72.144899999999993</v>
      </c>
      <c r="F40" s="80"/>
      <c r="G40" s="88">
        <f t="shared" si="13"/>
        <v>1.0844057680554138</v>
      </c>
      <c r="H40" s="20"/>
    </row>
    <row r="41" spans="1:8" x14ac:dyDescent="0.45">
      <c r="A41" s="3">
        <v>54</v>
      </c>
      <c r="B41" s="4">
        <f>VLOOKUP($A41,TS_Data!$A:$B,2,FALSE)</f>
        <v>81</v>
      </c>
      <c r="C41" s="2">
        <f>E41*G41</f>
        <v>68.194882105233219</v>
      </c>
      <c r="D41" s="19"/>
      <c r="E41" s="67">
        <f t="shared" si="5"/>
        <v>72.874200000000002</v>
      </c>
      <c r="F41" s="80"/>
      <c r="G41" s="88">
        <f t="shared" si="13"/>
        <v>0.93578910101562995</v>
      </c>
      <c r="H41" s="20"/>
    </row>
    <row r="42" spans="1:8" x14ac:dyDescent="0.45">
      <c r="C42" s="31"/>
      <c r="D42" s="19"/>
      <c r="E42" s="20"/>
      <c r="F42" s="80"/>
      <c r="G42" s="80"/>
      <c r="H42" s="20"/>
    </row>
    <row r="43" spans="1:8" x14ac:dyDescent="0.45">
      <c r="C43" s="31"/>
      <c r="D43" s="19"/>
      <c r="E43" s="20"/>
      <c r="F43" s="80"/>
      <c r="G43" s="80"/>
      <c r="H43" s="20"/>
    </row>
    <row r="44" spans="1:8" x14ac:dyDescent="0.45">
      <c r="C44" s="31"/>
      <c r="D44" s="19"/>
      <c r="E44" s="20"/>
      <c r="F44" s="80"/>
      <c r="G44" s="80"/>
      <c r="H44" s="20"/>
    </row>
    <row r="45" spans="1:8" x14ac:dyDescent="0.45">
      <c r="C45" s="31"/>
      <c r="D45" s="19"/>
      <c r="E45" s="20"/>
      <c r="F45" s="80"/>
      <c r="G45" s="80"/>
      <c r="H45" s="20"/>
    </row>
    <row r="46" spans="1:8" x14ac:dyDescent="0.45">
      <c r="C46" s="31"/>
      <c r="D46" s="19"/>
      <c r="E46" s="20"/>
      <c r="F46" s="80"/>
      <c r="G46" s="80"/>
      <c r="H46" s="20"/>
    </row>
    <row r="47" spans="1:8" x14ac:dyDescent="0.45">
      <c r="C47" s="31"/>
      <c r="D47" s="19"/>
      <c r="E47" s="20"/>
      <c r="F47" s="80"/>
      <c r="G47" s="80"/>
      <c r="H47" s="20"/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AF24F-818C-4E17-8052-F9EE135115DD}">
  <sheetPr>
    <tabColor theme="0" tint="-0.14999847407452621"/>
  </sheetPr>
  <dimension ref="A1:B46"/>
  <sheetViews>
    <sheetView topLeftCell="A31" workbookViewId="0">
      <selection activeCell="B46" sqref="A35:B46"/>
    </sheetView>
  </sheetViews>
  <sheetFormatPr defaultRowHeight="14.25" x14ac:dyDescent="0.45"/>
  <sheetData>
    <row r="1" spans="1:2" x14ac:dyDescent="0.45">
      <c r="A1" s="69" t="s">
        <v>20</v>
      </c>
      <c r="B1" s="69" t="s">
        <v>0</v>
      </c>
    </row>
    <row r="2" spans="1:2" x14ac:dyDescent="0.45">
      <c r="A2" s="69" t="s">
        <v>89</v>
      </c>
      <c r="B2" s="69" t="s">
        <v>2</v>
      </c>
    </row>
    <row r="3" spans="1:2" x14ac:dyDescent="0.45">
      <c r="A3" s="68">
        <v>17</v>
      </c>
      <c r="B3" s="68">
        <v>48</v>
      </c>
    </row>
    <row r="4" spans="1:2" x14ac:dyDescent="0.45">
      <c r="A4" s="68">
        <v>18</v>
      </c>
      <c r="B4" s="68">
        <v>55</v>
      </c>
    </row>
    <row r="5" spans="1:2" x14ac:dyDescent="0.45">
      <c r="A5" s="68">
        <v>19</v>
      </c>
      <c r="B5" s="68">
        <v>52</v>
      </c>
    </row>
    <row r="6" spans="1:2" x14ac:dyDescent="0.45">
      <c r="A6" s="68">
        <v>20</v>
      </c>
      <c r="B6" s="68">
        <v>44</v>
      </c>
    </row>
    <row r="7" spans="1:2" x14ac:dyDescent="0.45">
      <c r="A7" s="68">
        <v>21</v>
      </c>
      <c r="B7" s="68">
        <v>46</v>
      </c>
    </row>
    <row r="8" spans="1:2" x14ac:dyDescent="0.45">
      <c r="A8" s="68">
        <v>22</v>
      </c>
      <c r="B8" s="68">
        <v>54</v>
      </c>
    </row>
    <row r="9" spans="1:2" x14ac:dyDescent="0.45">
      <c r="A9" s="68">
        <v>23</v>
      </c>
      <c r="B9" s="68">
        <v>61</v>
      </c>
    </row>
    <row r="10" spans="1:2" x14ac:dyDescent="0.45">
      <c r="A10" s="68">
        <v>24</v>
      </c>
      <c r="B10" s="68">
        <v>52</v>
      </c>
    </row>
    <row r="11" spans="1:2" x14ac:dyDescent="0.45">
      <c r="A11" s="68">
        <v>25</v>
      </c>
      <c r="B11" s="68">
        <v>51</v>
      </c>
    </row>
    <row r="12" spans="1:2" x14ac:dyDescent="0.45">
      <c r="A12" s="68">
        <v>26</v>
      </c>
      <c r="B12" s="68">
        <v>58</v>
      </c>
    </row>
    <row r="13" spans="1:2" x14ac:dyDescent="0.45">
      <c r="A13" s="68">
        <v>27</v>
      </c>
      <c r="B13" s="68">
        <v>52</v>
      </c>
    </row>
    <row r="14" spans="1:2" x14ac:dyDescent="0.45">
      <c r="A14" s="68">
        <v>28</v>
      </c>
      <c r="B14" s="68">
        <v>62</v>
      </c>
    </row>
    <row r="15" spans="1:2" x14ac:dyDescent="0.45">
      <c r="A15" s="68">
        <v>29</v>
      </c>
      <c r="B15" s="68">
        <v>63</v>
      </c>
    </row>
    <row r="16" spans="1:2" x14ac:dyDescent="0.45">
      <c r="A16" s="68">
        <v>30</v>
      </c>
      <c r="B16" s="68">
        <v>59</v>
      </c>
    </row>
    <row r="17" spans="1:2" x14ac:dyDescent="0.45">
      <c r="A17" s="68">
        <v>31</v>
      </c>
      <c r="B17" s="68">
        <v>55</v>
      </c>
    </row>
    <row r="18" spans="1:2" x14ac:dyDescent="0.45">
      <c r="A18" s="68">
        <v>32</v>
      </c>
      <c r="B18" s="68">
        <v>53</v>
      </c>
    </row>
    <row r="19" spans="1:2" x14ac:dyDescent="0.45">
      <c r="A19" s="68">
        <v>33</v>
      </c>
      <c r="B19" s="68">
        <v>48</v>
      </c>
    </row>
    <row r="20" spans="1:2" x14ac:dyDescent="0.45">
      <c r="A20" s="68">
        <v>34</v>
      </c>
      <c r="B20" s="68">
        <v>60</v>
      </c>
    </row>
    <row r="21" spans="1:2" x14ac:dyDescent="0.45">
      <c r="A21" s="68">
        <v>35</v>
      </c>
      <c r="B21" s="68">
        <v>65</v>
      </c>
    </row>
    <row r="22" spans="1:2" x14ac:dyDescent="0.45">
      <c r="A22" s="68">
        <v>36</v>
      </c>
      <c r="B22" s="68">
        <v>49</v>
      </c>
    </row>
    <row r="23" spans="1:2" x14ac:dyDescent="0.45">
      <c r="A23" s="68">
        <v>37</v>
      </c>
      <c r="B23" s="68">
        <v>50</v>
      </c>
    </row>
    <row r="24" spans="1:2" x14ac:dyDescent="0.45">
      <c r="A24" s="68">
        <v>38</v>
      </c>
      <c r="B24" s="68">
        <v>51</v>
      </c>
    </row>
    <row r="25" spans="1:2" x14ac:dyDescent="0.45">
      <c r="A25" s="68">
        <v>39</v>
      </c>
      <c r="B25" s="68">
        <v>60</v>
      </c>
    </row>
    <row r="26" spans="1:2" x14ac:dyDescent="0.45">
      <c r="A26" s="68">
        <v>40</v>
      </c>
      <c r="B26" s="68">
        <v>66</v>
      </c>
    </row>
    <row r="27" spans="1:2" x14ac:dyDescent="0.45">
      <c r="A27" s="68">
        <v>41</v>
      </c>
      <c r="B27" s="68">
        <v>65</v>
      </c>
    </row>
    <row r="28" spans="1:2" x14ac:dyDescent="0.45">
      <c r="A28" s="68">
        <v>42</v>
      </c>
      <c r="B28" s="68">
        <v>52</v>
      </c>
    </row>
    <row r="29" spans="1:2" x14ac:dyDescent="0.45">
      <c r="A29" s="68">
        <v>43</v>
      </c>
      <c r="B29" s="68">
        <v>58</v>
      </c>
    </row>
    <row r="30" spans="1:2" x14ac:dyDescent="0.45">
      <c r="A30" s="68">
        <v>44</v>
      </c>
      <c r="B30" s="68">
        <v>71</v>
      </c>
    </row>
    <row r="31" spans="1:2" x14ac:dyDescent="0.45">
      <c r="A31" s="68">
        <v>45</v>
      </c>
      <c r="B31" s="68">
        <v>74</v>
      </c>
    </row>
    <row r="32" spans="1:2" x14ac:dyDescent="0.45">
      <c r="A32" s="68">
        <v>46</v>
      </c>
      <c r="B32" s="68">
        <v>79</v>
      </c>
    </row>
    <row r="33" spans="1:2" x14ac:dyDescent="0.45">
      <c r="A33" s="68">
        <v>47</v>
      </c>
      <c r="B33" s="68">
        <v>73</v>
      </c>
    </row>
    <row r="34" spans="1:2" x14ac:dyDescent="0.45">
      <c r="A34" s="68">
        <v>48</v>
      </c>
      <c r="B34" s="68">
        <v>69</v>
      </c>
    </row>
    <row r="35" spans="1:2" x14ac:dyDescent="0.45">
      <c r="A35" s="68">
        <v>49</v>
      </c>
      <c r="B35" s="68">
        <v>58</v>
      </c>
    </row>
    <row r="36" spans="1:2" x14ac:dyDescent="0.45">
      <c r="A36" s="68">
        <v>50</v>
      </c>
      <c r="B36" s="68">
        <v>75</v>
      </c>
    </row>
    <row r="37" spans="1:2" x14ac:dyDescent="0.45">
      <c r="A37" s="68">
        <v>51</v>
      </c>
      <c r="B37" s="68">
        <v>85</v>
      </c>
    </row>
    <row r="38" spans="1:2" x14ac:dyDescent="0.45">
      <c r="A38" s="68">
        <v>52</v>
      </c>
      <c r="B38" s="68">
        <v>89</v>
      </c>
    </row>
    <row r="39" spans="1:2" x14ac:dyDescent="0.45">
      <c r="A39" s="68">
        <v>53</v>
      </c>
      <c r="B39" s="68">
        <v>87</v>
      </c>
    </row>
    <row r="40" spans="1:2" x14ac:dyDescent="0.45">
      <c r="A40" s="68">
        <v>54</v>
      </c>
      <c r="B40" s="68">
        <v>81</v>
      </c>
    </row>
    <row r="41" spans="1:2" x14ac:dyDescent="0.45">
      <c r="A41" s="68">
        <v>55</v>
      </c>
      <c r="B41" s="68">
        <v>75</v>
      </c>
    </row>
    <row r="42" spans="1:2" x14ac:dyDescent="0.45">
      <c r="A42" s="68">
        <v>56</v>
      </c>
      <c r="B42" s="68">
        <v>85</v>
      </c>
    </row>
    <row r="43" spans="1:2" x14ac:dyDescent="0.45">
      <c r="A43" s="68">
        <v>57</v>
      </c>
      <c r="B43" s="68">
        <v>87</v>
      </c>
    </row>
    <row r="44" spans="1:2" x14ac:dyDescent="0.45">
      <c r="A44" s="68">
        <v>58</v>
      </c>
      <c r="B44" s="68">
        <v>76</v>
      </c>
    </row>
    <row r="45" spans="1:2" x14ac:dyDescent="0.45">
      <c r="A45" s="68">
        <v>59</v>
      </c>
      <c r="B45" s="68">
        <v>74</v>
      </c>
    </row>
    <row r="46" spans="1:2" x14ac:dyDescent="0.45">
      <c r="A46" s="68">
        <v>60</v>
      </c>
      <c r="B46" s="68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93BB2-CBE0-449B-B92B-C14965D144E0}">
  <sheetPr>
    <tabColor rgb="FFFFFF00"/>
  </sheetPr>
  <dimension ref="A2:H10"/>
  <sheetViews>
    <sheetView workbookViewId="0">
      <selection activeCell="J12" sqref="J12"/>
    </sheetView>
  </sheetViews>
  <sheetFormatPr defaultRowHeight="14.25" x14ac:dyDescent="0.45"/>
  <cols>
    <col min="2" max="2" width="25.59765625" bestFit="1" customWidth="1"/>
    <col min="3" max="3" width="10.59765625" customWidth="1"/>
    <col min="4" max="4" width="11.265625" customWidth="1"/>
    <col min="5" max="5" width="11.59765625" customWidth="1"/>
    <col min="6" max="8" width="7.59765625" customWidth="1"/>
  </cols>
  <sheetData>
    <row r="2" spans="1:8" s="26" customFormat="1" ht="29.45" customHeight="1" x14ac:dyDescent="0.45">
      <c r="C2" s="92" t="s">
        <v>33</v>
      </c>
      <c r="D2" s="92" t="s">
        <v>24</v>
      </c>
      <c r="E2" s="92" t="s">
        <v>90</v>
      </c>
      <c r="F2" s="92" t="s">
        <v>25</v>
      </c>
      <c r="G2" s="92"/>
      <c r="H2" s="92"/>
    </row>
    <row r="3" spans="1:8" s="26" customFormat="1" x14ac:dyDescent="0.45">
      <c r="C3" s="92"/>
      <c r="D3" s="92"/>
      <c r="E3" s="92"/>
      <c r="F3" s="30" t="s">
        <v>26</v>
      </c>
      <c r="G3" s="29" t="s">
        <v>27</v>
      </c>
      <c r="H3" s="29" t="s">
        <v>28</v>
      </c>
    </row>
    <row r="4" spans="1:8" x14ac:dyDescent="0.45">
      <c r="A4" s="27" t="s">
        <v>29</v>
      </c>
      <c r="B4" s="27" t="s">
        <v>22</v>
      </c>
      <c r="C4" s="35">
        <f>MovAvg!F4</f>
        <v>62.0625</v>
      </c>
      <c r="D4" s="35">
        <f>MovAvg!F5</f>
        <v>7.8779756282943652</v>
      </c>
      <c r="E4" s="35">
        <f>MovAvg!C30</f>
        <v>70.5</v>
      </c>
      <c r="F4" s="28" t="s">
        <v>34</v>
      </c>
      <c r="G4" s="28" t="s">
        <v>34</v>
      </c>
      <c r="H4" s="28" t="s">
        <v>34</v>
      </c>
    </row>
    <row r="5" spans="1:8" x14ac:dyDescent="0.45">
      <c r="A5" s="27" t="s">
        <v>30</v>
      </c>
      <c r="B5" s="27" t="s">
        <v>23</v>
      </c>
      <c r="C5" s="35">
        <f>'S.Exp.Smooth'!G2</f>
        <v>51.908765432128568</v>
      </c>
      <c r="D5" s="35">
        <f>'S.Exp.Smooth'!G3</f>
        <v>7.2047737946536925</v>
      </c>
      <c r="E5" s="35">
        <f>'S.Exp.Smooth'!C30</f>
        <v>75.095767801478502</v>
      </c>
      <c r="F5" s="36">
        <f>'S.Exp.Smooth'!G5</f>
        <v>0.56121391018120137</v>
      </c>
      <c r="G5" s="28" t="s">
        <v>34</v>
      </c>
      <c r="H5" s="28" t="s">
        <v>34</v>
      </c>
    </row>
    <row r="6" spans="1:8" x14ac:dyDescent="0.45">
      <c r="A6" s="27" t="s">
        <v>31</v>
      </c>
      <c r="B6" s="27" t="s">
        <v>11</v>
      </c>
      <c r="C6" s="35">
        <f>Holt!I2</f>
        <v>51.36136823801413</v>
      </c>
      <c r="D6" s="35">
        <f>Holt!I3</f>
        <v>7.1666846057304721</v>
      </c>
      <c r="E6" s="35">
        <f>Holt!C30</f>
        <v>73.320858791904101</v>
      </c>
      <c r="F6" s="36">
        <f>Holt!I5</f>
        <v>0.39374187315935233</v>
      </c>
      <c r="G6" s="36">
        <f>Holt!I6</f>
        <v>3.6208729913094519E-2</v>
      </c>
      <c r="H6" s="28" t="s">
        <v>34</v>
      </c>
    </row>
    <row r="7" spans="1:8" x14ac:dyDescent="0.45">
      <c r="A7" s="27" t="s">
        <v>32</v>
      </c>
      <c r="B7" s="27" t="s">
        <v>36</v>
      </c>
      <c r="C7" s="35">
        <f>'Holt-Winters(s3)'!J2</f>
        <v>44.663452668991106</v>
      </c>
      <c r="D7" s="35">
        <f>'Holt-Winters(s3)'!J3</f>
        <v>6.6830720981440193</v>
      </c>
      <c r="E7" s="35">
        <f>'Holt-Winters(s3)'!C43</f>
        <v>73.33041290972109</v>
      </c>
      <c r="F7" s="36">
        <f>'Holt-Winters(s3)'!J5</f>
        <v>0.92214007922696439</v>
      </c>
      <c r="G7" s="36">
        <f>'Holt-Winters(s3)'!J6</f>
        <v>0</v>
      </c>
      <c r="H7" s="36">
        <f>'Holt-Winters(s3)'!J7</f>
        <v>1</v>
      </c>
    </row>
    <row r="8" spans="1:8" x14ac:dyDescent="0.45">
      <c r="A8" s="27" t="s">
        <v>32</v>
      </c>
      <c r="B8" s="27" t="s">
        <v>35</v>
      </c>
      <c r="C8" s="35">
        <f>'Holt-Winters(s6)'!J2</f>
        <v>30.463831325622166</v>
      </c>
      <c r="D8" s="35">
        <f>'Holt-Winters(s6)'!J3</f>
        <v>5.5194049793091073</v>
      </c>
      <c r="E8" s="35">
        <f>'Holt-Winters(s6)'!C43</f>
        <v>70.992960013360957</v>
      </c>
      <c r="F8" s="36">
        <f>'Holt-Winters(s6)'!J5</f>
        <v>0.57638390401563977</v>
      </c>
      <c r="G8" s="36">
        <f>'Holt-Winters(s6)'!J6</f>
        <v>2.8980334076757579E-2</v>
      </c>
      <c r="H8" s="36">
        <f>'Holt-Winters(s6)'!J7</f>
        <v>0.83226736334783902</v>
      </c>
    </row>
    <row r="9" spans="1:8" x14ac:dyDescent="0.45">
      <c r="A9" s="27" t="s">
        <v>32</v>
      </c>
      <c r="B9" s="27" t="s">
        <v>93</v>
      </c>
      <c r="C9" s="35">
        <f>'Holt-Winters(s12)'!J2</f>
        <v>43.354352776080283</v>
      </c>
      <c r="D9" s="35">
        <f>'Holt-Winters(s12)'!J3</f>
        <v>6.5844022337703736</v>
      </c>
      <c r="E9" s="35">
        <f>'Holt-Winters(s12)'!C43</f>
        <v>70.45447289560137</v>
      </c>
      <c r="F9" s="36">
        <f>'Holt-Winters(s12)'!J5</f>
        <v>0.58549571576705473</v>
      </c>
      <c r="G9" s="36">
        <f>'Holt-Winters(s12)'!J6</f>
        <v>1.6622920976271795E-2</v>
      </c>
      <c r="H9" s="36">
        <f>'Holt-Winters(s12)'!J7</f>
        <v>0.67977667317124768</v>
      </c>
    </row>
    <row r="10" spans="1:8" x14ac:dyDescent="0.45">
      <c r="A10" s="27" t="s">
        <v>94</v>
      </c>
      <c r="B10" s="27" t="s">
        <v>95</v>
      </c>
      <c r="C10" s="35">
        <f>'Decomposition(s12)'!J2</f>
        <v>27.189208395160531</v>
      </c>
      <c r="D10" s="35">
        <f>'Decomposition(s12)'!J3</f>
        <v>5.2143272236368645</v>
      </c>
      <c r="E10" s="35">
        <f>'Decomposition(s12)'!C36</f>
        <v>63.122487444224227</v>
      </c>
      <c r="F10" s="28" t="s">
        <v>34</v>
      </c>
      <c r="G10" s="28" t="s">
        <v>34</v>
      </c>
      <c r="H10" s="28" t="s">
        <v>34</v>
      </c>
    </row>
  </sheetData>
  <mergeCells count="4">
    <mergeCell ref="F2:H2"/>
    <mergeCell ref="D2:D3"/>
    <mergeCell ref="C2:C3"/>
    <mergeCell ref="E2:E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zoomScale="80" zoomScaleNormal="80" workbookViewId="0">
      <selection activeCell="E16" sqref="E16"/>
    </sheetView>
  </sheetViews>
  <sheetFormatPr defaultColWidth="9" defaultRowHeight="14.25" x14ac:dyDescent="0.45"/>
  <cols>
    <col min="1" max="1" width="7.86328125" customWidth="1"/>
    <col min="3" max="3" width="14" bestFit="1" customWidth="1"/>
    <col min="4" max="4" width="12.86328125" bestFit="1" customWidth="1"/>
    <col min="5" max="5" width="9" bestFit="1" customWidth="1"/>
  </cols>
  <sheetData>
    <row r="1" spans="1:6" x14ac:dyDescent="0.45">
      <c r="A1" s="7" t="s">
        <v>19</v>
      </c>
    </row>
    <row r="2" spans="1:6" s="6" customFormat="1" x14ac:dyDescent="0.45">
      <c r="B2" s="5" t="s">
        <v>0</v>
      </c>
      <c r="C2" s="5" t="s">
        <v>1</v>
      </c>
      <c r="D2" s="6" t="s">
        <v>6</v>
      </c>
    </row>
    <row r="3" spans="1:6" ht="14.65" thickBot="1" x14ac:dyDescent="0.5">
      <c r="A3" s="5" t="s">
        <v>20</v>
      </c>
      <c r="B3" s="6" t="s">
        <v>2</v>
      </c>
      <c r="C3" s="6" t="s">
        <v>3</v>
      </c>
      <c r="E3" s="1"/>
    </row>
    <row r="4" spans="1:6" ht="14.65" thickBot="1" x14ac:dyDescent="0.5">
      <c r="A4" s="3">
        <v>21</v>
      </c>
      <c r="B4" s="4">
        <f>VLOOKUP($A4,TS_Data!$A:$B,2,FALSE)</f>
        <v>46</v>
      </c>
      <c r="E4" s="15" t="s">
        <v>13</v>
      </c>
      <c r="F4" s="84">
        <f>AVERAGE(D8:D31)</f>
        <v>62.0625</v>
      </c>
    </row>
    <row r="5" spans="1:6" ht="14.65" thickBot="1" x14ac:dyDescent="0.5">
      <c r="A5" s="3">
        <v>22</v>
      </c>
      <c r="B5" s="4">
        <f>VLOOKUP($A5,TS_Data!$A:$B,2,FALSE)</f>
        <v>54</v>
      </c>
      <c r="E5" s="15" t="s">
        <v>17</v>
      </c>
      <c r="F5" s="84">
        <f>SQRT(F4)</f>
        <v>7.8779756282943652</v>
      </c>
    </row>
    <row r="6" spans="1:6" x14ac:dyDescent="0.45">
      <c r="A6" s="3">
        <v>23</v>
      </c>
      <c r="B6" s="4">
        <f>VLOOKUP($A6,TS_Data!$A:$B,2,FALSE)</f>
        <v>61</v>
      </c>
      <c r="D6" s="20"/>
    </row>
    <row r="7" spans="1:6" x14ac:dyDescent="0.45">
      <c r="A7" s="3">
        <v>24</v>
      </c>
      <c r="B7" s="4">
        <f>VLOOKUP($A7,TS_Data!$A:$B,2,FALSE)</f>
        <v>52</v>
      </c>
      <c r="D7" s="20"/>
    </row>
    <row r="8" spans="1:6" x14ac:dyDescent="0.45">
      <c r="A8" s="3">
        <v>25</v>
      </c>
      <c r="B8" s="4">
        <f>VLOOKUP($A8,TS_Data!$A:$B,2,FALSE)</f>
        <v>51</v>
      </c>
      <c r="C8" s="2">
        <f>AVERAGE(B4:B7)</f>
        <v>53.25</v>
      </c>
      <c r="D8" s="12">
        <f>(B8-C8)^2</f>
        <v>5.0625</v>
      </c>
    </row>
    <row r="9" spans="1:6" x14ac:dyDescent="0.45">
      <c r="A9" s="3">
        <v>26</v>
      </c>
      <c r="B9" s="4">
        <f>VLOOKUP($A9,TS_Data!$A:$B,2,FALSE)</f>
        <v>58</v>
      </c>
      <c r="C9" s="2">
        <f t="shared" ref="C9:C29" si="0">AVERAGE(B5:B8)</f>
        <v>54.5</v>
      </c>
      <c r="D9" s="12">
        <f t="shared" ref="D9:D29" si="1">(B9-C9)^2</f>
        <v>12.25</v>
      </c>
    </row>
    <row r="10" spans="1:6" x14ac:dyDescent="0.45">
      <c r="A10" s="3">
        <v>27</v>
      </c>
      <c r="B10" s="4">
        <f>VLOOKUP($A10,TS_Data!$A:$B,2,FALSE)</f>
        <v>52</v>
      </c>
      <c r="C10" s="2">
        <f t="shared" si="0"/>
        <v>55.5</v>
      </c>
      <c r="D10" s="12">
        <f t="shared" si="1"/>
        <v>12.25</v>
      </c>
    </row>
    <row r="11" spans="1:6" x14ac:dyDescent="0.45">
      <c r="A11" s="3">
        <v>28</v>
      </c>
      <c r="B11" s="4">
        <f>VLOOKUP($A11,TS_Data!$A:$B,2,FALSE)</f>
        <v>62</v>
      </c>
      <c r="C11" s="2">
        <f t="shared" si="0"/>
        <v>53.25</v>
      </c>
      <c r="D11" s="12">
        <f t="shared" si="1"/>
        <v>76.5625</v>
      </c>
    </row>
    <row r="12" spans="1:6" x14ac:dyDescent="0.45">
      <c r="A12" s="3">
        <v>29</v>
      </c>
      <c r="B12" s="4">
        <f>VLOOKUP($A12,TS_Data!$A:$B,2,FALSE)</f>
        <v>63</v>
      </c>
      <c r="C12" s="2">
        <f t="shared" si="0"/>
        <v>55.75</v>
      </c>
      <c r="D12" s="12">
        <f t="shared" si="1"/>
        <v>52.5625</v>
      </c>
    </row>
    <row r="13" spans="1:6" x14ac:dyDescent="0.45">
      <c r="A13" s="3">
        <v>30</v>
      </c>
      <c r="B13" s="4">
        <f>VLOOKUP($A13,TS_Data!$A:$B,2,FALSE)</f>
        <v>59</v>
      </c>
      <c r="C13" s="2">
        <f t="shared" si="0"/>
        <v>58.75</v>
      </c>
      <c r="D13" s="12">
        <f t="shared" si="1"/>
        <v>6.25E-2</v>
      </c>
    </row>
    <row r="14" spans="1:6" x14ac:dyDescent="0.45">
      <c r="A14" s="3">
        <v>31</v>
      </c>
      <c r="B14" s="4">
        <f>VLOOKUP($A14,TS_Data!$A:$B,2,FALSE)</f>
        <v>55</v>
      </c>
      <c r="C14" s="2">
        <f t="shared" si="0"/>
        <v>59</v>
      </c>
      <c r="D14" s="12">
        <f t="shared" si="1"/>
        <v>16</v>
      </c>
    </row>
    <row r="15" spans="1:6" x14ac:dyDescent="0.45">
      <c r="A15" s="3">
        <v>32</v>
      </c>
      <c r="B15" s="4">
        <f>VLOOKUP($A15,TS_Data!$A:$B,2,FALSE)</f>
        <v>53</v>
      </c>
      <c r="C15" s="2">
        <f t="shared" si="0"/>
        <v>59.75</v>
      </c>
      <c r="D15" s="12">
        <f t="shared" si="1"/>
        <v>45.5625</v>
      </c>
    </row>
    <row r="16" spans="1:6" x14ac:dyDescent="0.45">
      <c r="A16" s="3">
        <v>33</v>
      </c>
      <c r="B16" s="4">
        <f>VLOOKUP($A16,TS_Data!$A:$B,2,FALSE)</f>
        <v>48</v>
      </c>
      <c r="C16" s="2">
        <f t="shared" si="0"/>
        <v>57.5</v>
      </c>
      <c r="D16" s="12">
        <f t="shared" si="1"/>
        <v>90.25</v>
      </c>
    </row>
    <row r="17" spans="1:4" x14ac:dyDescent="0.45">
      <c r="A17" s="3">
        <v>34</v>
      </c>
      <c r="B17" s="4">
        <f>VLOOKUP($A17,TS_Data!$A:$B,2,FALSE)</f>
        <v>60</v>
      </c>
      <c r="C17" s="2">
        <f t="shared" si="0"/>
        <v>53.75</v>
      </c>
      <c r="D17" s="12">
        <f t="shared" si="1"/>
        <v>39.0625</v>
      </c>
    </row>
    <row r="18" spans="1:4" x14ac:dyDescent="0.45">
      <c r="A18" s="3">
        <v>35</v>
      </c>
      <c r="B18" s="4">
        <f>VLOOKUP($A18,TS_Data!$A:$B,2,FALSE)</f>
        <v>65</v>
      </c>
      <c r="C18" s="2">
        <f t="shared" si="0"/>
        <v>54</v>
      </c>
      <c r="D18" s="12">
        <f t="shared" si="1"/>
        <v>121</v>
      </c>
    </row>
    <row r="19" spans="1:4" x14ac:dyDescent="0.45">
      <c r="A19" s="3">
        <v>36</v>
      </c>
      <c r="B19" s="4">
        <f>VLOOKUP($A19,TS_Data!$A:$B,2,FALSE)</f>
        <v>49</v>
      </c>
      <c r="C19" s="2">
        <f t="shared" si="0"/>
        <v>56.5</v>
      </c>
      <c r="D19" s="12">
        <f t="shared" si="1"/>
        <v>56.25</v>
      </c>
    </row>
    <row r="20" spans="1:4" x14ac:dyDescent="0.45">
      <c r="A20" s="3">
        <v>37</v>
      </c>
      <c r="B20" s="4">
        <f>VLOOKUP($A20,TS_Data!$A:$B,2,FALSE)</f>
        <v>50</v>
      </c>
      <c r="C20" s="2">
        <f t="shared" si="0"/>
        <v>55.5</v>
      </c>
      <c r="D20" s="12">
        <f t="shared" si="1"/>
        <v>30.25</v>
      </c>
    </row>
    <row r="21" spans="1:4" x14ac:dyDescent="0.45">
      <c r="A21" s="3">
        <v>38</v>
      </c>
      <c r="B21" s="4">
        <f>VLOOKUP($A21,TS_Data!$A:$B,2,FALSE)</f>
        <v>51</v>
      </c>
      <c r="C21" s="2">
        <f t="shared" si="0"/>
        <v>56</v>
      </c>
      <c r="D21" s="12">
        <f t="shared" si="1"/>
        <v>25</v>
      </c>
    </row>
    <row r="22" spans="1:4" x14ac:dyDescent="0.45">
      <c r="A22" s="3">
        <v>39</v>
      </c>
      <c r="B22" s="4">
        <f>VLOOKUP($A22,TS_Data!$A:$B,2,FALSE)</f>
        <v>60</v>
      </c>
      <c r="C22" s="2">
        <f t="shared" si="0"/>
        <v>53.75</v>
      </c>
      <c r="D22" s="12">
        <f t="shared" si="1"/>
        <v>39.0625</v>
      </c>
    </row>
    <row r="23" spans="1:4" x14ac:dyDescent="0.45">
      <c r="A23" s="3">
        <v>40</v>
      </c>
      <c r="B23" s="4">
        <f>VLOOKUP($A23,TS_Data!$A:$B,2,FALSE)</f>
        <v>66</v>
      </c>
      <c r="C23" s="2">
        <f t="shared" si="0"/>
        <v>52.5</v>
      </c>
      <c r="D23" s="12">
        <f t="shared" si="1"/>
        <v>182.25</v>
      </c>
    </row>
    <row r="24" spans="1:4" x14ac:dyDescent="0.45">
      <c r="A24" s="3">
        <v>41</v>
      </c>
      <c r="B24" s="4">
        <f>VLOOKUP($A24,TS_Data!$A:$B,2,FALSE)</f>
        <v>65</v>
      </c>
      <c r="C24" s="2">
        <f t="shared" si="0"/>
        <v>56.75</v>
      </c>
      <c r="D24" s="12">
        <f t="shared" si="1"/>
        <v>68.0625</v>
      </c>
    </row>
    <row r="25" spans="1:4" x14ac:dyDescent="0.45">
      <c r="A25" s="3">
        <v>42</v>
      </c>
      <c r="B25" s="4">
        <f>VLOOKUP($A25,TS_Data!$A:$B,2,FALSE)</f>
        <v>52</v>
      </c>
      <c r="C25" s="2">
        <f t="shared" si="0"/>
        <v>60.5</v>
      </c>
      <c r="D25" s="12">
        <f t="shared" si="1"/>
        <v>72.25</v>
      </c>
    </row>
    <row r="26" spans="1:4" x14ac:dyDescent="0.45">
      <c r="A26" s="3">
        <v>43</v>
      </c>
      <c r="B26" s="4">
        <f>VLOOKUP($A26,TS_Data!$A:$B,2,FALSE)</f>
        <v>58</v>
      </c>
      <c r="C26" s="2">
        <f t="shared" si="0"/>
        <v>60.75</v>
      </c>
      <c r="D26" s="12">
        <f t="shared" si="1"/>
        <v>7.5625</v>
      </c>
    </row>
    <row r="27" spans="1:4" x14ac:dyDescent="0.45">
      <c r="A27" s="3">
        <v>44</v>
      </c>
      <c r="B27" s="4">
        <f>VLOOKUP($A27,TS_Data!$A:$B,2,FALSE)</f>
        <v>71</v>
      </c>
      <c r="C27" s="2">
        <f t="shared" si="0"/>
        <v>60.25</v>
      </c>
      <c r="D27" s="12">
        <f t="shared" si="1"/>
        <v>115.5625</v>
      </c>
    </row>
    <row r="28" spans="1:4" x14ac:dyDescent="0.45">
      <c r="A28" s="3">
        <v>45</v>
      </c>
      <c r="B28" s="4">
        <f>VLOOKUP($A28,TS_Data!$A:$B,2,FALSE)</f>
        <v>74</v>
      </c>
      <c r="C28" s="2">
        <f t="shared" si="0"/>
        <v>61.5</v>
      </c>
      <c r="D28" s="12">
        <f t="shared" si="1"/>
        <v>156.25</v>
      </c>
    </row>
    <row r="29" spans="1:4" x14ac:dyDescent="0.45">
      <c r="A29" s="3">
        <v>46</v>
      </c>
      <c r="B29" s="4">
        <f>VLOOKUP($A29,TS_Data!$A:$B,2,FALSE)</f>
        <v>79</v>
      </c>
      <c r="C29" s="2">
        <f t="shared" si="0"/>
        <v>63.75</v>
      </c>
      <c r="D29" s="12">
        <f t="shared" si="1"/>
        <v>232.5625</v>
      </c>
    </row>
    <row r="30" spans="1:4" x14ac:dyDescent="0.45">
      <c r="A30" s="3">
        <v>47</v>
      </c>
      <c r="B30" s="4">
        <f>VLOOKUP($A30,TS_Data!$A:$B,2,FALSE)</f>
        <v>73</v>
      </c>
      <c r="C30" s="2">
        <f>AVERAGE(B26:B29)</f>
        <v>70.5</v>
      </c>
      <c r="D30" s="12">
        <f>(B30-C30)^2</f>
        <v>6.25</v>
      </c>
    </row>
    <row r="31" spans="1:4" x14ac:dyDescent="0.45">
      <c r="A31" s="3">
        <v>48</v>
      </c>
      <c r="B31" s="4">
        <f>VLOOKUP($A31,TS_Data!$A:$B,2,FALSE)</f>
        <v>69</v>
      </c>
      <c r="C31" s="2">
        <f>AVERAGE(B27:B30)</f>
        <v>74.25</v>
      </c>
      <c r="D31" s="12">
        <f>(B31-C31)^2</f>
        <v>27.5625</v>
      </c>
    </row>
    <row r="32" spans="1:4" x14ac:dyDescent="0.45">
      <c r="A32" s="3">
        <v>49</v>
      </c>
      <c r="C32" s="2">
        <f>AVERAGE(B28:B31)</f>
        <v>73.75</v>
      </c>
      <c r="D32" s="20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62CA-C670-4C90-93A4-9774FD37E031}">
  <dimension ref="A1:N34"/>
  <sheetViews>
    <sheetView zoomScale="50" zoomScaleNormal="50" workbookViewId="0">
      <selection activeCell="N2" sqref="N2"/>
    </sheetView>
  </sheetViews>
  <sheetFormatPr defaultColWidth="9" defaultRowHeight="14.25" x14ac:dyDescent="0.45"/>
  <cols>
    <col min="1" max="1" width="7.86328125" customWidth="1"/>
    <col min="3" max="14" width="11.86328125" customWidth="1"/>
  </cols>
  <sheetData>
    <row r="1" spans="1:14" ht="14.65" thickBot="1" x14ac:dyDescent="0.5">
      <c r="A1" s="7" t="s">
        <v>7</v>
      </c>
    </row>
    <row r="2" spans="1:14" ht="14.65" thickBot="1" x14ac:dyDescent="0.5">
      <c r="A2" s="7"/>
      <c r="C2" s="15" t="s">
        <v>13</v>
      </c>
      <c r="D2" s="84">
        <f>AVERAGE(D11:D34)</f>
        <v>273.04166666666669</v>
      </c>
      <c r="E2" s="15" t="s">
        <v>13</v>
      </c>
      <c r="F2" s="84">
        <f>AVERAGE(F11:F34)</f>
        <v>62.227354111363802</v>
      </c>
      <c r="G2" s="15" t="s">
        <v>13</v>
      </c>
      <c r="H2" s="84">
        <f>AVERAGE(H11:H34)</f>
        <v>52.636465922991825</v>
      </c>
      <c r="I2" s="15" t="s">
        <v>13</v>
      </c>
      <c r="J2" s="84">
        <f>AVERAGE(J11:J34)</f>
        <v>51.921294745717915</v>
      </c>
      <c r="K2" s="15" t="s">
        <v>13</v>
      </c>
      <c r="L2" s="84">
        <f>AVERAGE(L11:L34)</f>
        <v>52.002090644654494</v>
      </c>
      <c r="M2" s="15" t="s">
        <v>13</v>
      </c>
      <c r="N2" s="84">
        <f>AVERAGE(N11:N34)</f>
        <v>52.208333333333336</v>
      </c>
    </row>
    <row r="3" spans="1:14" ht="14.65" thickBot="1" x14ac:dyDescent="0.5">
      <c r="A3" s="7"/>
      <c r="C3" s="15" t="s">
        <v>17</v>
      </c>
      <c r="D3" s="84">
        <f>SQRT(D2)</f>
        <v>16.52397248444413</v>
      </c>
      <c r="E3" s="15" t="s">
        <v>17</v>
      </c>
      <c r="F3" s="84">
        <f>SQRT(F2)</f>
        <v>7.8884316636048641</v>
      </c>
      <c r="G3" s="15" t="s">
        <v>17</v>
      </c>
      <c r="H3" s="84">
        <f>SQRT(H2)</f>
        <v>7.2550993048332444</v>
      </c>
      <c r="I3" s="15" t="s">
        <v>17</v>
      </c>
      <c r="J3" s="84">
        <f>SQRT(J2)</f>
        <v>7.2056432569006574</v>
      </c>
      <c r="K3" s="15" t="s">
        <v>17</v>
      </c>
      <c r="L3" s="84">
        <f>SQRT(L2)</f>
        <v>7.2112475095959985</v>
      </c>
      <c r="M3" s="15" t="s">
        <v>17</v>
      </c>
      <c r="N3" s="84">
        <f>SQRT(N2)</f>
        <v>7.2255334289817892</v>
      </c>
    </row>
    <row r="4" spans="1:14" x14ac:dyDescent="0.45">
      <c r="A4" s="7"/>
      <c r="C4" s="13" t="s">
        <v>9</v>
      </c>
      <c r="D4" s="17">
        <v>0</v>
      </c>
      <c r="E4" s="13" t="s">
        <v>9</v>
      </c>
      <c r="F4" s="17">
        <v>0.2</v>
      </c>
      <c r="G4" s="13" t="s">
        <v>9</v>
      </c>
      <c r="H4" s="17">
        <v>0.4</v>
      </c>
      <c r="I4" s="13" t="s">
        <v>9</v>
      </c>
      <c r="J4" s="17">
        <v>0.6</v>
      </c>
      <c r="K4" s="13" t="s">
        <v>9</v>
      </c>
      <c r="L4" s="17">
        <v>0.8</v>
      </c>
      <c r="M4" s="13" t="s">
        <v>9</v>
      </c>
      <c r="N4" s="17">
        <v>1</v>
      </c>
    </row>
    <row r="5" spans="1:14" x14ac:dyDescent="0.45">
      <c r="B5" s="5" t="s">
        <v>0</v>
      </c>
      <c r="C5" s="5" t="str">
        <f>"S.Exp"&amp;"|α="&amp;D4</f>
        <v>S.Exp|α=0</v>
      </c>
      <c r="D5" s="6" t="s">
        <v>37</v>
      </c>
      <c r="E5" s="5" t="str">
        <f>"S.Exp"&amp;"|α="&amp;F4</f>
        <v>S.Exp|α=0.2</v>
      </c>
      <c r="F5" s="6" t="s">
        <v>37</v>
      </c>
      <c r="G5" s="5" t="str">
        <f>"S.Exp"&amp;"|α="&amp;H4</f>
        <v>S.Exp|α=0.4</v>
      </c>
      <c r="H5" s="6" t="s">
        <v>37</v>
      </c>
      <c r="I5" s="5" t="str">
        <f>"S.Exp"&amp;"|α="&amp;J4</f>
        <v>S.Exp|α=0.6</v>
      </c>
      <c r="J5" s="6" t="s">
        <v>37</v>
      </c>
      <c r="K5" s="5" t="str">
        <f>"S.Exp"&amp;"|α="&amp;L4</f>
        <v>S.Exp|α=0.8</v>
      </c>
      <c r="L5" s="6" t="s">
        <v>37</v>
      </c>
      <c r="M5" s="5" t="str">
        <f>"S.Exp"&amp;"|α="&amp;N4</f>
        <v>S.Exp|α=1</v>
      </c>
      <c r="N5" s="6" t="s">
        <v>37</v>
      </c>
    </row>
    <row r="6" spans="1:14" ht="14.65" thickBot="1" x14ac:dyDescent="0.5">
      <c r="A6" s="5" t="s">
        <v>20</v>
      </c>
      <c r="B6" s="6" t="s">
        <v>2</v>
      </c>
      <c r="C6" s="6" t="s">
        <v>3</v>
      </c>
      <c r="E6" s="6" t="s">
        <v>3</v>
      </c>
      <c r="G6" s="6" t="s">
        <v>3</v>
      </c>
      <c r="I6" s="6" t="s">
        <v>3</v>
      </c>
      <c r="K6" s="6" t="s">
        <v>3</v>
      </c>
      <c r="M6" s="6" t="s">
        <v>3</v>
      </c>
    </row>
    <row r="7" spans="1:14" ht="14.65" thickBot="1" x14ac:dyDescent="0.5">
      <c r="A7" s="3">
        <v>21</v>
      </c>
      <c r="B7" s="4">
        <f>VLOOKUP($A7,TS_Data!$A:$B,2,FALSE)</f>
        <v>46</v>
      </c>
      <c r="C7" s="8">
        <f>$B7</f>
        <v>46</v>
      </c>
      <c r="E7" s="8">
        <f>$B7</f>
        <v>46</v>
      </c>
      <c r="G7" s="8">
        <f>$B7</f>
        <v>46</v>
      </c>
      <c r="I7" s="8">
        <f>$B7</f>
        <v>46</v>
      </c>
      <c r="K7" s="8">
        <f>$B7</f>
        <v>46</v>
      </c>
      <c r="M7" s="8">
        <f>$B7</f>
        <v>46</v>
      </c>
    </row>
    <row r="8" spans="1:14" x14ac:dyDescent="0.45">
      <c r="A8" s="3">
        <v>22</v>
      </c>
      <c r="B8" s="4">
        <f>VLOOKUP($A8,TS_Data!$A:$B,2,FALSE)</f>
        <v>54</v>
      </c>
      <c r="C8" s="2">
        <f>D$4*$B7+(1-D$4)*C7</f>
        <v>46</v>
      </c>
      <c r="E8" s="2">
        <f>F$4*$B7+(1-F$4)*E7</f>
        <v>46.000000000000007</v>
      </c>
      <c r="G8" s="2">
        <f>H$4*$B7+(1-H$4)*G7</f>
        <v>46</v>
      </c>
      <c r="I8" s="2">
        <f>J$4*$B7+(1-J$4)*I7</f>
        <v>46</v>
      </c>
      <c r="K8" s="2">
        <f>L$4*$B7+(1-L$4)*K7</f>
        <v>46</v>
      </c>
      <c r="M8" s="2">
        <f>N$4*$B7+(1-N$4)*M7</f>
        <v>46</v>
      </c>
    </row>
    <row r="9" spans="1:14" x14ac:dyDescent="0.45">
      <c r="A9" s="3">
        <v>23</v>
      </c>
      <c r="B9" s="4">
        <f>VLOOKUP($A9,TS_Data!$A:$B,2,FALSE)</f>
        <v>61</v>
      </c>
      <c r="C9" s="2">
        <f t="shared" ref="C9:M31" si="0">D$4*$B8+(1-D$4)*C8</f>
        <v>46</v>
      </c>
      <c r="D9" s="20"/>
      <c r="E9" s="2">
        <f t="shared" si="0"/>
        <v>47.600000000000009</v>
      </c>
      <c r="F9" s="20"/>
      <c r="G9" s="2">
        <f t="shared" si="0"/>
        <v>49.2</v>
      </c>
      <c r="H9" s="20"/>
      <c r="I9" s="2">
        <f t="shared" si="0"/>
        <v>50.8</v>
      </c>
      <c r="J9" s="20"/>
      <c r="K9" s="2">
        <f t="shared" si="0"/>
        <v>52.4</v>
      </c>
      <c r="L9" s="20"/>
      <c r="M9" s="2">
        <f t="shared" si="0"/>
        <v>54</v>
      </c>
      <c r="N9" s="20"/>
    </row>
    <row r="10" spans="1:14" ht="14.65" thickBot="1" x14ac:dyDescent="0.5">
      <c r="A10" s="3">
        <v>24</v>
      </c>
      <c r="B10" s="4">
        <f>VLOOKUP($A10,TS_Data!$A:$B,2,FALSE)</f>
        <v>52</v>
      </c>
      <c r="C10" s="2">
        <f t="shared" si="0"/>
        <v>46</v>
      </c>
      <c r="D10" s="20"/>
      <c r="E10" s="2">
        <f t="shared" si="0"/>
        <v>50.280000000000008</v>
      </c>
      <c r="F10" s="20"/>
      <c r="G10" s="2">
        <f t="shared" si="0"/>
        <v>53.92</v>
      </c>
      <c r="H10" s="20"/>
      <c r="I10" s="2">
        <f t="shared" si="0"/>
        <v>56.92</v>
      </c>
      <c r="J10" s="20"/>
      <c r="K10" s="2">
        <f t="shared" si="0"/>
        <v>59.28</v>
      </c>
      <c r="L10" s="20"/>
      <c r="M10" s="2">
        <f t="shared" si="0"/>
        <v>61</v>
      </c>
      <c r="N10" s="20"/>
    </row>
    <row r="11" spans="1:14" x14ac:dyDescent="0.45">
      <c r="A11" s="3">
        <v>25</v>
      </c>
      <c r="B11" s="4">
        <f>VLOOKUP($A11,TS_Data!$A:$B,2,FALSE)</f>
        <v>51</v>
      </c>
      <c r="C11" s="70">
        <f t="shared" si="0"/>
        <v>46</v>
      </c>
      <c r="D11" s="71">
        <f>($B11-C11)^2</f>
        <v>25</v>
      </c>
      <c r="E11" s="72">
        <f t="shared" si="0"/>
        <v>50.624000000000009</v>
      </c>
      <c r="F11" s="71">
        <f>($B11-E11)^2</f>
        <v>0.1413759999999929</v>
      </c>
      <c r="G11" s="72">
        <f t="shared" si="0"/>
        <v>53.152000000000001</v>
      </c>
      <c r="H11" s="71">
        <f t="shared" ref="H11:H34" si="1">($B11-G11)^2</f>
        <v>4.6311040000000041</v>
      </c>
      <c r="I11" s="72">
        <f t="shared" si="0"/>
        <v>53.968000000000004</v>
      </c>
      <c r="J11" s="71">
        <f t="shared" ref="J11:J34" si="2">($B11-I11)^2</f>
        <v>8.8090240000000204</v>
      </c>
      <c r="K11" s="72">
        <f t="shared" si="0"/>
        <v>53.456000000000003</v>
      </c>
      <c r="L11" s="71">
        <f t="shared" ref="L11:L34" si="3">($B11-K11)^2</f>
        <v>6.0319360000000151</v>
      </c>
      <c r="M11" s="72">
        <f t="shared" si="0"/>
        <v>52</v>
      </c>
      <c r="N11" s="73">
        <f t="shared" ref="N11:N34" si="4">($B11-M11)^2</f>
        <v>1</v>
      </c>
    </row>
    <row r="12" spans="1:14" x14ac:dyDescent="0.45">
      <c r="A12" s="3">
        <v>26</v>
      </c>
      <c r="B12" s="4">
        <f>VLOOKUP($A12,TS_Data!$A:$B,2,FALSE)</f>
        <v>58</v>
      </c>
      <c r="C12" s="74">
        <f t="shared" si="0"/>
        <v>46</v>
      </c>
      <c r="D12" s="37">
        <f t="shared" ref="D12:F31" si="5">($B12-C12)^2</f>
        <v>144</v>
      </c>
      <c r="E12" s="2">
        <f t="shared" si="0"/>
        <v>50.699200000000012</v>
      </c>
      <c r="F12" s="37">
        <f t="shared" si="5"/>
        <v>53.30168063999983</v>
      </c>
      <c r="G12" s="2">
        <f t="shared" si="0"/>
        <v>52.291200000000003</v>
      </c>
      <c r="H12" s="37">
        <f t="shared" si="1"/>
        <v>32.590397439999961</v>
      </c>
      <c r="I12" s="2">
        <f t="shared" si="0"/>
        <v>52.187200000000004</v>
      </c>
      <c r="J12" s="37">
        <f t="shared" si="2"/>
        <v>33.788643839999949</v>
      </c>
      <c r="K12" s="2">
        <f t="shared" si="0"/>
        <v>51.491200000000006</v>
      </c>
      <c r="L12" s="37">
        <f t="shared" si="3"/>
        <v>42.364477439999916</v>
      </c>
      <c r="M12" s="2">
        <f t="shared" si="0"/>
        <v>51</v>
      </c>
      <c r="N12" s="75">
        <f t="shared" si="4"/>
        <v>49</v>
      </c>
    </row>
    <row r="13" spans="1:14" x14ac:dyDescent="0.45">
      <c r="A13" s="3">
        <v>27</v>
      </c>
      <c r="B13" s="4">
        <f>VLOOKUP($A13,TS_Data!$A:$B,2,FALSE)</f>
        <v>52</v>
      </c>
      <c r="C13" s="74">
        <f t="shared" si="0"/>
        <v>46</v>
      </c>
      <c r="D13" s="37">
        <f t="shared" si="5"/>
        <v>36</v>
      </c>
      <c r="E13" s="2">
        <f t="shared" si="0"/>
        <v>52.159360000000014</v>
      </c>
      <c r="F13" s="37">
        <f t="shared" si="5"/>
        <v>2.5395609600004372E-2</v>
      </c>
      <c r="G13" s="2">
        <f t="shared" si="0"/>
        <v>54.574719999999999</v>
      </c>
      <c r="H13" s="37">
        <f t="shared" si="1"/>
        <v>6.6291830783999961</v>
      </c>
      <c r="I13" s="2">
        <f t="shared" si="0"/>
        <v>55.674880000000002</v>
      </c>
      <c r="J13" s="37">
        <f t="shared" si="2"/>
        <v>13.504743014400013</v>
      </c>
      <c r="K13" s="2">
        <f t="shared" si="0"/>
        <v>56.698240000000006</v>
      </c>
      <c r="L13" s="37">
        <f t="shared" si="3"/>
        <v>22.07345909760005</v>
      </c>
      <c r="M13" s="2">
        <f t="shared" si="0"/>
        <v>58</v>
      </c>
      <c r="N13" s="75">
        <f t="shared" si="4"/>
        <v>36</v>
      </c>
    </row>
    <row r="14" spans="1:14" x14ac:dyDescent="0.45">
      <c r="A14" s="3">
        <v>28</v>
      </c>
      <c r="B14" s="4">
        <f>VLOOKUP($A14,TS_Data!$A:$B,2,FALSE)</f>
        <v>62</v>
      </c>
      <c r="C14" s="74">
        <f t="shared" si="0"/>
        <v>46</v>
      </c>
      <c r="D14" s="37">
        <f t="shared" si="5"/>
        <v>256</v>
      </c>
      <c r="E14" s="2">
        <f t="shared" si="0"/>
        <v>52.127488000000014</v>
      </c>
      <c r="F14" s="37">
        <f t="shared" si="5"/>
        <v>97.466493190143723</v>
      </c>
      <c r="G14" s="2">
        <f t="shared" si="0"/>
        <v>53.544832</v>
      </c>
      <c r="H14" s="37">
        <f t="shared" si="1"/>
        <v>71.489865908224004</v>
      </c>
      <c r="I14" s="2">
        <f t="shared" si="0"/>
        <v>53.469952000000006</v>
      </c>
      <c r="J14" s="37">
        <f t="shared" si="2"/>
        <v>72.761718882303896</v>
      </c>
      <c r="K14" s="2">
        <f t="shared" si="0"/>
        <v>52.939647999999998</v>
      </c>
      <c r="L14" s="37">
        <f t="shared" si="3"/>
        <v>82.089978363904038</v>
      </c>
      <c r="M14" s="2">
        <f t="shared" si="0"/>
        <v>52</v>
      </c>
      <c r="N14" s="75">
        <f t="shared" si="4"/>
        <v>100</v>
      </c>
    </row>
    <row r="15" spans="1:14" x14ac:dyDescent="0.45">
      <c r="A15" s="3">
        <v>29</v>
      </c>
      <c r="B15" s="4">
        <f>VLOOKUP($A15,TS_Data!$A:$B,2,FALSE)</f>
        <v>63</v>
      </c>
      <c r="C15" s="74">
        <f t="shared" si="0"/>
        <v>46</v>
      </c>
      <c r="D15" s="37">
        <f t="shared" si="5"/>
        <v>289</v>
      </c>
      <c r="E15" s="2">
        <f t="shared" si="0"/>
        <v>54.101990400000012</v>
      </c>
      <c r="F15" s="37">
        <f t="shared" si="5"/>
        <v>79.174574841691935</v>
      </c>
      <c r="G15" s="2">
        <f t="shared" si="0"/>
        <v>56.926899199999994</v>
      </c>
      <c r="H15" s="37">
        <f t="shared" si="1"/>
        <v>36.882553326960711</v>
      </c>
      <c r="I15" s="2">
        <f t="shared" si="0"/>
        <v>58.587980799999997</v>
      </c>
      <c r="J15" s="37">
        <f t="shared" si="2"/>
        <v>19.465913421168668</v>
      </c>
      <c r="K15" s="2">
        <f t="shared" si="0"/>
        <v>60.187929599999997</v>
      </c>
      <c r="L15" s="37">
        <f t="shared" si="3"/>
        <v>7.9077399345561776</v>
      </c>
      <c r="M15" s="2">
        <f t="shared" si="0"/>
        <v>62</v>
      </c>
      <c r="N15" s="75">
        <f t="shared" si="4"/>
        <v>1</v>
      </c>
    </row>
    <row r="16" spans="1:14" x14ac:dyDescent="0.45">
      <c r="A16" s="3">
        <v>30</v>
      </c>
      <c r="B16" s="4">
        <f>VLOOKUP($A16,TS_Data!$A:$B,2,FALSE)</f>
        <v>59</v>
      </c>
      <c r="C16" s="74">
        <f t="shared" si="0"/>
        <v>46</v>
      </c>
      <c r="D16" s="37">
        <f t="shared" si="5"/>
        <v>169</v>
      </c>
      <c r="E16" s="2">
        <f t="shared" si="0"/>
        <v>55.881592320000017</v>
      </c>
      <c r="F16" s="37">
        <f t="shared" si="5"/>
        <v>9.7244664586828762</v>
      </c>
      <c r="G16" s="2">
        <f t="shared" si="0"/>
        <v>59.356139519999999</v>
      </c>
      <c r="H16" s="37">
        <f t="shared" si="1"/>
        <v>0.12683535770582988</v>
      </c>
      <c r="I16" s="2">
        <f t="shared" si="0"/>
        <v>61.235192319999996</v>
      </c>
      <c r="J16" s="37">
        <f t="shared" si="2"/>
        <v>4.9960847073869639</v>
      </c>
      <c r="K16" s="2">
        <f t="shared" si="0"/>
        <v>62.437585920000004</v>
      </c>
      <c r="L16" s="37">
        <f t="shared" si="3"/>
        <v>11.816996957382271</v>
      </c>
      <c r="M16" s="2">
        <f t="shared" si="0"/>
        <v>63</v>
      </c>
      <c r="N16" s="75">
        <f t="shared" si="4"/>
        <v>16</v>
      </c>
    </row>
    <row r="17" spans="1:14" x14ac:dyDescent="0.45">
      <c r="A17" s="3">
        <v>31</v>
      </c>
      <c r="B17" s="4">
        <f>VLOOKUP($A17,TS_Data!$A:$B,2,FALSE)</f>
        <v>55</v>
      </c>
      <c r="C17" s="74">
        <f t="shared" si="0"/>
        <v>46</v>
      </c>
      <c r="D17" s="37">
        <f t="shared" si="5"/>
        <v>81</v>
      </c>
      <c r="E17" s="2">
        <f t="shared" si="0"/>
        <v>56.505273856000017</v>
      </c>
      <c r="F17" s="37">
        <f t="shared" si="5"/>
        <v>2.2658493815571585</v>
      </c>
      <c r="G17" s="2">
        <f t="shared" si="0"/>
        <v>59.213683711999998</v>
      </c>
      <c r="H17" s="37">
        <f t="shared" si="1"/>
        <v>17.755130424774084</v>
      </c>
      <c r="I17" s="2">
        <f t="shared" si="0"/>
        <v>59.894076927999997</v>
      </c>
      <c r="J17" s="37">
        <f t="shared" si="2"/>
        <v>23.951988977181887</v>
      </c>
      <c r="K17" s="2">
        <f t="shared" si="0"/>
        <v>59.687517184000001</v>
      </c>
      <c r="L17" s="37">
        <f t="shared" si="3"/>
        <v>21.972817350295298</v>
      </c>
      <c r="M17" s="2">
        <f t="shared" si="0"/>
        <v>59</v>
      </c>
      <c r="N17" s="75">
        <f t="shared" si="4"/>
        <v>16</v>
      </c>
    </row>
    <row r="18" spans="1:14" x14ac:dyDescent="0.45">
      <c r="A18" s="3">
        <v>32</v>
      </c>
      <c r="B18" s="4">
        <f>VLOOKUP($A18,TS_Data!$A:$B,2,FALSE)</f>
        <v>53</v>
      </c>
      <c r="C18" s="74">
        <f t="shared" si="0"/>
        <v>46</v>
      </c>
      <c r="D18" s="37">
        <f t="shared" si="5"/>
        <v>49</v>
      </c>
      <c r="E18" s="2">
        <f t="shared" si="0"/>
        <v>56.204219084800016</v>
      </c>
      <c r="F18" s="37">
        <f t="shared" si="5"/>
        <v>10.267019943396653</v>
      </c>
      <c r="G18" s="2">
        <f t="shared" si="0"/>
        <v>57.528210227199999</v>
      </c>
      <c r="H18" s="37">
        <f t="shared" si="1"/>
        <v>20.504687861718665</v>
      </c>
      <c r="I18" s="2">
        <f t="shared" si="0"/>
        <v>56.957630771200002</v>
      </c>
      <c r="J18" s="37">
        <f t="shared" si="2"/>
        <v>15.66284132114912</v>
      </c>
      <c r="K18" s="2">
        <f t="shared" si="0"/>
        <v>55.9375034368</v>
      </c>
      <c r="L18" s="37">
        <f t="shared" si="3"/>
        <v>8.6289264412118118</v>
      </c>
      <c r="M18" s="2">
        <f t="shared" si="0"/>
        <v>55</v>
      </c>
      <c r="N18" s="75">
        <f t="shared" si="4"/>
        <v>4</v>
      </c>
    </row>
    <row r="19" spans="1:14" x14ac:dyDescent="0.45">
      <c r="A19" s="3">
        <v>33</v>
      </c>
      <c r="B19" s="4">
        <f>VLOOKUP($A19,TS_Data!$A:$B,2,FALSE)</f>
        <v>48</v>
      </c>
      <c r="C19" s="74">
        <f t="shared" si="0"/>
        <v>46</v>
      </c>
      <c r="D19" s="37">
        <f t="shared" si="5"/>
        <v>4</v>
      </c>
      <c r="E19" s="2">
        <f t="shared" si="0"/>
        <v>55.563375267840016</v>
      </c>
      <c r="F19" s="37">
        <f t="shared" si="5"/>
        <v>57.204645442174026</v>
      </c>
      <c r="G19" s="2">
        <f t="shared" si="0"/>
        <v>55.716926136319998</v>
      </c>
      <c r="H19" s="37">
        <f t="shared" si="1"/>
        <v>59.550948993418693</v>
      </c>
      <c r="I19" s="2">
        <f t="shared" si="0"/>
        <v>54.583052308479999</v>
      </c>
      <c r="J19" s="37">
        <f t="shared" si="2"/>
        <v>43.336577696183845</v>
      </c>
      <c r="K19" s="2">
        <f t="shared" si="0"/>
        <v>53.587500687360006</v>
      </c>
      <c r="L19" s="37">
        <f t="shared" si="3"/>
        <v>31.220163931248536</v>
      </c>
      <c r="M19" s="2">
        <f t="shared" si="0"/>
        <v>53</v>
      </c>
      <c r="N19" s="75">
        <f t="shared" si="4"/>
        <v>25</v>
      </c>
    </row>
    <row r="20" spans="1:14" x14ac:dyDescent="0.45">
      <c r="A20" s="3">
        <v>34</v>
      </c>
      <c r="B20" s="4">
        <f>VLOOKUP($A20,TS_Data!$A:$B,2,FALSE)</f>
        <v>60</v>
      </c>
      <c r="C20" s="74">
        <f t="shared" si="0"/>
        <v>46</v>
      </c>
      <c r="D20" s="37">
        <f t="shared" si="5"/>
        <v>196</v>
      </c>
      <c r="E20" s="2">
        <f t="shared" si="0"/>
        <v>54.05070021427202</v>
      </c>
      <c r="F20" s="37">
        <f t="shared" si="5"/>
        <v>35.394167940462992</v>
      </c>
      <c r="G20" s="2">
        <f t="shared" si="0"/>
        <v>52.630155681791997</v>
      </c>
      <c r="H20" s="37">
        <f t="shared" si="1"/>
        <v>54.314605274622778</v>
      </c>
      <c r="I20" s="2">
        <f t="shared" si="0"/>
        <v>50.633220923392003</v>
      </c>
      <c r="J20" s="37">
        <f t="shared" si="2"/>
        <v>87.736550269981365</v>
      </c>
      <c r="K20" s="2">
        <f t="shared" si="0"/>
        <v>49.117500137472007</v>
      </c>
      <c r="L20" s="37">
        <f t="shared" si="3"/>
        <v>118.42880325792179</v>
      </c>
      <c r="M20" s="2">
        <f t="shared" si="0"/>
        <v>48</v>
      </c>
      <c r="N20" s="75">
        <f t="shared" si="4"/>
        <v>144</v>
      </c>
    </row>
    <row r="21" spans="1:14" x14ac:dyDescent="0.45">
      <c r="A21" s="3">
        <v>35</v>
      </c>
      <c r="B21" s="4">
        <f>VLOOKUP($A21,TS_Data!$A:$B,2,FALSE)</f>
        <v>65</v>
      </c>
      <c r="C21" s="74">
        <f t="shared" si="0"/>
        <v>46</v>
      </c>
      <c r="D21" s="37">
        <f t="shared" si="5"/>
        <v>361</v>
      </c>
      <c r="E21" s="2">
        <f t="shared" si="0"/>
        <v>55.24056017141762</v>
      </c>
      <c r="F21" s="37">
        <f t="shared" si="5"/>
        <v>95.246665767720074</v>
      </c>
      <c r="G21" s="2">
        <f t="shared" si="0"/>
        <v>55.578093409075194</v>
      </c>
      <c r="H21" s="37">
        <f t="shared" si="1"/>
        <v>88.77232380811229</v>
      </c>
      <c r="I21" s="2">
        <f t="shared" si="0"/>
        <v>56.253288369356802</v>
      </c>
      <c r="J21" s="37">
        <f t="shared" si="2"/>
        <v>76.504964349628978</v>
      </c>
      <c r="K21" s="2">
        <f t="shared" si="0"/>
        <v>57.823500027494397</v>
      </c>
      <c r="L21" s="37">
        <f t="shared" si="3"/>
        <v>51.502151855372922</v>
      </c>
      <c r="M21" s="2">
        <f t="shared" si="0"/>
        <v>60</v>
      </c>
      <c r="N21" s="75">
        <f t="shared" si="4"/>
        <v>25</v>
      </c>
    </row>
    <row r="22" spans="1:14" x14ac:dyDescent="0.45">
      <c r="A22" s="3">
        <v>36</v>
      </c>
      <c r="B22" s="4">
        <f>VLOOKUP($A22,TS_Data!$A:$B,2,FALSE)</f>
        <v>49</v>
      </c>
      <c r="C22" s="74">
        <f t="shared" si="0"/>
        <v>46</v>
      </c>
      <c r="D22" s="37">
        <f t="shared" si="5"/>
        <v>9</v>
      </c>
      <c r="E22" s="2">
        <f t="shared" si="0"/>
        <v>57.1924481371341</v>
      </c>
      <c r="F22" s="37">
        <f t="shared" si="5"/>
        <v>67.116206479631984</v>
      </c>
      <c r="G22" s="2">
        <f t="shared" si="0"/>
        <v>59.346856045445115</v>
      </c>
      <c r="H22" s="37">
        <f t="shared" si="1"/>
        <v>107.05743002516412</v>
      </c>
      <c r="I22" s="2">
        <f t="shared" si="0"/>
        <v>61.501315347742718</v>
      </c>
      <c r="J22" s="37">
        <f t="shared" si="2"/>
        <v>156.28288542370763</v>
      </c>
      <c r="K22" s="2">
        <f t="shared" si="0"/>
        <v>63.564700005498878</v>
      </c>
      <c r="L22" s="37">
        <f t="shared" si="3"/>
        <v>212.13048625017902</v>
      </c>
      <c r="M22" s="2">
        <f t="shared" si="0"/>
        <v>65</v>
      </c>
      <c r="N22" s="75">
        <f t="shared" si="4"/>
        <v>256</v>
      </c>
    </row>
    <row r="23" spans="1:14" x14ac:dyDescent="0.45">
      <c r="A23" s="3">
        <v>37</v>
      </c>
      <c r="B23" s="4">
        <f>VLOOKUP($A23,TS_Data!$A:$B,2,FALSE)</f>
        <v>50</v>
      </c>
      <c r="C23" s="74">
        <f t="shared" si="0"/>
        <v>46</v>
      </c>
      <c r="D23" s="37">
        <f t="shared" si="5"/>
        <v>16</v>
      </c>
      <c r="E23" s="2">
        <f t="shared" si="0"/>
        <v>55.553958509707286</v>
      </c>
      <c r="F23" s="37">
        <f t="shared" si="5"/>
        <v>30.846455127549977</v>
      </c>
      <c r="G23" s="2">
        <f t="shared" si="0"/>
        <v>55.208113627267068</v>
      </c>
      <c r="H23" s="37">
        <f t="shared" si="1"/>
        <v>27.124447554524931</v>
      </c>
      <c r="I23" s="2">
        <f t="shared" si="0"/>
        <v>54.00052613909709</v>
      </c>
      <c r="J23" s="37">
        <f t="shared" si="2"/>
        <v>16.004209389599069</v>
      </c>
      <c r="K23" s="2">
        <f t="shared" si="0"/>
        <v>51.912940001099777</v>
      </c>
      <c r="L23" s="37">
        <f t="shared" si="3"/>
        <v>3.6593394478076151</v>
      </c>
      <c r="M23" s="2">
        <f t="shared" si="0"/>
        <v>49</v>
      </c>
      <c r="N23" s="75">
        <f t="shared" si="4"/>
        <v>1</v>
      </c>
    </row>
    <row r="24" spans="1:14" x14ac:dyDescent="0.45">
      <c r="A24" s="3">
        <v>38</v>
      </c>
      <c r="B24" s="4">
        <f>VLOOKUP($A24,TS_Data!$A:$B,2,FALSE)</f>
        <v>51</v>
      </c>
      <c r="C24" s="74">
        <f t="shared" si="0"/>
        <v>46</v>
      </c>
      <c r="D24" s="37">
        <f t="shared" si="5"/>
        <v>25</v>
      </c>
      <c r="E24" s="2">
        <f t="shared" si="0"/>
        <v>54.443166807765834</v>
      </c>
      <c r="F24" s="37">
        <f t="shared" si="5"/>
        <v>11.855397666100366</v>
      </c>
      <c r="G24" s="2">
        <f t="shared" si="0"/>
        <v>53.124868176360238</v>
      </c>
      <c r="H24" s="37">
        <f t="shared" si="1"/>
        <v>4.5150647669084822</v>
      </c>
      <c r="I24" s="2">
        <f t="shared" si="0"/>
        <v>51.600210455638837</v>
      </c>
      <c r="J24" s="37">
        <f t="shared" si="2"/>
        <v>0.36025259105818086</v>
      </c>
      <c r="K24" s="2">
        <f t="shared" si="0"/>
        <v>50.382588000219954</v>
      </c>
      <c r="L24" s="37">
        <f t="shared" si="3"/>
        <v>0.38119757747239552</v>
      </c>
      <c r="M24" s="2">
        <f t="shared" si="0"/>
        <v>50</v>
      </c>
      <c r="N24" s="75">
        <f t="shared" si="4"/>
        <v>1</v>
      </c>
    </row>
    <row r="25" spans="1:14" x14ac:dyDescent="0.45">
      <c r="A25" s="3">
        <v>39</v>
      </c>
      <c r="B25" s="4">
        <f>VLOOKUP($A25,TS_Data!$A:$B,2,FALSE)</f>
        <v>60</v>
      </c>
      <c r="C25" s="74">
        <f t="shared" si="0"/>
        <v>46</v>
      </c>
      <c r="D25" s="37">
        <f t="shared" si="5"/>
        <v>196</v>
      </c>
      <c r="E25" s="2">
        <f t="shared" si="0"/>
        <v>53.754533446212676</v>
      </c>
      <c r="F25" s="37">
        <f t="shared" si="5"/>
        <v>39.005852474476114</v>
      </c>
      <c r="G25" s="2">
        <f t="shared" si="0"/>
        <v>52.274920905816145</v>
      </c>
      <c r="H25" s="37">
        <f t="shared" si="1"/>
        <v>59.67684701139644</v>
      </c>
      <c r="I25" s="2">
        <f t="shared" si="0"/>
        <v>51.240084182255529</v>
      </c>
      <c r="J25" s="37">
        <f t="shared" si="2"/>
        <v>76.736125133969779</v>
      </c>
      <c r="K25" s="2">
        <f t="shared" si="0"/>
        <v>50.876517600043996</v>
      </c>
      <c r="L25" s="37">
        <f t="shared" si="3"/>
        <v>83.237931102306959</v>
      </c>
      <c r="M25" s="2">
        <f t="shared" si="0"/>
        <v>51</v>
      </c>
      <c r="N25" s="75">
        <f t="shared" si="4"/>
        <v>81</v>
      </c>
    </row>
    <row r="26" spans="1:14" x14ac:dyDescent="0.45">
      <c r="A26" s="3">
        <v>40</v>
      </c>
      <c r="B26" s="4">
        <f>VLOOKUP($A26,TS_Data!$A:$B,2,FALSE)</f>
        <v>66</v>
      </c>
      <c r="C26" s="74">
        <f t="shared" si="0"/>
        <v>46</v>
      </c>
      <c r="D26" s="37">
        <f t="shared" si="5"/>
        <v>400</v>
      </c>
      <c r="E26" s="2">
        <f t="shared" si="0"/>
        <v>55.003626756970142</v>
      </c>
      <c r="F26" s="37">
        <f t="shared" si="5"/>
        <v>120.920224500023</v>
      </c>
      <c r="G26" s="2">
        <f t="shared" si="0"/>
        <v>55.364952543489686</v>
      </c>
      <c r="H26" s="37">
        <f t="shared" si="1"/>
        <v>113.1042344022265</v>
      </c>
      <c r="I26" s="2">
        <f t="shared" si="0"/>
        <v>56.496033672902215</v>
      </c>
      <c r="J26" s="37">
        <f t="shared" si="2"/>
        <v>90.325375946608574</v>
      </c>
      <c r="K26" s="2">
        <f t="shared" si="0"/>
        <v>58.175303520008796</v>
      </c>
      <c r="L26" s="37">
        <f t="shared" si="3"/>
        <v>61.225875003986729</v>
      </c>
      <c r="M26" s="2">
        <f t="shared" si="0"/>
        <v>60</v>
      </c>
      <c r="N26" s="75">
        <f t="shared" si="4"/>
        <v>36</v>
      </c>
    </row>
    <row r="27" spans="1:14" x14ac:dyDescent="0.45">
      <c r="A27" s="3">
        <v>41</v>
      </c>
      <c r="B27" s="4">
        <f>VLOOKUP($A27,TS_Data!$A:$B,2,FALSE)</f>
        <v>65</v>
      </c>
      <c r="C27" s="74">
        <f t="shared" si="0"/>
        <v>46</v>
      </c>
      <c r="D27" s="37">
        <f t="shared" si="5"/>
        <v>361</v>
      </c>
      <c r="E27" s="2">
        <f t="shared" si="0"/>
        <v>57.202901405576121</v>
      </c>
      <c r="F27" s="37">
        <f t="shared" si="5"/>
        <v>60.794746491166833</v>
      </c>
      <c r="G27" s="2">
        <f t="shared" si="0"/>
        <v>59.618971526093816</v>
      </c>
      <c r="H27" s="37">
        <f t="shared" si="1"/>
        <v>28.955467436989117</v>
      </c>
      <c r="I27" s="2">
        <f t="shared" si="0"/>
        <v>62.19841346916089</v>
      </c>
      <c r="J27" s="37">
        <f t="shared" si="2"/>
        <v>7.8488870897791188</v>
      </c>
      <c r="K27" s="2">
        <f t="shared" si="0"/>
        <v>64.435060704001756</v>
      </c>
      <c r="L27" s="37">
        <f t="shared" si="3"/>
        <v>0.31915640816299107</v>
      </c>
      <c r="M27" s="2">
        <f t="shared" si="0"/>
        <v>66</v>
      </c>
      <c r="N27" s="75">
        <f t="shared" si="4"/>
        <v>1</v>
      </c>
    </row>
    <row r="28" spans="1:14" x14ac:dyDescent="0.45">
      <c r="A28" s="3">
        <v>42</v>
      </c>
      <c r="B28" s="4">
        <f>VLOOKUP($A28,TS_Data!$A:$B,2,FALSE)</f>
        <v>52</v>
      </c>
      <c r="C28" s="74">
        <f t="shared" si="0"/>
        <v>46</v>
      </c>
      <c r="D28" s="37">
        <f t="shared" si="5"/>
        <v>36</v>
      </c>
      <c r="E28" s="2">
        <f t="shared" si="0"/>
        <v>58.762321124460897</v>
      </c>
      <c r="F28" s="37">
        <f t="shared" si="5"/>
        <v>45.728986990330085</v>
      </c>
      <c r="G28" s="2">
        <f t="shared" si="0"/>
        <v>61.771382915656289</v>
      </c>
      <c r="H28" s="37">
        <f t="shared" si="1"/>
        <v>95.479924084379604</v>
      </c>
      <c r="I28" s="2">
        <f t="shared" si="0"/>
        <v>63.879365387664357</v>
      </c>
      <c r="J28" s="37">
        <f t="shared" si="2"/>
        <v>141.11932201363794</v>
      </c>
      <c r="K28" s="2">
        <f t="shared" si="0"/>
        <v>64.887012140800351</v>
      </c>
      <c r="L28" s="37">
        <f t="shared" si="3"/>
        <v>166.07508191713566</v>
      </c>
      <c r="M28" s="2">
        <f t="shared" si="0"/>
        <v>65</v>
      </c>
      <c r="N28" s="75">
        <f t="shared" si="4"/>
        <v>169</v>
      </c>
    </row>
    <row r="29" spans="1:14" x14ac:dyDescent="0.45">
      <c r="A29" s="3">
        <v>43</v>
      </c>
      <c r="B29" s="4">
        <f>VLOOKUP($A29,TS_Data!$A:$B,2,FALSE)</f>
        <v>58</v>
      </c>
      <c r="C29" s="74">
        <f t="shared" si="0"/>
        <v>46</v>
      </c>
      <c r="D29" s="37">
        <f t="shared" si="5"/>
        <v>144</v>
      </c>
      <c r="E29" s="2">
        <f t="shared" si="0"/>
        <v>57.409856899568716</v>
      </c>
      <c r="F29" s="37">
        <f t="shared" si="5"/>
        <v>0.3482688789866486</v>
      </c>
      <c r="G29" s="2">
        <f t="shared" si="0"/>
        <v>57.862829749393768</v>
      </c>
      <c r="H29" s="37">
        <f t="shared" si="1"/>
        <v>1.881567765137649E-2</v>
      </c>
      <c r="I29" s="2">
        <f t="shared" si="0"/>
        <v>56.751746155065746</v>
      </c>
      <c r="J29" s="37">
        <f t="shared" si="2"/>
        <v>1.558137661393149</v>
      </c>
      <c r="K29" s="2">
        <f t="shared" si="0"/>
        <v>54.57740242816007</v>
      </c>
      <c r="L29" s="37">
        <f t="shared" si="3"/>
        <v>11.714174138764584</v>
      </c>
      <c r="M29" s="2">
        <f t="shared" si="0"/>
        <v>52</v>
      </c>
      <c r="N29" s="75">
        <f t="shared" si="4"/>
        <v>36</v>
      </c>
    </row>
    <row r="30" spans="1:14" x14ac:dyDescent="0.45">
      <c r="A30" s="3">
        <v>44</v>
      </c>
      <c r="B30" s="4">
        <f>VLOOKUP($A30,TS_Data!$A:$B,2,FALSE)</f>
        <v>71</v>
      </c>
      <c r="C30" s="74">
        <f t="shared" si="0"/>
        <v>46</v>
      </c>
      <c r="D30" s="37">
        <f t="shared" si="5"/>
        <v>625</v>
      </c>
      <c r="E30" s="2">
        <f t="shared" si="0"/>
        <v>57.52788551965498</v>
      </c>
      <c r="F30" s="37">
        <f t="shared" si="5"/>
        <v>181.49786857152196</v>
      </c>
      <c r="G30" s="2">
        <f t="shared" si="0"/>
        <v>57.917697849636262</v>
      </c>
      <c r="H30" s="37">
        <f t="shared" si="1"/>
        <v>171.14662955341169</v>
      </c>
      <c r="I30" s="2">
        <f t="shared" si="0"/>
        <v>57.500698462026293</v>
      </c>
      <c r="J30" s="37">
        <f t="shared" si="2"/>
        <v>182.2311420131393</v>
      </c>
      <c r="K30" s="2">
        <f t="shared" si="0"/>
        <v>57.315480485632015</v>
      </c>
      <c r="L30" s="37">
        <f t="shared" si="3"/>
        <v>187.26607433911818</v>
      </c>
      <c r="M30" s="2">
        <f t="shared" si="0"/>
        <v>58</v>
      </c>
      <c r="N30" s="75">
        <f t="shared" si="4"/>
        <v>169</v>
      </c>
    </row>
    <row r="31" spans="1:14" x14ac:dyDescent="0.45">
      <c r="A31" s="3">
        <v>45</v>
      </c>
      <c r="B31" s="4">
        <f>VLOOKUP($A31,TS_Data!$A:$B,2,FALSE)</f>
        <v>74</v>
      </c>
      <c r="C31" s="74">
        <f t="shared" si="0"/>
        <v>46</v>
      </c>
      <c r="D31" s="37">
        <f t="shared" si="5"/>
        <v>784</v>
      </c>
      <c r="E31" s="2">
        <f t="shared" si="0"/>
        <v>60.222308415723987</v>
      </c>
      <c r="F31" s="37">
        <f t="shared" si="5"/>
        <v>189.82478539143008</v>
      </c>
      <c r="G31" s="2">
        <f t="shared" si="0"/>
        <v>63.150618709781753</v>
      </c>
      <c r="H31" s="37">
        <f t="shared" si="1"/>
        <v>117.70907438053776</v>
      </c>
      <c r="I31" s="2">
        <f t="shared" si="0"/>
        <v>65.60027938481052</v>
      </c>
      <c r="J31" s="37">
        <f t="shared" si="2"/>
        <v>70.555306413239137</v>
      </c>
      <c r="K31" s="2">
        <f t="shared" si="0"/>
        <v>68.263096097126407</v>
      </c>
      <c r="L31" s="37">
        <f t="shared" si="3"/>
        <v>32.91206639080626</v>
      </c>
      <c r="M31" s="2">
        <f t="shared" si="0"/>
        <v>71</v>
      </c>
      <c r="N31" s="75">
        <f t="shared" si="4"/>
        <v>9</v>
      </c>
    </row>
    <row r="32" spans="1:14" x14ac:dyDescent="0.45">
      <c r="A32" s="3">
        <v>46</v>
      </c>
      <c r="B32" s="4">
        <f>VLOOKUP($A32,TS_Data!$A:$B,2,FALSE)</f>
        <v>79</v>
      </c>
      <c r="C32" s="74">
        <f>D$4*$B31+(1-D$4)*C31</f>
        <v>46</v>
      </c>
      <c r="D32" s="37">
        <f>($B32-C32)^2</f>
        <v>1089</v>
      </c>
      <c r="E32" s="2">
        <f>F$4*$B31+(1-F$4)*E31</f>
        <v>62.977846732579195</v>
      </c>
      <c r="F32" s="37">
        <f>($B32-E32)^2</f>
        <v>256.70939532472318</v>
      </c>
      <c r="G32" s="2">
        <f>H$4*$B31+(1-H$4)*G31</f>
        <v>67.490371225869055</v>
      </c>
      <c r="H32" s="37">
        <f t="shared" si="1"/>
        <v>132.47155451830301</v>
      </c>
      <c r="I32" s="2">
        <f>J$4*$B31+(1-J$4)*I31</f>
        <v>70.640111753924202</v>
      </c>
      <c r="J32" s="37">
        <f t="shared" si="2"/>
        <v>69.887731486876277</v>
      </c>
      <c r="K32" s="2">
        <f>L$4*$B31+(1-L$4)*K31</f>
        <v>72.852619219425279</v>
      </c>
      <c r="L32" s="37">
        <f t="shared" si="3"/>
        <v>37.79029046137947</v>
      </c>
      <c r="M32" s="2">
        <f>N$4*$B31+(1-N$4)*M31</f>
        <v>74</v>
      </c>
      <c r="N32" s="75">
        <f t="shared" si="4"/>
        <v>25</v>
      </c>
    </row>
    <row r="33" spans="1:14" x14ac:dyDescent="0.45">
      <c r="A33" s="3">
        <v>47</v>
      </c>
      <c r="B33" s="4">
        <f>VLOOKUP($A33,TS_Data!$A:$B,2,FALSE)</f>
        <v>73</v>
      </c>
      <c r="C33" s="74">
        <f>D$4*$B32+(1-D$4)*C32</f>
        <v>46</v>
      </c>
      <c r="D33" s="37">
        <f>($B33-C33)^2</f>
        <v>729</v>
      </c>
      <c r="E33" s="2">
        <f>F$4*$B32+(1-F$4)*E32</f>
        <v>66.182277386063362</v>
      </c>
      <c r="F33" s="37">
        <f>($B33-E33)^2</f>
        <v>46.481341640583025</v>
      </c>
      <c r="G33" s="2">
        <f>H$4*$B32+(1-H$4)*G32</f>
        <v>72.094222735521441</v>
      </c>
      <c r="H33" s="37">
        <f t="shared" si="1"/>
        <v>0.82043245284626076</v>
      </c>
      <c r="I33" s="2">
        <f>J$4*$B32+(1-J$4)*I32</f>
        <v>75.656044701569684</v>
      </c>
      <c r="J33" s="37">
        <f t="shared" si="2"/>
        <v>7.0545734567363905</v>
      </c>
      <c r="K33" s="2">
        <f>L$4*$B32+(1-L$4)*K32</f>
        <v>77.770523843885059</v>
      </c>
      <c r="L33" s="37">
        <f t="shared" si="3"/>
        <v>22.757897745075876</v>
      </c>
      <c r="M33" s="2">
        <f>N$4*$B32+(1-N$4)*M32</f>
        <v>79</v>
      </c>
      <c r="N33" s="75">
        <f t="shared" si="4"/>
        <v>36</v>
      </c>
    </row>
    <row r="34" spans="1:14" ht="14.65" thickBot="1" x14ac:dyDescent="0.5">
      <c r="A34" s="3">
        <v>48</v>
      </c>
      <c r="B34" s="4">
        <f>VLOOKUP($A34,TS_Data!$A:$B,2,FALSE)</f>
        <v>69</v>
      </c>
      <c r="C34" s="76">
        <f>D$4*$B33+(1-D$4)*C33</f>
        <v>46</v>
      </c>
      <c r="D34" s="77">
        <f>($B34-C34)^2</f>
        <v>529</v>
      </c>
      <c r="E34" s="78">
        <f>F$4*$B33+(1-F$4)*E33</f>
        <v>67.545821908850684</v>
      </c>
      <c r="F34" s="77">
        <f>($B34-E34)^2</f>
        <v>2.1146339207786693</v>
      </c>
      <c r="G34" s="78">
        <f>H$4*$B33+(1-H$4)*G33</f>
        <v>72.456533641312859</v>
      </c>
      <c r="H34" s="77">
        <f t="shared" si="1"/>
        <v>11.947624813527533</v>
      </c>
      <c r="I34" s="78">
        <f>J$4*$B33+(1-J$4)*I33</f>
        <v>74.062417880627876</v>
      </c>
      <c r="J34" s="77">
        <f t="shared" si="2"/>
        <v>25.62807479810084</v>
      </c>
      <c r="K34" s="78">
        <f>L$4*$B33+(1-L$4)*K33</f>
        <v>73.954104768777015</v>
      </c>
      <c r="L34" s="77">
        <f t="shared" si="3"/>
        <v>24.543154060019155</v>
      </c>
      <c r="M34" s="78">
        <f>N$4*$B33+(1-N$4)*M33</f>
        <v>73</v>
      </c>
      <c r="N34" s="79">
        <f t="shared" si="4"/>
        <v>16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zoomScale="70" zoomScaleNormal="70" workbookViewId="0">
      <selection activeCell="G2" sqref="G2"/>
    </sheetView>
  </sheetViews>
  <sheetFormatPr defaultColWidth="9" defaultRowHeight="14.25" x14ac:dyDescent="0.45"/>
  <cols>
    <col min="1" max="1" width="7.86328125" customWidth="1"/>
    <col min="3" max="3" width="14.59765625" bestFit="1" customWidth="1"/>
    <col min="4" max="4" width="14.265625" customWidth="1"/>
    <col min="5" max="5" width="6" customWidth="1"/>
    <col min="6" max="6" width="8.86328125" customWidth="1"/>
  </cols>
  <sheetData>
    <row r="1" spans="1:7" ht="14.65" thickBot="1" x14ac:dyDescent="0.5">
      <c r="A1" s="7" t="s">
        <v>7</v>
      </c>
    </row>
    <row r="2" spans="1:7" ht="14.65" thickBot="1" x14ac:dyDescent="0.5">
      <c r="B2" s="5" t="s">
        <v>0</v>
      </c>
      <c r="C2" s="5" t="s">
        <v>8</v>
      </c>
      <c r="D2" s="6" t="s">
        <v>6</v>
      </c>
      <c r="F2" s="15" t="s">
        <v>13</v>
      </c>
      <c r="G2" s="84">
        <f>AVERAGE(D8:D31)</f>
        <v>51.908765432128568</v>
      </c>
    </row>
    <row r="3" spans="1:7" ht="14.65" thickBot="1" x14ac:dyDescent="0.5">
      <c r="A3" s="5" t="s">
        <v>20</v>
      </c>
      <c r="B3" s="6" t="s">
        <v>2</v>
      </c>
      <c r="C3" s="6" t="s">
        <v>3</v>
      </c>
      <c r="F3" s="15" t="s">
        <v>17</v>
      </c>
      <c r="G3" s="84">
        <f>SQRT(G2)</f>
        <v>7.2047737946536925</v>
      </c>
    </row>
    <row r="4" spans="1:7" ht="14.65" thickBot="1" x14ac:dyDescent="0.5">
      <c r="A4" s="3">
        <v>21</v>
      </c>
      <c r="B4" s="4">
        <f>VLOOKUP($A4,TS_Data!$A:$B,2,FALSE)</f>
        <v>46</v>
      </c>
      <c r="C4" s="8">
        <f>B4</f>
        <v>46</v>
      </c>
      <c r="F4" s="14" t="s">
        <v>10</v>
      </c>
      <c r="G4" s="13"/>
    </row>
    <row r="5" spans="1:7" x14ac:dyDescent="0.45">
      <c r="A5" s="3">
        <v>22</v>
      </c>
      <c r="B5" s="4">
        <f>VLOOKUP($A5,TS_Data!$A:$B,2,FALSE)</f>
        <v>54</v>
      </c>
      <c r="C5" s="2">
        <f>$G$5*B4+(1-$G$5)*C4</f>
        <v>46</v>
      </c>
      <c r="F5" s="13" t="s">
        <v>9</v>
      </c>
      <c r="G5" s="83">
        <v>0.56121391018120137</v>
      </c>
    </row>
    <row r="6" spans="1:7" x14ac:dyDescent="0.45">
      <c r="A6" s="3">
        <v>23</v>
      </c>
      <c r="B6" s="4">
        <f>VLOOKUP($A6,TS_Data!$A:$B,2,FALSE)</f>
        <v>61</v>
      </c>
      <c r="C6" s="2">
        <f t="shared" ref="C6:C28" si="0">$G$5*B5+(1-$G$5)*C5</f>
        <v>50.489711281449615</v>
      </c>
      <c r="D6" s="20"/>
    </row>
    <row r="7" spans="1:7" x14ac:dyDescent="0.45">
      <c r="A7" s="3">
        <v>24</v>
      </c>
      <c r="B7" s="4">
        <f>VLOOKUP($A7,TS_Data!$A:$B,2,FALSE)</f>
        <v>52</v>
      </c>
      <c r="C7" s="2">
        <f t="shared" si="0"/>
        <v>56.388231510320644</v>
      </c>
      <c r="D7" s="20"/>
    </row>
    <row r="8" spans="1:7" x14ac:dyDescent="0.45">
      <c r="A8" s="3">
        <v>25</v>
      </c>
      <c r="B8" s="4">
        <f>VLOOKUP($A8,TS_Data!$A:$B,2,FALSE)</f>
        <v>51</v>
      </c>
      <c r="C8" s="2">
        <f t="shared" si="0"/>
        <v>53.925494945633233</v>
      </c>
      <c r="D8" s="12">
        <f>(B8-C8)^2</f>
        <v>8.5585206769255908</v>
      </c>
    </row>
    <row r="9" spans="1:7" x14ac:dyDescent="0.45">
      <c r="A9" s="3">
        <v>26</v>
      </c>
      <c r="B9" s="4">
        <f>VLOOKUP($A9,TS_Data!$A:$B,2,FALSE)</f>
        <v>58</v>
      </c>
      <c r="C9" s="2">
        <f t="shared" si="0"/>
        <v>52.283666487979062</v>
      </c>
      <c r="D9" s="12">
        <f t="shared" ref="D9:D28" si="1">(B9-C9)^2</f>
        <v>32.676468820653632</v>
      </c>
    </row>
    <row r="10" spans="1:7" x14ac:dyDescent="0.45">
      <c r="A10" s="3">
        <v>27</v>
      </c>
      <c r="B10" s="4">
        <f>VLOOKUP($A10,TS_Data!$A:$B,2,FALSE)</f>
        <v>52</v>
      </c>
      <c r="C10" s="2">
        <f t="shared" si="0"/>
        <v>55.491752370160171</v>
      </c>
      <c r="D10" s="12">
        <f t="shared" si="1"/>
        <v>12.19233461451917</v>
      </c>
    </row>
    <row r="11" spans="1:7" x14ac:dyDescent="0.45">
      <c r="A11" s="3">
        <v>28</v>
      </c>
      <c r="B11" s="4">
        <f>VLOOKUP($A11,TS_Data!$A:$B,2,FALSE)</f>
        <v>62</v>
      </c>
      <c r="C11" s="2">
        <f t="shared" si="0"/>
        <v>53.532132369118102</v>
      </c>
      <c r="D11" s="12">
        <f t="shared" si="1"/>
        <v>71.70478221413741</v>
      </c>
    </row>
    <row r="12" spans="1:7" x14ac:dyDescent="0.45">
      <c r="A12" s="3">
        <v>29</v>
      </c>
      <c r="B12" s="4">
        <f>VLOOKUP($A12,TS_Data!$A:$B,2,FALSE)</f>
        <v>63</v>
      </c>
      <c r="C12" s="2">
        <f t="shared" si="0"/>
        <v>58.284417473142156</v>
      </c>
      <c r="D12" s="12">
        <f t="shared" si="1"/>
        <v>22.23671856760701</v>
      </c>
    </row>
    <row r="13" spans="1:7" x14ac:dyDescent="0.45">
      <c r="A13" s="3">
        <v>30</v>
      </c>
      <c r="B13" s="4">
        <f>VLOOKUP($A13,TS_Data!$A:$B,2,FALSE)</f>
        <v>59</v>
      </c>
      <c r="C13" s="2">
        <f t="shared" si="0"/>
        <v>60.930867981822196</v>
      </c>
      <c r="D13" s="12">
        <f t="shared" si="1"/>
        <v>3.7282511632261208</v>
      </c>
    </row>
    <row r="14" spans="1:7" x14ac:dyDescent="0.45">
      <c r="A14" s="3">
        <v>31</v>
      </c>
      <c r="B14" s="4">
        <f>VLOOKUP($A14,TS_Data!$A:$B,2,FALSE)</f>
        <v>55</v>
      </c>
      <c r="C14" s="2">
        <f t="shared" si="0"/>
        <v>59.847238011700071</v>
      </c>
      <c r="D14" s="12">
        <f t="shared" si="1"/>
        <v>23.495716342070057</v>
      </c>
    </row>
    <row r="15" spans="1:7" x14ac:dyDescent="0.45">
      <c r="A15" s="3">
        <v>32</v>
      </c>
      <c r="B15" s="4">
        <f>VLOOKUP($A15,TS_Data!$A:$B,2,FALSE)</f>
        <v>53</v>
      </c>
      <c r="C15" s="2">
        <f t="shared" si="0"/>
        <v>57.126900613574918</v>
      </c>
      <c r="D15" s="12">
        <f t="shared" si="1"/>
        <v>17.031308674325036</v>
      </c>
    </row>
    <row r="16" spans="1:7" x14ac:dyDescent="0.45">
      <c r="A16" s="3">
        <v>33</v>
      </c>
      <c r="B16" s="4">
        <f>VLOOKUP($A16,TS_Data!$A:$B,2,FALSE)</f>
        <v>48</v>
      </c>
      <c r="C16" s="2">
        <f t="shared" si="0"/>
        <v>54.810826583301335</v>
      </c>
      <c r="D16" s="12">
        <f t="shared" si="1"/>
        <v>46.387358747804136</v>
      </c>
    </row>
    <row r="17" spans="1:4" x14ac:dyDescent="0.45">
      <c r="A17" s="3">
        <v>34</v>
      </c>
      <c r="B17" s="4">
        <f>VLOOKUP($A17,TS_Data!$A:$B,2,FALSE)</f>
        <v>60</v>
      </c>
      <c r="C17" s="2">
        <f t="shared" si="0"/>
        <v>50.988495964920716</v>
      </c>
      <c r="D17" s="12">
        <f t="shared" si="1"/>
        <v>81.207204974250217</v>
      </c>
    </row>
    <row r="18" spans="1:4" x14ac:dyDescent="0.45">
      <c r="A18" s="3">
        <v>35</v>
      </c>
      <c r="B18" s="4">
        <f>VLOOKUP($A18,TS_Data!$A:$B,2,FALSE)</f>
        <v>65</v>
      </c>
      <c r="C18" s="2">
        <f t="shared" si="0"/>
        <v>56.045877381061231</v>
      </c>
      <c r="D18" s="12">
        <f t="shared" si="1"/>
        <v>80.176311874990873</v>
      </c>
    </row>
    <row r="19" spans="1:4" x14ac:dyDescent="0.45">
      <c r="A19" s="3">
        <v>36</v>
      </c>
      <c r="B19" s="4">
        <f>VLOOKUP($A19,TS_Data!$A:$B,2,FALSE)</f>
        <v>49</v>
      </c>
      <c r="C19" s="2">
        <f t="shared" si="0"/>
        <v>61.071055548277798</v>
      </c>
      <c r="D19" s="12">
        <f t="shared" si="1"/>
        <v>145.7103820496082</v>
      </c>
    </row>
    <row r="20" spans="1:4" x14ac:dyDescent="0.45">
      <c r="A20" s="3">
        <v>37</v>
      </c>
      <c r="B20" s="4">
        <f>VLOOKUP($A20,TS_Data!$A:$B,2,FALSE)</f>
        <v>50</v>
      </c>
      <c r="C20" s="2">
        <f t="shared" si="0"/>
        <v>54.296611264014331</v>
      </c>
      <c r="D20" s="12">
        <f t="shared" si="1"/>
        <v>18.460868354054824</v>
      </c>
    </row>
    <row r="21" spans="1:4" x14ac:dyDescent="0.45">
      <c r="A21" s="3">
        <v>38</v>
      </c>
      <c r="B21" s="4">
        <f>VLOOKUP($A21,TS_Data!$A:$B,2,FALSE)</f>
        <v>51</v>
      </c>
      <c r="C21" s="2">
        <f t="shared" si="0"/>
        <v>51.885293256008254</v>
      </c>
      <c r="D21" s="12">
        <f t="shared" si="1"/>
        <v>0.78374414913369528</v>
      </c>
    </row>
    <row r="22" spans="1:4" x14ac:dyDescent="0.45">
      <c r="A22" s="3">
        <v>39</v>
      </c>
      <c r="B22" s="4">
        <f>VLOOKUP($A22,TS_Data!$A:$B,2,FALSE)</f>
        <v>60</v>
      </c>
      <c r="C22" s="2">
        <f t="shared" si="0"/>
        <v>51.388454366146817</v>
      </c>
      <c r="D22" s="12">
        <f t="shared" si="1"/>
        <v>74.15871820393582</v>
      </c>
    </row>
    <row r="23" spans="1:4" x14ac:dyDescent="0.45">
      <c r="A23" s="3">
        <v>40</v>
      </c>
      <c r="B23" s="4">
        <f>VLOOKUP($A23,TS_Data!$A:$B,2,FALSE)</f>
        <v>66</v>
      </c>
      <c r="C23" s="2">
        <f t="shared" si="0"/>
        <v>56.221373564025413</v>
      </c>
      <c r="D23" s="12">
        <f t="shared" si="1"/>
        <v>95.62153497434106</v>
      </c>
    </row>
    <row r="24" spans="1:4" x14ac:dyDescent="0.45">
      <c r="A24" s="3">
        <v>41</v>
      </c>
      <c r="B24" s="4">
        <f>VLOOKUP($A24,TS_Data!$A:$B,2,FALSE)</f>
        <v>65</v>
      </c>
      <c r="C24" s="2">
        <f t="shared" si="0"/>
        <v>61.70927474235998</v>
      </c>
      <c r="D24" s="12">
        <f t="shared" si="1"/>
        <v>10.828872721269974</v>
      </c>
    </row>
    <row r="25" spans="1:4" x14ac:dyDescent="0.45">
      <c r="A25" s="3">
        <v>42</v>
      </c>
      <c r="B25" s="4">
        <f>VLOOKUP($A25,TS_Data!$A:$B,2,FALSE)</f>
        <v>52</v>
      </c>
      <c r="C25" s="2">
        <f t="shared" si="0"/>
        <v>63.556075531532173</v>
      </c>
      <c r="D25" s="12">
        <f t="shared" si="1"/>
        <v>133.54288169047658</v>
      </c>
    </row>
    <row r="26" spans="1:4" x14ac:dyDescent="0.45">
      <c r="A26" s="3">
        <v>43</v>
      </c>
      <c r="B26" s="4">
        <f>VLOOKUP($A26,TS_Data!$A:$B,2,FALSE)</f>
        <v>58</v>
      </c>
      <c r="C26" s="2">
        <f t="shared" si="0"/>
        <v>57.070645196131693</v>
      </c>
      <c r="D26" s="12">
        <f t="shared" si="1"/>
        <v>0.86370035147309943</v>
      </c>
    </row>
    <row r="27" spans="1:4" x14ac:dyDescent="0.45">
      <c r="A27" s="3">
        <v>44</v>
      </c>
      <c r="B27" s="4">
        <f>VLOOKUP($A27,TS_Data!$A:$B,2,FALSE)</f>
        <v>71</v>
      </c>
      <c r="C27" s="2">
        <f t="shared" si="0"/>
        <v>57.592212039556301</v>
      </c>
      <c r="D27" s="12">
        <f t="shared" si="1"/>
        <v>179.76877799221899</v>
      </c>
    </row>
    <row r="28" spans="1:4" x14ac:dyDescent="0.45">
      <c r="A28" s="3">
        <v>45</v>
      </c>
      <c r="B28" s="4">
        <f>VLOOKUP($A28,TS_Data!$A:$B,2,FALSE)</f>
        <v>74</v>
      </c>
      <c r="C28" s="2">
        <f t="shared" si="0"/>
        <v>65.116849147717346</v>
      </c>
      <c r="D28" s="12">
        <f t="shared" si="1"/>
        <v>78.910369064410034</v>
      </c>
    </row>
    <row r="29" spans="1:4" x14ac:dyDescent="0.45">
      <c r="A29" s="3">
        <v>46</v>
      </c>
      <c r="B29" s="4">
        <f>VLOOKUP($A29,TS_Data!$A:$B,2,FALSE)</f>
        <v>79</v>
      </c>
      <c r="C29" s="2">
        <f>$G$5*B28+(1-$G$5)*C28</f>
        <v>70.102196972256365</v>
      </c>
      <c r="D29" s="12">
        <f>(B29-C29)^2</f>
        <v>79.170898720523795</v>
      </c>
    </row>
    <row r="30" spans="1:4" x14ac:dyDescent="0.45">
      <c r="A30" s="3">
        <v>47</v>
      </c>
      <c r="B30" s="4">
        <f>VLOOKUP($A30,TS_Data!$A:$B,2,FALSE)</f>
        <v>73</v>
      </c>
      <c r="C30" s="2">
        <f>$G$5*B29+(1-$G$5)*C29</f>
        <v>75.095767801478502</v>
      </c>
      <c r="D30" s="12">
        <f>(B30-C30)^2</f>
        <v>4.3922426777140329</v>
      </c>
    </row>
    <row r="31" spans="1:4" x14ac:dyDescent="0.45">
      <c r="A31" s="3">
        <v>48</v>
      </c>
      <c r="B31" s="4">
        <f>VLOOKUP($A31,TS_Data!$A:$B,2,FALSE)</f>
        <v>69</v>
      </c>
      <c r="C31" s="2">
        <f>$G$5*B30+(1-$G$5)*C30</f>
        <v>73.919593758778888</v>
      </c>
      <c r="D31" s="12">
        <f>(B31-C31)^2</f>
        <v>24.202402751416184</v>
      </c>
    </row>
    <row r="32" spans="1:4" x14ac:dyDescent="0.45">
      <c r="A32" s="3">
        <v>49</v>
      </c>
      <c r="C32" s="2">
        <f>$G$5*B31+(1-$G$5)*C31</f>
        <v>71.158649308911549</v>
      </c>
    </row>
  </sheetData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shapeId="3073" r:id="rId4">
          <objectPr defaultSize="0" autoPict="0" r:id="rId5">
            <anchor moveWithCells="1">
              <from>
                <xdr:col>7</xdr:col>
                <xdr:colOff>533400</xdr:colOff>
                <xdr:row>1</xdr:row>
                <xdr:rowOff>95250</xdr:rowOff>
              </from>
              <to>
                <xdr:col>13</xdr:col>
                <xdr:colOff>333375</xdr:colOff>
                <xdr:row>3</xdr:row>
                <xdr:rowOff>57150</xdr:rowOff>
              </to>
            </anchor>
          </objectPr>
        </oleObject>
      </mc:Choice>
      <mc:Fallback>
        <oleObject shapeId="3073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tabSelected="1" zoomScale="80" zoomScaleNormal="80" workbookViewId="0">
      <selection activeCell="G11" sqref="G11"/>
    </sheetView>
  </sheetViews>
  <sheetFormatPr defaultColWidth="9" defaultRowHeight="14.25" x14ac:dyDescent="0.45"/>
  <cols>
    <col min="1" max="1" width="7.86328125" customWidth="1"/>
    <col min="3" max="3" width="8.73046875" customWidth="1"/>
    <col min="4" max="4" width="10.1328125" customWidth="1"/>
    <col min="5" max="5" width="12.1328125" bestFit="1" customWidth="1"/>
    <col min="6" max="6" width="14.265625" customWidth="1"/>
    <col min="9" max="9" width="10.265625" customWidth="1"/>
  </cols>
  <sheetData>
    <row r="1" spans="1:9" ht="14.65" thickBot="1" x14ac:dyDescent="0.5">
      <c r="A1" s="7" t="s">
        <v>18</v>
      </c>
    </row>
    <row r="2" spans="1:9" ht="14.65" thickBot="1" x14ac:dyDescent="0.5">
      <c r="B2" s="5" t="s">
        <v>0</v>
      </c>
      <c r="C2" s="6" t="s">
        <v>11</v>
      </c>
      <c r="H2" s="15" t="s">
        <v>13</v>
      </c>
      <c r="I2" s="84">
        <f>AVERAGE(F8:F31)</f>
        <v>51.36136823801413</v>
      </c>
    </row>
    <row r="3" spans="1:9" ht="14.65" thickBot="1" x14ac:dyDescent="0.5">
      <c r="A3" s="5" t="s">
        <v>20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H3" s="15" t="s">
        <v>17</v>
      </c>
      <c r="I3" s="84">
        <f>SQRT(I2)</f>
        <v>7.1666846057304721</v>
      </c>
    </row>
    <row r="4" spans="1:9" ht="14.65" thickBot="1" x14ac:dyDescent="0.5">
      <c r="A4" s="3">
        <v>21</v>
      </c>
      <c r="B4" s="4">
        <f>VLOOKUP($A4,TS_Data!$A:$B,2,FALSE)</f>
        <v>46</v>
      </c>
      <c r="C4" s="31"/>
      <c r="D4" s="10">
        <f>B4</f>
        <v>46</v>
      </c>
      <c r="E4" s="11">
        <v>0</v>
      </c>
      <c r="F4" s="6"/>
      <c r="H4" s="14" t="s">
        <v>10</v>
      </c>
      <c r="I4" s="13"/>
    </row>
    <row r="5" spans="1:9" x14ac:dyDescent="0.45">
      <c r="A5" s="3">
        <v>22</v>
      </c>
      <c r="B5" s="4">
        <f>VLOOKUP($A5,TS_Data!$A:$B,2,FALSE)</f>
        <v>54</v>
      </c>
      <c r="C5" s="31"/>
      <c r="D5" s="9">
        <f>$I$5*B5+(1-$I$5)*(D4+E4)</f>
        <v>49.149934985274825</v>
      </c>
      <c r="E5" s="9">
        <f>$I$6*(D5-D4)+(1-$I$6)*E4</f>
        <v>0.11405514512562351</v>
      </c>
      <c r="F5" s="6"/>
      <c r="H5" s="13" t="s">
        <v>9</v>
      </c>
      <c r="I5" s="83">
        <v>0.39374187315935233</v>
      </c>
    </row>
    <row r="6" spans="1:9" x14ac:dyDescent="0.45">
      <c r="A6" s="3">
        <v>23</v>
      </c>
      <c r="B6" s="4">
        <f>VLOOKUP($A6,TS_Data!$A:$B,2,FALSE)</f>
        <v>61</v>
      </c>
      <c r="C6" s="31"/>
      <c r="D6" s="9">
        <f t="shared" ref="D6:D29" si="0">$I$5*B6+(1-$I$5)*(D5+E5)</f>
        <v>53.88494863987323</v>
      </c>
      <c r="E6" s="9">
        <f t="shared" ref="E6:E29" si="1">$I$6*(D6-D5)+(1-$I$6)*E5</f>
        <v>0.28137418373473921</v>
      </c>
      <c r="F6" s="20"/>
      <c r="H6" s="13" t="s">
        <v>12</v>
      </c>
      <c r="I6" s="83">
        <v>3.6208729913094519E-2</v>
      </c>
    </row>
    <row r="7" spans="1:9" x14ac:dyDescent="0.45">
      <c r="A7" s="3">
        <v>24</v>
      </c>
      <c r="B7" s="4">
        <f>VLOOKUP($A7,TS_Data!$A:$B,2,FALSE)</f>
        <v>52</v>
      </c>
      <c r="C7" s="31"/>
      <c r="D7" s="9">
        <f t="shared" si="0"/>
        <v>53.313350817172712</v>
      </c>
      <c r="E7" s="9">
        <f t="shared" si="1"/>
        <v>0.25048915073029465</v>
      </c>
      <c r="F7" s="20"/>
    </row>
    <row r="8" spans="1:9" x14ac:dyDescent="0.45">
      <c r="A8" s="3">
        <v>25</v>
      </c>
      <c r="B8" s="4">
        <f>VLOOKUP($A8,TS_Data!$A:$B,2,FALSE)</f>
        <v>51</v>
      </c>
      <c r="C8" s="2">
        <f>(D7+E7*1)</f>
        <v>53.563839967903007</v>
      </c>
      <c r="D8" s="9">
        <f t="shared" si="0"/>
        <v>52.554348816460063</v>
      </c>
      <c r="E8" s="9">
        <f t="shared" si="1"/>
        <v>0.21393675827803832</v>
      </c>
      <c r="F8" s="12">
        <f>(B8-C8)^2</f>
        <v>6.5732753810168933</v>
      </c>
    </row>
    <row r="9" spans="1:9" x14ac:dyDescent="0.45">
      <c r="A9" s="3">
        <v>26</v>
      </c>
      <c r="B9" s="4">
        <f>VLOOKUP($A9,TS_Data!$A:$B,2,FALSE)</f>
        <v>58</v>
      </c>
      <c r="C9" s="2">
        <f t="shared" ref="C9:C29" si="2">(D8+E8*1)</f>
        <v>52.768285574738101</v>
      </c>
      <c r="D9" s="9">
        <f t="shared" si="0"/>
        <v>54.828230612375528</v>
      </c>
      <c r="E9" s="9">
        <f t="shared" si="1"/>
        <v>0.2885247517816712</v>
      </c>
      <c r="F9" s="12">
        <f t="shared" ref="F9:F29" si="3">(B9-C9)^2</f>
        <v>27.37083582749344</v>
      </c>
    </row>
    <row r="10" spans="1:9" x14ac:dyDescent="0.45">
      <c r="A10" s="3">
        <v>27</v>
      </c>
      <c r="B10" s="4">
        <f>VLOOKUP($A10,TS_Data!$A:$B,2,FALSE)</f>
        <v>52</v>
      </c>
      <c r="C10" s="2">
        <f t="shared" si="2"/>
        <v>55.1167553641572</v>
      </c>
      <c r="D10" s="9">
        <f t="shared" si="0"/>
        <v>53.88955826889449</v>
      </c>
      <c r="E10" s="9">
        <f t="shared" si="1"/>
        <v>0.24408950360916962</v>
      </c>
      <c r="F10" s="12">
        <f t="shared" si="3"/>
        <v>9.714164000002679</v>
      </c>
    </row>
    <row r="11" spans="1:9" x14ac:dyDescent="0.45">
      <c r="A11" s="3">
        <v>28</v>
      </c>
      <c r="B11" s="4">
        <f>VLOOKUP($A11,TS_Data!$A:$B,2,FALSE)</f>
        <v>62</v>
      </c>
      <c r="C11" s="2">
        <f t="shared" si="2"/>
        <v>54.133647772503657</v>
      </c>
      <c r="D11" s="9">
        <f t="shared" si="0"/>
        <v>57.23096003348931</v>
      </c>
      <c r="E11" s="9">
        <f t="shared" si="1"/>
        <v>0.35623924672371515</v>
      </c>
      <c r="F11" s="12">
        <f t="shared" si="3"/>
        <v>61.87949736703667</v>
      </c>
    </row>
    <row r="12" spans="1:9" x14ac:dyDescent="0.45">
      <c r="A12" s="3">
        <v>29</v>
      </c>
      <c r="B12" s="4">
        <f>VLOOKUP($A12,TS_Data!$A:$B,2,FALSE)</f>
        <v>63</v>
      </c>
      <c r="C12" s="2">
        <f t="shared" si="2"/>
        <v>57.587199280213028</v>
      </c>
      <c r="D12" s="9">
        <f t="shared" si="0"/>
        <v>59.718445574660244</v>
      </c>
      <c r="E12" s="9">
        <f t="shared" si="1"/>
        <v>0.43340896817763797</v>
      </c>
      <c r="F12" s="12">
        <f t="shared" si="3"/>
        <v>29.298411632126363</v>
      </c>
    </row>
    <row r="13" spans="1:9" x14ac:dyDescent="0.45">
      <c r="A13" s="3">
        <v>30</v>
      </c>
      <c r="B13" s="4">
        <f>VLOOKUP($A13,TS_Data!$A:$B,2,FALSE)</f>
        <v>59</v>
      </c>
      <c r="C13" s="2">
        <f t="shared" si="2"/>
        <v>60.151854542837881</v>
      </c>
      <c r="D13" s="9">
        <f t="shared" si="0"/>
        <v>59.698321177533785</v>
      </c>
      <c r="E13" s="9">
        <f t="shared" si="1"/>
        <v>0.41698710104676506</v>
      </c>
      <c r="F13" s="12">
        <f t="shared" si="3"/>
        <v>1.3267688878562649</v>
      </c>
    </row>
    <row r="14" spans="1:9" x14ac:dyDescent="0.45">
      <c r="A14" s="3">
        <v>31</v>
      </c>
      <c r="B14" s="4">
        <f>VLOOKUP($A14,TS_Data!$A:$B,2,FALSE)</f>
        <v>55</v>
      </c>
      <c r="C14" s="2">
        <f t="shared" si="2"/>
        <v>60.115308278580549</v>
      </c>
      <c r="D14" s="9">
        <f t="shared" si="0"/>
        <v>58.101197215184705</v>
      </c>
      <c r="E14" s="9">
        <f t="shared" si="1"/>
        <v>0.34405869753728929</v>
      </c>
      <c r="F14" s="12">
        <f t="shared" si="3"/>
        <v>26.166378784914706</v>
      </c>
    </row>
    <row r="15" spans="1:9" x14ac:dyDescent="0.45">
      <c r="A15" s="3">
        <v>32</v>
      </c>
      <c r="B15" s="4">
        <f>VLOOKUP($A15,TS_Data!$A:$B,2,FALSE)</f>
        <v>53</v>
      </c>
      <c r="C15" s="2">
        <f t="shared" si="2"/>
        <v>58.445255912721997</v>
      </c>
      <c r="D15" s="9">
        <f t="shared" si="0"/>
        <v>56.301230649814798</v>
      </c>
      <c r="E15" s="9">
        <f t="shared" si="1"/>
        <v>0.26642626586583118</v>
      </c>
      <c r="F15" s="12">
        <f t="shared" si="3"/>
        <v>29.65081195503387</v>
      </c>
    </row>
    <row r="16" spans="1:9" x14ac:dyDescent="0.45">
      <c r="A16" s="3">
        <v>33</v>
      </c>
      <c r="B16" s="4">
        <f>VLOOKUP($A16,TS_Data!$A:$B,2,FALSE)</f>
        <v>48</v>
      </c>
      <c r="C16" s="2">
        <f t="shared" si="2"/>
        <v>56.567656915680629</v>
      </c>
      <c r="D16" s="9">
        <f t="shared" si="0"/>
        <v>53.194211633113866</v>
      </c>
      <c r="E16" s="9">
        <f t="shared" si="1"/>
        <v>0.14427809675276843</v>
      </c>
      <c r="F16" s="12">
        <f t="shared" si="3"/>
        <v>73.404745024810111</v>
      </c>
    </row>
    <row r="17" spans="1:6" x14ac:dyDescent="0.45">
      <c r="A17" s="3">
        <v>34</v>
      </c>
      <c r="B17" s="4">
        <f>VLOOKUP($A17,TS_Data!$A:$B,2,FALSE)</f>
        <v>60</v>
      </c>
      <c r="C17" s="2">
        <f t="shared" si="2"/>
        <v>53.338489729866637</v>
      </c>
      <c r="D17" s="9">
        <f t="shared" si="0"/>
        <v>55.961405261699213</v>
      </c>
      <c r="E17" s="9">
        <f t="shared" si="1"/>
        <v>0.23925053682975489</v>
      </c>
      <c r="F17" s="12">
        <f t="shared" si="3"/>
        <v>44.375719079092264</v>
      </c>
    </row>
    <row r="18" spans="1:6" x14ac:dyDescent="0.45">
      <c r="A18" s="3">
        <v>35</v>
      </c>
      <c r="B18" s="4">
        <f>VLOOKUP($A18,TS_Data!$A:$B,2,FALSE)</f>
        <v>65</v>
      </c>
      <c r="C18" s="2">
        <f t="shared" si="2"/>
        <v>56.20065579852897</v>
      </c>
      <c r="D18" s="9">
        <f t="shared" si="0"/>
        <v>59.665326066990062</v>
      </c>
      <c r="E18" s="9">
        <f t="shared" si="1"/>
        <v>0.36470184681839135</v>
      </c>
      <c r="F18" s="12">
        <f t="shared" si="3"/>
        <v>77.428458375961839</v>
      </c>
    </row>
    <row r="19" spans="1:6" x14ac:dyDescent="0.45">
      <c r="A19" s="3">
        <v>36</v>
      </c>
      <c r="B19" s="4">
        <f>VLOOKUP($A19,TS_Data!$A:$B,2,FALSE)</f>
        <v>49</v>
      </c>
      <c r="C19" s="2">
        <f t="shared" si="2"/>
        <v>60.030027913808453</v>
      </c>
      <c r="D19" s="9">
        <f t="shared" si="0"/>
        <v>55.687044062025578</v>
      </c>
      <c r="E19" s="9">
        <f t="shared" si="1"/>
        <v>0.2074479175122543</v>
      </c>
      <c r="F19" s="12">
        <f t="shared" si="3"/>
        <v>121.66151577939367</v>
      </c>
    </row>
    <row r="20" spans="1:6" x14ac:dyDescent="0.45">
      <c r="A20" s="3">
        <v>37</v>
      </c>
      <c r="B20" s="4">
        <f>VLOOKUP($A20,TS_Data!$A:$B,2,FALSE)</f>
        <v>50</v>
      </c>
      <c r="C20" s="2">
        <f t="shared" si="2"/>
        <v>55.894491979537833</v>
      </c>
      <c r="D20" s="9">
        <f t="shared" si="0"/>
        <v>53.57358366619183</v>
      </c>
      <c r="E20" s="9">
        <f t="shared" si="1"/>
        <v>0.12341077524125316</v>
      </c>
      <c r="F20" s="12">
        <f t="shared" si="3"/>
        <v>34.745035696835835</v>
      </c>
    </row>
    <row r="21" spans="1:6" x14ac:dyDescent="0.45">
      <c r="A21" s="3">
        <v>38</v>
      </c>
      <c r="B21" s="4">
        <f>VLOOKUP($A21,TS_Data!$A:$B,2,FALSE)</f>
        <v>51</v>
      </c>
      <c r="C21" s="2">
        <f t="shared" si="2"/>
        <v>53.696994441433084</v>
      </c>
      <c r="D21" s="9">
        <f t="shared" si="0"/>
        <v>52.635074798162861</v>
      </c>
      <c r="E21" s="9">
        <f t="shared" si="1"/>
        <v>8.4960013688672023E-2</v>
      </c>
      <c r="F21" s="12">
        <f t="shared" si="3"/>
        <v>7.2737790171209529</v>
      </c>
    </row>
    <row r="22" spans="1:6" x14ac:dyDescent="0.45">
      <c r="A22" s="3">
        <v>39</v>
      </c>
      <c r="B22" s="4">
        <f>VLOOKUP($A22,TS_Data!$A:$B,2,FALSE)</f>
        <v>60</v>
      </c>
      <c r="C22" s="2">
        <f t="shared" si="2"/>
        <v>52.720034811851534</v>
      </c>
      <c r="D22" s="9">
        <f t="shared" si="0"/>
        <v>55.58646194156799</v>
      </c>
      <c r="E22" s="9">
        <f t="shared" si="1"/>
        <v>0.18874969944414194</v>
      </c>
      <c r="F22" s="12">
        <f t="shared" si="3"/>
        <v>52.997893140653538</v>
      </c>
    </row>
    <row r="23" spans="1:6" x14ac:dyDescent="0.45">
      <c r="A23" s="3">
        <v>40</v>
      </c>
      <c r="B23" s="4">
        <f>VLOOKUP($A23,TS_Data!$A:$B,2,FALSE)</f>
        <v>66</v>
      </c>
      <c r="C23" s="2">
        <f t="shared" si="2"/>
        <v>55.775211641012135</v>
      </c>
      <c r="D23" s="9">
        <f t="shared" si="0"/>
        <v>59.801138962137955</v>
      </c>
      <c r="E23" s="9">
        <f t="shared" si="1"/>
        <v>0.33452341446453504</v>
      </c>
      <c r="F23" s="12">
        <f t="shared" si="3"/>
        <v>104.54629698609376</v>
      </c>
    </row>
    <row r="24" spans="1:6" x14ac:dyDescent="0.45">
      <c r="A24" s="3">
        <v>41</v>
      </c>
      <c r="B24" s="4">
        <f>VLOOKUP($A24,TS_Data!$A:$B,2,FALSE)</f>
        <v>65</v>
      </c>
      <c r="C24" s="2">
        <f t="shared" si="2"/>
        <v>60.13566237660249</v>
      </c>
      <c r="D24" s="9">
        <f t="shared" si="0"/>
        <v>62.050955784118543</v>
      </c>
      <c r="E24" s="9">
        <f t="shared" si="1"/>
        <v>0.40387375616161425</v>
      </c>
      <c r="F24" s="12">
        <f t="shared" si="3"/>
        <v>23.66178051440054</v>
      </c>
    </row>
    <row r="25" spans="1:6" x14ac:dyDescent="0.45">
      <c r="A25" s="3">
        <v>42</v>
      </c>
      <c r="B25" s="4">
        <f>VLOOKUP($A25,TS_Data!$A:$B,2,FALSE)</f>
        <v>52</v>
      </c>
      <c r="C25" s="2">
        <f t="shared" si="2"/>
        <v>62.454829540280159</v>
      </c>
      <c r="D25" s="9">
        <f t="shared" si="0"/>
        <v>58.338325373528519</v>
      </c>
      <c r="E25" s="9">
        <f t="shared" si="1"/>
        <v>0.25482036860157598</v>
      </c>
      <c r="F25" s="12">
        <f t="shared" si="3"/>
        <v>109.30346071631463</v>
      </c>
    </row>
    <row r="26" spans="1:6" x14ac:dyDescent="0.45">
      <c r="A26" s="3">
        <v>43</v>
      </c>
      <c r="B26" s="4">
        <f>VLOOKUP($A26,TS_Data!$A:$B,2,FALSE)</f>
        <v>58</v>
      </c>
      <c r="C26" s="2">
        <f t="shared" si="2"/>
        <v>58.593145742130098</v>
      </c>
      <c r="D26" s="9">
        <f t="shared" si="0"/>
        <v>58.3595994265673</v>
      </c>
      <c r="E26" s="9">
        <f t="shared" si="1"/>
        <v>0.24636395313916437</v>
      </c>
      <c r="F26" s="12">
        <f t="shared" si="3"/>
        <v>0.35182187140706428</v>
      </c>
    </row>
    <row r="27" spans="1:6" x14ac:dyDescent="0.45">
      <c r="A27" s="3">
        <v>44</v>
      </c>
      <c r="B27" s="4">
        <f>VLOOKUP($A27,TS_Data!$A:$B,2,FALSE)</f>
        <v>71</v>
      </c>
      <c r="C27" s="2">
        <f t="shared" si="2"/>
        <v>58.605963379706466</v>
      </c>
      <c r="D27" s="9">
        <f t="shared" si="0"/>
        <v>63.486014574586456</v>
      </c>
      <c r="E27" s="9">
        <f t="shared" si="1"/>
        <v>0.4230644088166482</v>
      </c>
      <c r="F27" s="12">
        <f t="shared" si="3"/>
        <v>153.61214374517715</v>
      </c>
    </row>
    <row r="28" spans="1:6" x14ac:dyDescent="0.45">
      <c r="A28" s="3">
        <v>45</v>
      </c>
      <c r="B28" s="4">
        <f>VLOOKUP($A28,TS_Data!$A:$B,2,FALSE)</f>
        <v>74</v>
      </c>
      <c r="C28" s="2">
        <f t="shared" si="2"/>
        <v>63.909078983403106</v>
      </c>
      <c r="D28" s="9">
        <f t="shared" si="0"/>
        <v>67.882297126381047</v>
      </c>
      <c r="E28" s="9">
        <f t="shared" si="1"/>
        <v>0.56692959144154353</v>
      </c>
      <c r="F28" s="12">
        <f t="shared" si="3"/>
        <v>101.82668696319691</v>
      </c>
    </row>
    <row r="29" spans="1:6" x14ac:dyDescent="0.45">
      <c r="A29" s="3">
        <v>46</v>
      </c>
      <c r="B29" s="4">
        <f>VLOOKUP($A29,TS_Data!$A:$B,2,FALSE)</f>
        <v>79</v>
      </c>
      <c r="C29" s="2">
        <f t="shared" si="2"/>
        <v>68.449226717822597</v>
      </c>
      <c r="D29" s="9">
        <f t="shared" si="0"/>
        <v>72.603507953226767</v>
      </c>
      <c r="E29" s="9">
        <f t="shared" si="1"/>
        <v>0.71735083867732996</v>
      </c>
      <c r="F29" s="12">
        <f t="shared" si="3"/>
        <v>111.31881685190852</v>
      </c>
    </row>
    <row r="30" spans="1:6" x14ac:dyDescent="0.45">
      <c r="A30" s="3">
        <v>47</v>
      </c>
      <c r="B30" s="4">
        <f>VLOOKUP($A30,TS_Data!$A:$B,2,FALSE)</f>
        <v>73</v>
      </c>
      <c r="C30" s="2">
        <f>(D29+E29*1)</f>
        <v>73.320858791904101</v>
      </c>
      <c r="D30" s="9">
        <f>$I$5*B30+(1-$I$5)*(D29+E29)</f>
        <v>73.194523250160131</v>
      </c>
      <c r="E30" s="9">
        <f>$I$6*(D30-D29)+(1-$I$6)*E29</f>
        <v>0.71277638916789821</v>
      </c>
      <c r="F30" s="12">
        <f>(B30-C30)^2</f>
        <v>0.10295036434215908</v>
      </c>
    </row>
    <row r="31" spans="1:6" x14ac:dyDescent="0.45">
      <c r="A31" s="3">
        <v>48</v>
      </c>
      <c r="B31" s="4">
        <f>VLOOKUP($A31,TS_Data!$A:$B,2,FALSE)</f>
        <v>69</v>
      </c>
      <c r="C31" s="2">
        <f>(D30+E30*1)</f>
        <v>73.907299639328031</v>
      </c>
      <c r="D31" s="9">
        <f>$I$5*B31+(1-$I$5)*(D30+E30)</f>
        <v>71.975090287184798</v>
      </c>
      <c r="E31" s="9">
        <f>$I$6*(D31-D30)+(1-$I$6)*E30</f>
        <v>0.64281354260058865</v>
      </c>
      <c r="F31" s="12">
        <f>(B31-C31)^2</f>
        <v>24.081589750149018</v>
      </c>
    </row>
    <row r="32" spans="1:6" x14ac:dyDescent="0.45">
      <c r="A32" s="3">
        <v>49</v>
      </c>
      <c r="C32" s="2">
        <f>(D31+E31*1)</f>
        <v>72.617903829785391</v>
      </c>
    </row>
  </sheetData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shapeId="4097" r:id="rId4">
          <objectPr defaultSize="0" autoPict="0" r:id="rId5">
            <anchor moveWithCells="1">
              <from>
                <xdr:col>9</xdr:col>
                <xdr:colOff>333375</xdr:colOff>
                <xdr:row>0</xdr:row>
                <xdr:rowOff>57150</xdr:rowOff>
              </from>
              <to>
                <xdr:col>13</xdr:col>
                <xdr:colOff>400050</xdr:colOff>
                <xdr:row>5</xdr:row>
                <xdr:rowOff>85725</xdr:rowOff>
              </to>
            </anchor>
          </objectPr>
        </oleObject>
      </mc:Choice>
      <mc:Fallback>
        <oleObject shapeId="4097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AAA00-6539-4DA0-8CC9-74A7178ACB0F}">
  <dimension ref="A1:J43"/>
  <sheetViews>
    <sheetView zoomScale="90" zoomScaleNormal="90" workbookViewId="0">
      <selection activeCell="G12" sqref="G12"/>
    </sheetView>
  </sheetViews>
  <sheetFormatPr defaultColWidth="9" defaultRowHeight="14.25" x14ac:dyDescent="0.45"/>
  <cols>
    <col min="1" max="1" width="7.86328125" customWidth="1"/>
    <col min="3" max="3" width="8.73046875" customWidth="1"/>
    <col min="4" max="4" width="10.1328125" customWidth="1"/>
    <col min="5" max="5" width="12.1328125" bestFit="1" customWidth="1"/>
    <col min="6" max="6" width="11" style="22" customWidth="1"/>
    <col min="7" max="7" width="14.265625" customWidth="1"/>
    <col min="10" max="10" width="9.265625" bestFit="1" customWidth="1"/>
  </cols>
  <sheetData>
    <row r="1" spans="1:10" ht="14.65" thickBot="1" x14ac:dyDescent="0.5">
      <c r="A1" s="7" t="s">
        <v>21</v>
      </c>
    </row>
    <row r="2" spans="1:10" ht="14.65" thickBot="1" x14ac:dyDescent="0.5">
      <c r="B2" s="5" t="s">
        <v>0</v>
      </c>
      <c r="C2" s="16" t="s">
        <v>16</v>
      </c>
      <c r="I2" s="15" t="s">
        <v>13</v>
      </c>
      <c r="J2" s="84">
        <f>AVERAGE(G19:G42)</f>
        <v>44.663452668991106</v>
      </c>
    </row>
    <row r="3" spans="1:10" ht="14.65" thickBot="1" x14ac:dyDescent="0.5">
      <c r="A3" s="5" t="s">
        <v>20</v>
      </c>
      <c r="B3" s="6" t="s">
        <v>2</v>
      </c>
      <c r="C3" s="6" t="s">
        <v>3</v>
      </c>
      <c r="D3" s="6" t="s">
        <v>4</v>
      </c>
      <c r="E3" s="6" t="s">
        <v>5</v>
      </c>
      <c r="F3" s="23" t="s">
        <v>15</v>
      </c>
      <c r="G3" s="6" t="s">
        <v>6</v>
      </c>
      <c r="I3" s="15" t="s">
        <v>17</v>
      </c>
      <c r="J3" s="84">
        <f>SQRT(J2)</f>
        <v>6.6830720981440193</v>
      </c>
    </row>
    <row r="4" spans="1:10" x14ac:dyDescent="0.45">
      <c r="A4" s="5"/>
      <c r="B4" s="6"/>
      <c r="C4" s="6"/>
      <c r="D4" s="6"/>
      <c r="E4" s="6"/>
      <c r="F4" s="24">
        <v>1</v>
      </c>
      <c r="G4" s="6"/>
      <c r="I4" s="14" t="s">
        <v>10</v>
      </c>
      <c r="J4" s="13"/>
    </row>
    <row r="5" spans="1:10" x14ac:dyDescent="0.45">
      <c r="A5" s="5"/>
      <c r="B5" s="6"/>
      <c r="C5" s="6"/>
      <c r="D5" s="6"/>
      <c r="E5" s="6"/>
      <c r="F5" s="24">
        <v>1</v>
      </c>
      <c r="G5" s="6"/>
      <c r="I5" s="13" t="s">
        <v>9</v>
      </c>
      <c r="J5" s="83">
        <v>0.92214007922696439</v>
      </c>
    </row>
    <row r="6" spans="1:10" x14ac:dyDescent="0.45">
      <c r="A6" s="5"/>
      <c r="B6" s="6"/>
      <c r="C6" s="6"/>
      <c r="D6" s="6"/>
      <c r="E6" s="6"/>
      <c r="F6" s="24">
        <v>1</v>
      </c>
      <c r="G6" s="6"/>
      <c r="I6" s="13" t="s">
        <v>12</v>
      </c>
      <c r="J6" s="83">
        <v>0</v>
      </c>
    </row>
    <row r="7" spans="1:10" x14ac:dyDescent="0.45">
      <c r="A7" s="5"/>
      <c r="B7" s="6"/>
      <c r="C7" s="6"/>
      <c r="D7" s="6"/>
      <c r="E7" s="6"/>
      <c r="F7" s="24">
        <v>1</v>
      </c>
      <c r="G7" s="6"/>
      <c r="I7" s="13" t="s">
        <v>14</v>
      </c>
      <c r="J7" s="83">
        <v>1</v>
      </c>
    </row>
    <row r="8" spans="1:10" x14ac:dyDescent="0.45">
      <c r="A8" s="5"/>
      <c r="B8" s="6"/>
      <c r="C8" s="6"/>
      <c r="D8" s="6"/>
      <c r="E8" s="6"/>
      <c r="F8" s="24">
        <v>1</v>
      </c>
      <c r="G8" s="6"/>
      <c r="H8" s="21"/>
      <c r="I8" s="81"/>
      <c r="J8" s="82"/>
    </row>
    <row r="9" spans="1:10" x14ac:dyDescent="0.45">
      <c r="A9" s="5"/>
      <c r="B9" s="6"/>
      <c r="C9" s="6"/>
      <c r="D9" s="6"/>
      <c r="E9" s="6"/>
      <c r="F9" s="24">
        <v>1</v>
      </c>
      <c r="G9" s="6"/>
      <c r="H9" s="21"/>
      <c r="I9" s="81"/>
      <c r="J9" s="82"/>
    </row>
    <row r="10" spans="1:10" x14ac:dyDescent="0.45">
      <c r="A10" s="5"/>
      <c r="B10" s="6"/>
      <c r="C10" s="6"/>
      <c r="D10" s="6"/>
      <c r="E10" s="6"/>
      <c r="F10" s="24">
        <v>1</v>
      </c>
      <c r="G10" s="6"/>
    </row>
    <row r="11" spans="1:10" x14ac:dyDescent="0.45">
      <c r="A11" s="21"/>
      <c r="C11" s="31"/>
      <c r="D11" s="18"/>
      <c r="E11" s="18"/>
      <c r="F11" s="24">
        <v>1</v>
      </c>
      <c r="G11" s="20"/>
    </row>
    <row r="12" spans="1:10" x14ac:dyDescent="0.45">
      <c r="A12" s="21"/>
      <c r="C12" s="31"/>
      <c r="D12" s="19"/>
      <c r="E12" s="19"/>
      <c r="F12" s="24">
        <v>1</v>
      </c>
      <c r="G12" s="20"/>
    </row>
    <row r="13" spans="1:10" x14ac:dyDescent="0.45">
      <c r="A13" s="21"/>
      <c r="C13" s="31"/>
      <c r="D13" s="19"/>
      <c r="E13" s="19"/>
      <c r="F13" s="24">
        <v>1</v>
      </c>
      <c r="G13" s="20"/>
    </row>
    <row r="14" spans="1:10" x14ac:dyDescent="0.45">
      <c r="A14" s="21"/>
      <c r="C14" s="31"/>
      <c r="D14" s="19"/>
      <c r="E14" s="19"/>
      <c r="F14" s="24">
        <v>1</v>
      </c>
      <c r="G14" s="20"/>
    </row>
    <row r="15" spans="1:10" x14ac:dyDescent="0.45">
      <c r="A15" s="3">
        <v>21</v>
      </c>
      <c r="B15" s="4">
        <f>VLOOKUP($A15,TS_Data!$A:$B,2,FALSE)</f>
        <v>46</v>
      </c>
      <c r="C15" s="31"/>
      <c r="D15" s="32">
        <f>B15</f>
        <v>46</v>
      </c>
      <c r="E15" s="33">
        <v>0</v>
      </c>
      <c r="F15" s="24">
        <v>1</v>
      </c>
      <c r="G15" s="20"/>
    </row>
    <row r="16" spans="1:10" x14ac:dyDescent="0.45">
      <c r="A16" s="3">
        <v>22</v>
      </c>
      <c r="B16" s="4">
        <f>VLOOKUP($A16,TS_Data!$A:$B,2,FALSE)</f>
        <v>54</v>
      </c>
      <c r="C16" s="31"/>
      <c r="D16" s="9">
        <f>$J$5*B16/F13+(1-$J$5)*(D15+E15)</f>
        <v>53.377120633815721</v>
      </c>
      <c r="E16" s="9">
        <f>$J$6*(D16-D15)+(1-$J$6)*E15</f>
        <v>0</v>
      </c>
      <c r="F16" s="25">
        <f>$J$7*B16/D16+(1-$J$7)*F13</f>
        <v>1.0116694073938051</v>
      </c>
      <c r="G16" s="20"/>
    </row>
    <row r="17" spans="1:7" x14ac:dyDescent="0.45">
      <c r="A17" s="3">
        <v>23</v>
      </c>
      <c r="B17" s="4">
        <f>VLOOKUP($A17,TS_Data!$A:$B,2,FALSE)</f>
        <v>61</v>
      </c>
      <c r="C17" s="31"/>
      <c r="D17" s="9">
        <f t="shared" ref="D17:D42" si="0">$J$5*B17/F14+(1-$J$5)*(D16+E16)</f>
        <v>60.406483216486485</v>
      </c>
      <c r="E17" s="9">
        <f t="shared" ref="E17:E42" si="1">$J$6*(D17-D16)+(1-$J$6)*E16</f>
        <v>0</v>
      </c>
      <c r="F17" s="25">
        <f t="shared" ref="F17:F42" si="2">$J$7*B17/D17+(1-$J$7)*F14</f>
        <v>1.0098253821760563</v>
      </c>
      <c r="G17" s="20"/>
    </row>
    <row r="18" spans="1:7" x14ac:dyDescent="0.45">
      <c r="A18" s="3">
        <v>24</v>
      </c>
      <c r="B18" s="4">
        <f>VLOOKUP($A18,TS_Data!$A:$B,2,FALSE)</f>
        <v>52</v>
      </c>
      <c r="C18" s="31"/>
      <c r="D18" s="9">
        <f t="shared" si="0"/>
        <v>52.654528117215492</v>
      </c>
      <c r="E18" s="9">
        <f t="shared" si="1"/>
        <v>0</v>
      </c>
      <c r="F18" s="25">
        <f t="shared" si="2"/>
        <v>0.987569385946097</v>
      </c>
      <c r="G18" s="20"/>
    </row>
    <row r="19" spans="1:7" x14ac:dyDescent="0.45">
      <c r="A19" s="3">
        <v>25</v>
      </c>
      <c r="B19" s="4">
        <f>VLOOKUP($A19,TS_Data!$A:$B,2,FALSE)</f>
        <v>51</v>
      </c>
      <c r="C19" s="2">
        <f>(D18+E18)*F16</f>
        <v>53.26897525694384</v>
      </c>
      <c r="D19" s="9">
        <f t="shared" si="0"/>
        <v>50.586349512712374</v>
      </c>
      <c r="E19" s="9">
        <f t="shared" si="1"/>
        <v>0</v>
      </c>
      <c r="F19" s="25">
        <f t="shared" si="2"/>
        <v>1.0081771167770008</v>
      </c>
      <c r="G19" s="12">
        <f>(B19-C19)^2</f>
        <v>5.1482487166233639</v>
      </c>
    </row>
    <row r="20" spans="1:7" x14ac:dyDescent="0.45">
      <c r="A20" s="3">
        <v>26</v>
      </c>
      <c r="B20" s="4">
        <f>VLOOKUP($A20,TS_Data!$A:$B,2,FALSE)</f>
        <v>58</v>
      </c>
      <c r="C20" s="2">
        <f t="shared" ref="C20:C43" si="3">(D19+E19)*F17</f>
        <v>51.083379729566332</v>
      </c>
      <c r="D20" s="9">
        <f t="shared" si="0"/>
        <v>56.902384816178881</v>
      </c>
      <c r="E20" s="9">
        <f t="shared" si="1"/>
        <v>0</v>
      </c>
      <c r="F20" s="25">
        <f t="shared" si="2"/>
        <v>1.0192894408093252</v>
      </c>
      <c r="G20" s="12">
        <f t="shared" ref="G20:G42" si="4">(B20-C20)^2</f>
        <v>47.839635965373908</v>
      </c>
    </row>
    <row r="21" spans="1:7" x14ac:dyDescent="0.45">
      <c r="A21" s="3">
        <v>27</v>
      </c>
      <c r="B21" s="4">
        <f>VLOOKUP($A21,TS_Data!$A:$B,2,FALSE)</f>
        <v>52</v>
      </c>
      <c r="C21" s="2">
        <f t="shared" si="3"/>
        <v>56.195053231782289</v>
      </c>
      <c r="D21" s="9">
        <f t="shared" si="0"/>
        <v>52.985265903251985</v>
      </c>
      <c r="E21" s="9">
        <f t="shared" si="1"/>
        <v>0</v>
      </c>
      <c r="F21" s="25">
        <f t="shared" si="2"/>
        <v>0.98140490782756429</v>
      </c>
      <c r="G21" s="12">
        <f t="shared" si="4"/>
        <v>17.598471617487029</v>
      </c>
    </row>
    <row r="22" spans="1:7" x14ac:dyDescent="0.45">
      <c r="A22" s="3">
        <v>28</v>
      </c>
      <c r="B22" s="4">
        <f>VLOOKUP($A22,TS_Data!$A:$B,2,FALSE)</f>
        <v>62</v>
      </c>
      <c r="C22" s="2">
        <f t="shared" si="3"/>
        <v>53.418532610003318</v>
      </c>
      <c r="D22" s="9">
        <f t="shared" si="0"/>
        <v>60.83439765521328</v>
      </c>
      <c r="E22" s="9">
        <f t="shared" si="1"/>
        <v>0</v>
      </c>
      <c r="F22" s="25">
        <f t="shared" si="2"/>
        <v>1.0191602512675957</v>
      </c>
      <c r="G22" s="12">
        <f t="shared" si="4"/>
        <v>73.641582565576471</v>
      </c>
    </row>
    <row r="23" spans="1:7" x14ac:dyDescent="0.45">
      <c r="A23" s="3">
        <v>29</v>
      </c>
      <c r="B23" s="4">
        <f>VLOOKUP($A23,TS_Data!$A:$B,2,FALSE)</f>
        <v>63</v>
      </c>
      <c r="C23" s="2">
        <f t="shared" si="3"/>
        <v>62.007859167954464</v>
      </c>
      <c r="D23" s="9">
        <f t="shared" si="0"/>
        <v>61.731976683149</v>
      </c>
      <c r="E23" s="9">
        <f t="shared" si="1"/>
        <v>0</v>
      </c>
      <c r="F23" s="25">
        <f t="shared" si="2"/>
        <v>1.0205407859100215</v>
      </c>
      <c r="G23" s="12">
        <f t="shared" si="4"/>
        <v>0.98434343061200769</v>
      </c>
    </row>
    <row r="24" spans="1:7" x14ac:dyDescent="0.45">
      <c r="A24" s="3">
        <v>30</v>
      </c>
      <c r="B24" s="4">
        <f>VLOOKUP($A24,TS_Data!$A:$B,2,FALSE)</f>
        <v>59</v>
      </c>
      <c r="C24" s="2">
        <f t="shared" si="3"/>
        <v>60.584064886739192</v>
      </c>
      <c r="D24" s="9">
        <f t="shared" si="0"/>
        <v>60.24356990169953</v>
      </c>
      <c r="E24" s="9">
        <f t="shared" si="1"/>
        <v>0</v>
      </c>
      <c r="F24" s="25">
        <f t="shared" si="2"/>
        <v>0.97935763262820108</v>
      </c>
      <c r="G24" s="12">
        <f t="shared" si="4"/>
        <v>2.509261565400049</v>
      </c>
    </row>
    <row r="25" spans="1:7" x14ac:dyDescent="0.45">
      <c r="A25" s="3">
        <v>31</v>
      </c>
      <c r="B25" s="4">
        <f>VLOOKUP($A25,TS_Data!$A:$B,2,FALSE)</f>
        <v>55</v>
      </c>
      <c r="C25" s="2">
        <f t="shared" si="3"/>
        <v>61.397851838273056</v>
      </c>
      <c r="D25" s="9">
        <f t="shared" si="0"/>
        <v>54.454769177093524</v>
      </c>
      <c r="E25" s="9">
        <f t="shared" si="1"/>
        <v>0</v>
      </c>
      <c r="F25" s="25">
        <f t="shared" si="2"/>
        <v>1.0100125449275767</v>
      </c>
      <c r="G25" s="12">
        <f t="shared" si="4"/>
        <v>40.932508144493916</v>
      </c>
    </row>
    <row r="26" spans="1:7" x14ac:dyDescent="0.45">
      <c r="A26" s="3">
        <v>32</v>
      </c>
      <c r="B26" s="4">
        <f>VLOOKUP($A26,TS_Data!$A:$B,2,FALSE)</f>
        <v>53</v>
      </c>
      <c r="C26" s="2">
        <f t="shared" si="3"/>
        <v>55.573312932539842</v>
      </c>
      <c r="D26" s="9">
        <f t="shared" si="0"/>
        <v>52.129575491304585</v>
      </c>
      <c r="E26" s="9">
        <f t="shared" si="1"/>
        <v>0</v>
      </c>
      <c r="F26" s="25">
        <f t="shared" si="2"/>
        <v>1.0166973258556575</v>
      </c>
      <c r="G26" s="12">
        <f t="shared" si="4"/>
        <v>6.6219394487768026</v>
      </c>
    </row>
    <row r="27" spans="1:7" x14ac:dyDescent="0.45">
      <c r="A27" s="3">
        <v>33</v>
      </c>
      <c r="B27" s="4">
        <f>VLOOKUP($A27,TS_Data!$A:$B,2,FALSE)</f>
        <v>48</v>
      </c>
      <c r="C27" s="2">
        <f t="shared" si="3"/>
        <v>51.053497643077151</v>
      </c>
      <c r="D27" s="9">
        <f t="shared" si="0"/>
        <v>49.254474032249057</v>
      </c>
      <c r="E27" s="9">
        <f t="shared" si="1"/>
        <v>0</v>
      </c>
      <c r="F27" s="25">
        <f t="shared" si="2"/>
        <v>0.97453075975539405</v>
      </c>
      <c r="G27" s="12">
        <f t="shared" si="4"/>
        <v>9.3238478562777143</v>
      </c>
    </row>
    <row r="28" spans="1:7" x14ac:dyDescent="0.45">
      <c r="A28" s="3">
        <v>34</v>
      </c>
      <c r="B28" s="4">
        <f>VLOOKUP($A28,TS_Data!$A:$B,2,FALSE)</f>
        <v>60</v>
      </c>
      <c r="C28" s="2">
        <f t="shared" si="3"/>
        <v>49.747636666381112</v>
      </c>
      <c r="D28" s="9">
        <f t="shared" si="0"/>
        <v>58.614867805778722</v>
      </c>
      <c r="E28" s="9">
        <f t="shared" si="1"/>
        <v>0</v>
      </c>
      <c r="F28" s="25">
        <f t="shared" si="2"/>
        <v>1.0236310725601383</v>
      </c>
      <c r="G28" s="12">
        <f t="shared" si="4"/>
        <v>105.11095392453299</v>
      </c>
    </row>
    <row r="29" spans="1:7" x14ac:dyDescent="0.45">
      <c r="A29" s="3">
        <v>35</v>
      </c>
      <c r="B29" s="4">
        <f>VLOOKUP($A29,TS_Data!$A:$B,2,FALSE)</f>
        <v>65</v>
      </c>
      <c r="C29" s="2">
        <f t="shared" si="3"/>
        <v>59.593579353518102</v>
      </c>
      <c r="D29" s="9">
        <f t="shared" si="0"/>
        <v>63.518467959428499</v>
      </c>
      <c r="E29" s="9">
        <f t="shared" si="1"/>
        <v>0</v>
      </c>
      <c r="F29" s="25">
        <f t="shared" si="2"/>
        <v>1.0233244297000017</v>
      </c>
      <c r="G29" s="12">
        <f t="shared" si="4"/>
        <v>29.229384206705745</v>
      </c>
    </row>
    <row r="30" spans="1:7" x14ac:dyDescent="0.45">
      <c r="A30" s="3">
        <v>36</v>
      </c>
      <c r="B30" s="4">
        <f>VLOOKUP($A30,TS_Data!$A:$B,2,FALSE)</f>
        <v>49</v>
      </c>
      <c r="C30" s="2">
        <f t="shared" si="3"/>
        <v>61.900700839000507</v>
      </c>
      <c r="D30" s="9">
        <f t="shared" si="0"/>
        <v>51.311307564875904</v>
      </c>
      <c r="E30" s="9">
        <f t="shared" si="1"/>
        <v>0</v>
      </c>
      <c r="F30" s="25">
        <f t="shared" si="2"/>
        <v>0.95495520043114124</v>
      </c>
      <c r="G30" s="12">
        <f t="shared" si="4"/>
        <v>166.42808213738837</v>
      </c>
    </row>
    <row r="31" spans="1:7" x14ac:dyDescent="0.45">
      <c r="A31" s="3">
        <v>37</v>
      </c>
      <c r="B31" s="4">
        <f>VLOOKUP($A31,TS_Data!$A:$B,2,FALSE)</f>
        <v>50</v>
      </c>
      <c r="C31" s="2">
        <f t="shared" si="3"/>
        <v>52.52384879709706</v>
      </c>
      <c r="D31" s="9">
        <f t="shared" si="0"/>
        <v>49.037693377011131</v>
      </c>
      <c r="E31" s="9">
        <f t="shared" si="1"/>
        <v>0</v>
      </c>
      <c r="F31" s="25">
        <f t="shared" si="2"/>
        <v>1.0196238150026853</v>
      </c>
      <c r="G31" s="12">
        <f t="shared" si="4"/>
        <v>6.3698127506082747</v>
      </c>
    </row>
    <row r="32" spans="1:7" x14ac:dyDescent="0.45">
      <c r="A32" s="3">
        <v>38</v>
      </c>
      <c r="B32" s="4">
        <f>VLOOKUP($A32,TS_Data!$A:$B,2,FALSE)</f>
        <v>51</v>
      </c>
      <c r="C32" s="2">
        <f t="shared" si="3"/>
        <v>50.181469608833467</v>
      </c>
      <c r="D32" s="9">
        <f t="shared" si="0"/>
        <v>49.775289058159153</v>
      </c>
      <c r="E32" s="9">
        <f t="shared" si="1"/>
        <v>0</v>
      </c>
      <c r="F32" s="25">
        <f t="shared" si="2"/>
        <v>1.024604798184293</v>
      </c>
      <c r="G32" s="12">
        <f t="shared" si="4"/>
        <v>0.66999200126323744</v>
      </c>
    </row>
    <row r="33" spans="1:7" x14ac:dyDescent="0.45">
      <c r="A33" s="3">
        <v>39</v>
      </c>
      <c r="B33" s="4">
        <f>VLOOKUP($A33,TS_Data!$A:$B,2,FALSE)</f>
        <v>60</v>
      </c>
      <c r="C33" s="2">
        <f t="shared" si="3"/>
        <v>47.533171139052364</v>
      </c>
      <c r="D33" s="9">
        <f t="shared" si="0"/>
        <v>61.813720335723787</v>
      </c>
      <c r="E33" s="9">
        <f t="shared" si="1"/>
        <v>0</v>
      </c>
      <c r="F33" s="25">
        <f t="shared" si="2"/>
        <v>0.97065828871206783</v>
      </c>
      <c r="G33" s="12">
        <f t="shared" si="4"/>
        <v>155.42182184815695</v>
      </c>
    </row>
    <row r="34" spans="1:7" x14ac:dyDescent="0.45">
      <c r="A34" s="3">
        <v>40</v>
      </c>
      <c r="B34" s="4">
        <f>VLOOKUP($A34,TS_Data!$A:$B,2,FALSE)</f>
        <v>66</v>
      </c>
      <c r="C34" s="2">
        <f t="shared" si="3"/>
        <v>63.026741348219758</v>
      </c>
      <c r="D34" s="9">
        <f t="shared" si="0"/>
        <v>64.502713009661747</v>
      </c>
      <c r="E34" s="9">
        <f t="shared" si="1"/>
        <v>0</v>
      </c>
      <c r="F34" s="25">
        <f t="shared" si="2"/>
        <v>1.0232127754085938</v>
      </c>
      <c r="G34" s="12">
        <f t="shared" si="4"/>
        <v>8.8402670103860608</v>
      </c>
    </row>
    <row r="35" spans="1:7" x14ac:dyDescent="0.45">
      <c r="A35" s="3">
        <v>41</v>
      </c>
      <c r="B35" s="4">
        <f>VLOOKUP($A35,TS_Data!$A:$B,2,FALSE)</f>
        <v>65</v>
      </c>
      <c r="C35" s="2">
        <f t="shared" si="3"/>
        <v>66.089789245603839</v>
      </c>
      <c r="D35" s="9">
        <f t="shared" si="0"/>
        <v>63.52190719744744</v>
      </c>
      <c r="E35" s="9">
        <f t="shared" si="1"/>
        <v>0</v>
      </c>
      <c r="F35" s="25">
        <f t="shared" si="2"/>
        <v>1.0232690243061839</v>
      </c>
      <c r="G35" s="12">
        <f t="shared" si="4"/>
        <v>1.1876405998337849</v>
      </c>
    </row>
    <row r="36" spans="1:7" x14ac:dyDescent="0.45">
      <c r="A36" s="3">
        <v>42</v>
      </c>
      <c r="B36" s="4">
        <f>VLOOKUP($A36,TS_Data!$A:$B,2,FALSE)</f>
        <v>52</v>
      </c>
      <c r="C36" s="2">
        <f t="shared" si="3"/>
        <v>61.65806573600112</v>
      </c>
      <c r="D36" s="9">
        <f t="shared" si="0"/>
        <v>54.346598433750096</v>
      </c>
      <c r="E36" s="9">
        <f t="shared" si="1"/>
        <v>0</v>
      </c>
      <c r="F36" s="25">
        <f t="shared" si="2"/>
        <v>0.95682161347024031</v>
      </c>
      <c r="G36" s="12">
        <f t="shared" si="4"/>
        <v>93.278233760918866</v>
      </c>
    </row>
    <row r="37" spans="1:7" x14ac:dyDescent="0.45">
      <c r="A37" s="3">
        <v>43</v>
      </c>
      <c r="B37" s="4">
        <f>VLOOKUP($A37,TS_Data!$A:$B,2,FALSE)</f>
        <v>58</v>
      </c>
      <c r="C37" s="2">
        <f t="shared" si="3"/>
        <v>55.608133817413773</v>
      </c>
      <c r="D37" s="9">
        <f t="shared" si="0"/>
        <v>56.502196686742586</v>
      </c>
      <c r="E37" s="9">
        <f t="shared" si="1"/>
        <v>0</v>
      </c>
      <c r="F37" s="25">
        <f t="shared" si="2"/>
        <v>1.0265087625099159</v>
      </c>
      <c r="G37" s="12">
        <f t="shared" si="4"/>
        <v>5.7210238353996115</v>
      </c>
    </row>
    <row r="38" spans="1:7" x14ac:dyDescent="0.45">
      <c r="A38" s="3">
        <v>44</v>
      </c>
      <c r="B38" s="4">
        <f>VLOOKUP($A38,TS_Data!$A:$B,2,FALSE)</f>
        <v>71</v>
      </c>
      <c r="C38" s="2">
        <f t="shared" si="3"/>
        <v>57.816947674799188</v>
      </c>
      <c r="D38" s="9">
        <f t="shared" si="0"/>
        <v>68.382377388837568</v>
      </c>
      <c r="E38" s="9">
        <f t="shared" si="1"/>
        <v>0</v>
      </c>
      <c r="F38" s="25">
        <f t="shared" si="2"/>
        <v>1.0382791986929329</v>
      </c>
      <c r="G38" s="12">
        <f t="shared" si="4"/>
        <v>173.79286860898253</v>
      </c>
    </row>
    <row r="39" spans="1:7" x14ac:dyDescent="0.45">
      <c r="A39" s="3">
        <v>45</v>
      </c>
      <c r="B39" s="4">
        <f>VLOOKUP($A39,TS_Data!$A:$B,2,FALSE)</f>
        <v>74</v>
      </c>
      <c r="C39" s="2">
        <f t="shared" si="3"/>
        <v>65.429736666118444</v>
      </c>
      <c r="D39" s="9">
        <f t="shared" si="0"/>
        <v>76.641997780394803</v>
      </c>
      <c r="E39" s="9">
        <f t="shared" si="1"/>
        <v>0</v>
      </c>
      <c r="F39" s="25">
        <f t="shared" si="2"/>
        <v>0.96552806741853181</v>
      </c>
      <c r="G39" s="12">
        <f t="shared" si="4"/>
        <v>73.449413612074608</v>
      </c>
    </row>
    <row r="40" spans="1:7" x14ac:dyDescent="0.45">
      <c r="A40" s="3">
        <v>46</v>
      </c>
      <c r="B40" s="4">
        <f>VLOOKUP($A40,TS_Data!$A:$B,2,FALSE)</f>
        <v>79</v>
      </c>
      <c r="C40" s="2">
        <f t="shared" si="3"/>
        <v>78.673682297840784</v>
      </c>
      <c r="D40" s="9">
        <f t="shared" si="0"/>
        <v>76.935137637269008</v>
      </c>
      <c r="E40" s="9">
        <f t="shared" si="1"/>
        <v>0</v>
      </c>
      <c r="F40" s="25">
        <f t="shared" si="2"/>
        <v>1.0268390026474812</v>
      </c>
      <c r="G40" s="12">
        <f t="shared" si="4"/>
        <v>0.10648324274247056</v>
      </c>
    </row>
    <row r="41" spans="1:7" x14ac:dyDescent="0.45">
      <c r="A41" s="3">
        <v>47</v>
      </c>
      <c r="B41" s="4">
        <f>VLOOKUP($A41,TS_Data!$A:$B,2,FALSE)</f>
        <v>73</v>
      </c>
      <c r="C41" s="2">
        <f t="shared" si="3"/>
        <v>79.880153057354178</v>
      </c>
      <c r="D41" s="9">
        <f t="shared" si="0"/>
        <v>70.824580001722495</v>
      </c>
      <c r="E41" s="9">
        <f t="shared" si="1"/>
        <v>0</v>
      </c>
      <c r="F41" s="25">
        <f t="shared" si="2"/>
        <v>1.030715607466004</v>
      </c>
      <c r="G41" s="12">
        <f t="shared" si="4"/>
        <v>47.336506092620048</v>
      </c>
    </row>
    <row r="42" spans="1:7" x14ac:dyDescent="0.45">
      <c r="A42" s="3">
        <v>48</v>
      </c>
      <c r="B42" s="4">
        <f>VLOOKUP($A42,TS_Data!$A:$B,2,FALSE)</f>
        <v>69</v>
      </c>
      <c r="C42" s="2">
        <f t="shared" si="3"/>
        <v>68.383119854792312</v>
      </c>
      <c r="D42" s="9">
        <f t="shared" si="0"/>
        <v>71.413739369710882</v>
      </c>
      <c r="E42" s="9">
        <f t="shared" si="1"/>
        <v>0</v>
      </c>
      <c r="F42" s="25">
        <f t="shared" si="2"/>
        <v>0.96620063042470183</v>
      </c>
      <c r="G42" s="12">
        <f t="shared" si="4"/>
        <v>0.38054111355145792</v>
      </c>
    </row>
    <row r="43" spans="1:7" x14ac:dyDescent="0.45">
      <c r="A43" s="3">
        <v>49</v>
      </c>
      <c r="C43" s="2">
        <f t="shared" si="3"/>
        <v>73.33041290972109</v>
      </c>
      <c r="D43" s="19"/>
      <c r="E43" s="19"/>
      <c r="F43" s="80"/>
      <c r="G43" s="20"/>
    </row>
  </sheetData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shapeId="26625" r:id="rId4">
          <objectPr defaultSize="0" autoPict="0" r:id="rId5">
            <anchor moveWithCells="1">
              <from>
                <xdr:col>10</xdr:col>
                <xdr:colOff>276225</xdr:colOff>
                <xdr:row>0</xdr:row>
                <xdr:rowOff>152400</xdr:rowOff>
              </from>
              <to>
                <xdr:col>13</xdr:col>
                <xdr:colOff>628650</xdr:colOff>
                <xdr:row>9</xdr:row>
                <xdr:rowOff>19050</xdr:rowOff>
              </to>
            </anchor>
          </objectPr>
        </oleObject>
      </mc:Choice>
      <mc:Fallback>
        <oleObject shapeId="26625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B38C-957E-4E33-8F60-40EE2B43D258}">
  <dimension ref="A1:J43"/>
  <sheetViews>
    <sheetView zoomScale="90" zoomScaleNormal="90" workbookViewId="0">
      <selection activeCell="E16" sqref="E16"/>
    </sheetView>
  </sheetViews>
  <sheetFormatPr defaultColWidth="9" defaultRowHeight="14.25" x14ac:dyDescent="0.45"/>
  <cols>
    <col min="1" max="1" width="7.86328125" customWidth="1"/>
    <col min="3" max="3" width="8.73046875" customWidth="1"/>
    <col min="4" max="4" width="10.1328125" customWidth="1"/>
    <col min="5" max="5" width="12.1328125" bestFit="1" customWidth="1"/>
    <col min="6" max="6" width="11" style="22" customWidth="1"/>
    <col min="7" max="7" width="14.265625" customWidth="1"/>
    <col min="10" max="10" width="9.265625" bestFit="1" customWidth="1"/>
  </cols>
  <sheetData>
    <row r="1" spans="1:10" ht="14.65" thickBot="1" x14ac:dyDescent="0.5">
      <c r="A1" s="7" t="s">
        <v>21</v>
      </c>
    </row>
    <row r="2" spans="1:10" ht="14.65" thickBot="1" x14ac:dyDescent="0.5">
      <c r="B2" s="5" t="s">
        <v>0</v>
      </c>
      <c r="C2" s="16" t="s">
        <v>16</v>
      </c>
      <c r="I2" s="15" t="s">
        <v>13</v>
      </c>
      <c r="J2" s="84">
        <f>AVERAGE(G19:G42)</f>
        <v>30.463831325622166</v>
      </c>
    </row>
    <row r="3" spans="1:10" ht="14.65" thickBot="1" x14ac:dyDescent="0.5">
      <c r="A3" s="5" t="s">
        <v>20</v>
      </c>
      <c r="B3" s="6" t="s">
        <v>2</v>
      </c>
      <c r="C3" s="6" t="s">
        <v>3</v>
      </c>
      <c r="D3" s="6" t="s">
        <v>4</v>
      </c>
      <c r="E3" s="6" t="s">
        <v>5</v>
      </c>
      <c r="F3" s="23" t="s">
        <v>15</v>
      </c>
      <c r="G3" s="6" t="s">
        <v>6</v>
      </c>
      <c r="I3" s="15" t="s">
        <v>17</v>
      </c>
      <c r="J3" s="84">
        <f>SQRT(J2)</f>
        <v>5.5194049793091073</v>
      </c>
    </row>
    <row r="4" spans="1:10" x14ac:dyDescent="0.45">
      <c r="A4" s="5"/>
      <c r="B4" s="6"/>
      <c r="C4" s="6"/>
      <c r="D4" s="6"/>
      <c r="E4" s="6"/>
      <c r="F4" s="24">
        <v>1</v>
      </c>
      <c r="G4" s="6"/>
      <c r="I4" s="14" t="s">
        <v>10</v>
      </c>
      <c r="J4" s="13"/>
    </row>
    <row r="5" spans="1:10" x14ac:dyDescent="0.45">
      <c r="A5" s="5"/>
      <c r="B5" s="6"/>
      <c r="C5" s="6"/>
      <c r="D5" s="6"/>
      <c r="E5" s="6"/>
      <c r="F5" s="24">
        <v>1</v>
      </c>
      <c r="G5" s="6"/>
      <c r="I5" s="13" t="s">
        <v>9</v>
      </c>
      <c r="J5" s="83">
        <v>0.57638390401563977</v>
      </c>
    </row>
    <row r="6" spans="1:10" x14ac:dyDescent="0.45">
      <c r="A6" s="5"/>
      <c r="B6" s="6"/>
      <c r="C6" s="6"/>
      <c r="D6" s="6"/>
      <c r="E6" s="6"/>
      <c r="F6" s="24">
        <v>1</v>
      </c>
      <c r="G6" s="6"/>
      <c r="I6" s="13" t="s">
        <v>12</v>
      </c>
      <c r="J6" s="83">
        <v>2.8980334076757579E-2</v>
      </c>
    </row>
    <row r="7" spans="1:10" x14ac:dyDescent="0.45">
      <c r="A7" s="5"/>
      <c r="B7" s="6"/>
      <c r="C7" s="6"/>
      <c r="D7" s="6"/>
      <c r="E7" s="6"/>
      <c r="F7" s="24">
        <v>1</v>
      </c>
      <c r="G7" s="6"/>
      <c r="I7" s="13" t="s">
        <v>14</v>
      </c>
      <c r="J7" s="83">
        <v>0.83226736334783902</v>
      </c>
    </row>
    <row r="8" spans="1:10" x14ac:dyDescent="0.45">
      <c r="A8" s="5"/>
      <c r="B8" s="6"/>
      <c r="C8" s="6"/>
      <c r="D8" s="6"/>
      <c r="E8" s="6"/>
      <c r="F8" s="24">
        <v>1</v>
      </c>
      <c r="G8" s="6"/>
      <c r="H8" s="21"/>
      <c r="I8" s="81"/>
      <c r="J8" s="82"/>
    </row>
    <row r="9" spans="1:10" x14ac:dyDescent="0.45">
      <c r="A9" s="5"/>
      <c r="B9" s="6"/>
      <c r="C9" s="6"/>
      <c r="D9" s="6"/>
      <c r="E9" s="6"/>
      <c r="F9" s="24">
        <v>1</v>
      </c>
      <c r="G9" s="6"/>
      <c r="H9" s="21"/>
      <c r="I9" s="81"/>
      <c r="J9" s="82"/>
    </row>
    <row r="10" spans="1:10" x14ac:dyDescent="0.45">
      <c r="A10" s="5"/>
      <c r="B10" s="6"/>
      <c r="C10" s="6"/>
      <c r="D10" s="6"/>
      <c r="E10" s="6"/>
      <c r="F10" s="24">
        <v>1</v>
      </c>
      <c r="G10" s="6"/>
    </row>
    <row r="11" spans="1:10" x14ac:dyDescent="0.45">
      <c r="A11" s="21"/>
      <c r="C11" s="31"/>
      <c r="D11" s="18"/>
      <c r="E11" s="18"/>
      <c r="F11" s="24">
        <v>1</v>
      </c>
      <c r="G11" s="20"/>
    </row>
    <row r="12" spans="1:10" x14ac:dyDescent="0.45">
      <c r="A12" s="21"/>
      <c r="C12" s="31"/>
      <c r="D12" s="19"/>
      <c r="E12" s="19"/>
      <c r="F12" s="24">
        <v>1</v>
      </c>
      <c r="G12" s="20"/>
    </row>
    <row r="13" spans="1:10" x14ac:dyDescent="0.45">
      <c r="A13" s="21"/>
      <c r="C13" s="31"/>
      <c r="D13" s="19"/>
      <c r="E13" s="19"/>
      <c r="F13" s="24">
        <v>1</v>
      </c>
      <c r="G13" s="20"/>
    </row>
    <row r="14" spans="1:10" x14ac:dyDescent="0.45">
      <c r="A14" s="21"/>
      <c r="C14" s="31"/>
      <c r="D14" s="19"/>
      <c r="E14" s="19"/>
      <c r="F14" s="24">
        <v>1</v>
      </c>
      <c r="G14" s="20"/>
    </row>
    <row r="15" spans="1:10" x14ac:dyDescent="0.45">
      <c r="A15" s="3">
        <v>21</v>
      </c>
      <c r="B15" s="4">
        <f>VLOOKUP($A15,TS_Data!$A:$B,2,FALSE)</f>
        <v>46</v>
      </c>
      <c r="C15" s="31"/>
      <c r="D15" s="32">
        <f>B15</f>
        <v>46</v>
      </c>
      <c r="E15" s="33">
        <v>0</v>
      </c>
      <c r="F15" s="24">
        <v>1</v>
      </c>
      <c r="G15" s="20"/>
    </row>
    <row r="16" spans="1:10" x14ac:dyDescent="0.45">
      <c r="A16" s="3">
        <v>22</v>
      </c>
      <c r="B16" s="4">
        <f>VLOOKUP($A16,TS_Data!$A:$B,2,FALSE)</f>
        <v>54</v>
      </c>
      <c r="C16" s="31"/>
      <c r="D16" s="9">
        <f t="shared" ref="D16:D42" si="0">$J$5*B16/F10+(1-$J$5)*(D15+E15)</f>
        <v>50.611071232125113</v>
      </c>
      <c r="E16" s="9">
        <f t="shared" ref="E16:E42" si="1">$J$6*(D16-D15)+(1-$J$6)*E15</f>
        <v>0.13363038475871197</v>
      </c>
      <c r="F16" s="25">
        <f>$J$7*B16/D16+(1-$J$7)*F10</f>
        <v>1.0557288107433416</v>
      </c>
      <c r="G16" s="20"/>
    </row>
    <row r="17" spans="1:7" x14ac:dyDescent="0.45">
      <c r="A17" s="3">
        <v>23</v>
      </c>
      <c r="B17" s="4">
        <f>VLOOKUP($A17,TS_Data!$A:$B,2,FALSE)</f>
        <v>61</v>
      </c>
      <c r="C17" s="31"/>
      <c r="D17" s="9">
        <f t="shared" si="0"/>
        <v>56.655690535789603</v>
      </c>
      <c r="E17" s="9">
        <f t="shared" si="1"/>
        <v>0.30493281835261354</v>
      </c>
      <c r="F17" s="25">
        <f t="shared" ref="F17:F42" si="2">$J$7*B17/D17+(1-$J$7)*F11</f>
        <v>1.0638175432891679</v>
      </c>
      <c r="G17" s="20"/>
    </row>
    <row r="18" spans="1:7" x14ac:dyDescent="0.45">
      <c r="A18" s="3">
        <v>24</v>
      </c>
      <c r="B18" s="4">
        <f>VLOOKUP($A18,TS_Data!$A:$B,2,FALSE)</f>
        <v>52</v>
      </c>
      <c r="C18" s="31"/>
      <c r="D18" s="9">
        <f t="shared" si="0"/>
        <v>54.101399898930566</v>
      </c>
      <c r="E18" s="9">
        <f t="shared" si="1"/>
        <v>0.22207156742047884</v>
      </c>
      <c r="F18" s="25">
        <f t="shared" si="2"/>
        <v>0.96767317377203532</v>
      </c>
      <c r="G18" s="20"/>
    </row>
    <row r="19" spans="1:7" x14ac:dyDescent="0.45">
      <c r="A19" s="3">
        <v>25</v>
      </c>
      <c r="B19" s="4">
        <f>VLOOKUP($A19,TS_Data!$A:$B,2,FALSE)</f>
        <v>51</v>
      </c>
      <c r="C19" s="2">
        <f t="shared" ref="C19:C43" si="3">(D18+E18)*F13</f>
        <v>54.323471466351045</v>
      </c>
      <c r="D19" s="9">
        <f t="shared" si="0"/>
        <v>52.407876007691044</v>
      </c>
      <c r="E19" s="9">
        <f t="shared" si="1"/>
        <v>0.16655697107259235</v>
      </c>
      <c r="F19" s="25">
        <f t="shared" si="2"/>
        <v>0.97764211522959354</v>
      </c>
      <c r="G19" s="12">
        <f>(B19-C19)^2</f>
        <v>11.045462587649562</v>
      </c>
    </row>
    <row r="20" spans="1:7" x14ac:dyDescent="0.45">
      <c r="A20" s="3">
        <v>26</v>
      </c>
      <c r="B20" s="4">
        <f>VLOOKUP($A20,TS_Data!$A:$B,2,FALSE)</f>
        <v>58</v>
      </c>
      <c r="C20" s="2">
        <f t="shared" si="3"/>
        <v>52.574432978763639</v>
      </c>
      <c r="D20" s="9">
        <f t="shared" si="0"/>
        <v>55.701642479962359</v>
      </c>
      <c r="E20" s="9">
        <f t="shared" si="1"/>
        <v>0.25718454714534178</v>
      </c>
      <c r="F20" s="25">
        <f t="shared" si="2"/>
        <v>1.0343409613804568</v>
      </c>
      <c r="G20" s="12">
        <f t="shared" ref="G20:G42" si="4">(B20-C20)^2</f>
        <v>29.436777501927601</v>
      </c>
    </row>
    <row r="21" spans="1:7" x14ac:dyDescent="0.45">
      <c r="A21" s="3">
        <v>27</v>
      </c>
      <c r="B21" s="4">
        <f>VLOOKUP($A21,TS_Data!$A:$B,2,FALSE)</f>
        <v>52</v>
      </c>
      <c r="C21" s="2">
        <f t="shared" si="3"/>
        <v>55.958827027107702</v>
      </c>
      <c r="D21" s="9">
        <f t="shared" si="0"/>
        <v>53.677022849900737</v>
      </c>
      <c r="E21" s="9">
        <f t="shared" si="1"/>
        <v>0.19105709979214303</v>
      </c>
      <c r="F21" s="25">
        <f t="shared" si="2"/>
        <v>0.97399760062207807</v>
      </c>
      <c r="G21" s="12">
        <f t="shared" si="4"/>
        <v>15.672311430558407</v>
      </c>
    </row>
    <row r="22" spans="1:7" x14ac:dyDescent="0.45">
      <c r="A22" s="3">
        <v>28</v>
      </c>
      <c r="B22" s="4">
        <f>VLOOKUP($A22,TS_Data!$A:$B,2,FALSE)</f>
        <v>62</v>
      </c>
      <c r="C22" s="2">
        <f t="shared" si="3"/>
        <v>56.870083982316501</v>
      </c>
      <c r="D22" s="9">
        <f t="shared" si="0"/>
        <v>56.668800164444704</v>
      </c>
      <c r="E22" s="9">
        <f t="shared" si="1"/>
        <v>0.27222290727117915</v>
      </c>
      <c r="F22" s="25">
        <f t="shared" si="2"/>
        <v>1.087644303621957</v>
      </c>
      <c r="G22" s="12">
        <f t="shared" si="4"/>
        <v>26.316038348485726</v>
      </c>
    </row>
    <row r="23" spans="1:7" x14ac:dyDescent="0.45">
      <c r="A23" s="3">
        <v>29</v>
      </c>
      <c r="B23" s="4">
        <f>VLOOKUP($A23,TS_Data!$A:$B,2,FALSE)</f>
        <v>63</v>
      </c>
      <c r="C23" s="2">
        <f t="shared" si="3"/>
        <v>60.57485927652462</v>
      </c>
      <c r="D23" s="9">
        <f t="shared" si="0"/>
        <v>58.25498154777393</v>
      </c>
      <c r="E23" s="9">
        <f t="shared" si="1"/>
        <v>0.31030186287032863</v>
      </c>
      <c r="F23" s="25">
        <f t="shared" si="2"/>
        <v>1.0784946074707709</v>
      </c>
      <c r="G23" s="12">
        <f t="shared" si="4"/>
        <v>5.8813075286586889</v>
      </c>
    </row>
    <row r="24" spans="1:7" x14ac:dyDescent="0.45">
      <c r="A24" s="3">
        <v>30</v>
      </c>
      <c r="B24" s="4">
        <f>VLOOKUP($A24,TS_Data!$A:$B,2,FALSE)</f>
        <v>59</v>
      </c>
      <c r="C24" s="2">
        <f t="shared" si="3"/>
        <v>56.672053670836853</v>
      </c>
      <c r="D24" s="9">
        <f t="shared" si="0"/>
        <v>59.951899088240822</v>
      </c>
      <c r="E24" s="9">
        <f t="shared" si="1"/>
        <v>0.35048644844314658</v>
      </c>
      <c r="F24" s="25">
        <f t="shared" si="2"/>
        <v>0.98136323330249864</v>
      </c>
      <c r="G24" s="12">
        <f t="shared" si="4"/>
        <v>5.4193341114641722</v>
      </c>
    </row>
    <row r="25" spans="1:7" x14ac:dyDescent="0.45">
      <c r="A25" s="3">
        <v>31</v>
      </c>
      <c r="B25" s="4">
        <f>VLOOKUP($A25,TS_Data!$A:$B,2,FALSE)</f>
        <v>55</v>
      </c>
      <c r="C25" s="2">
        <f t="shared" si="3"/>
        <v>58.954151749474164</v>
      </c>
      <c r="D25" s="9">
        <f t="shared" si="0"/>
        <v>57.971154724376994</v>
      </c>
      <c r="E25" s="9">
        <f t="shared" si="1"/>
        <v>0.28292660069245951</v>
      </c>
      <c r="F25" s="25">
        <f t="shared" si="2"/>
        <v>0.95359424059864306</v>
      </c>
      <c r="G25" s="12">
        <f t="shared" si="4"/>
        <v>15.635316057869591</v>
      </c>
    </row>
    <row r="26" spans="1:7" x14ac:dyDescent="0.45">
      <c r="A26" s="3">
        <v>32</v>
      </c>
      <c r="B26" s="4">
        <f>VLOOKUP($A26,TS_Data!$A:$B,2,FALSE)</f>
        <v>53</v>
      </c>
      <c r="C26" s="2">
        <f t="shared" si="3"/>
        <v>60.254582482107658</v>
      </c>
      <c r="D26" s="9">
        <f t="shared" si="0"/>
        <v>54.211483449548751</v>
      </c>
      <c r="E26" s="9">
        <f t="shared" si="1"/>
        <v>0.1657707637218791</v>
      </c>
      <c r="F26" s="25">
        <f t="shared" si="2"/>
        <v>0.98716112295174063</v>
      </c>
      <c r="G26" s="12">
        <f t="shared" si="4"/>
        <v>52.628966989703308</v>
      </c>
    </row>
    <row r="27" spans="1:7" x14ac:dyDescent="0.45">
      <c r="A27" s="3">
        <v>33</v>
      </c>
      <c r="B27" s="4">
        <f>VLOOKUP($A27,TS_Data!$A:$B,2,FALSE)</f>
        <v>48</v>
      </c>
      <c r="C27" s="2">
        <f t="shared" si="3"/>
        <v>52.963315132142384</v>
      </c>
      <c r="D27" s="9">
        <f t="shared" si="0"/>
        <v>51.440106369274929</v>
      </c>
      <c r="E27" s="9">
        <f t="shared" si="1"/>
        <v>8.0651237970055425E-2</v>
      </c>
      <c r="F27" s="25">
        <f t="shared" si="2"/>
        <v>0.93997987214198075</v>
      </c>
      <c r="G27" s="12">
        <f t="shared" si="4"/>
        <v>24.63449710095357</v>
      </c>
    </row>
    <row r="28" spans="1:7" x14ac:dyDescent="0.45">
      <c r="A28" s="3">
        <v>34</v>
      </c>
      <c r="B28" s="4">
        <f>VLOOKUP($A28,TS_Data!$A:$B,2,FALSE)</f>
        <v>60</v>
      </c>
      <c r="C28" s="2">
        <f t="shared" si="3"/>
        <v>56.036258529807611</v>
      </c>
      <c r="D28" s="9">
        <f t="shared" si="0"/>
        <v>53.621294313491802</v>
      </c>
      <c r="E28" s="9">
        <f t="shared" si="1"/>
        <v>0.1415254934575802</v>
      </c>
      <c r="F28" s="25">
        <f t="shared" si="2"/>
        <v>1.1137060398893204</v>
      </c>
      <c r="G28" s="12">
        <f t="shared" si="4"/>
        <v>15.711246442522919</v>
      </c>
    </row>
    <row r="29" spans="1:7" x14ac:dyDescent="0.45">
      <c r="A29" s="3">
        <v>35</v>
      </c>
      <c r="B29" s="4">
        <f>VLOOKUP($A29,TS_Data!$A:$B,2,FALSE)</f>
        <v>65</v>
      </c>
      <c r="C29" s="2">
        <f t="shared" si="3"/>
        <v>57.982911244217654</v>
      </c>
      <c r="D29" s="9">
        <f t="shared" si="0"/>
        <v>57.512988777536179</v>
      </c>
      <c r="E29" s="9">
        <f t="shared" si="1"/>
        <v>0.25020664306947565</v>
      </c>
      <c r="F29" s="25">
        <f t="shared" si="2"/>
        <v>1.1215102436756692</v>
      </c>
      <c r="G29" s="12">
        <f t="shared" si="4"/>
        <v>49.239534606527037</v>
      </c>
    </row>
    <row r="30" spans="1:7" x14ac:dyDescent="0.45">
      <c r="A30" s="3">
        <v>36</v>
      </c>
      <c r="B30" s="4">
        <f>VLOOKUP($A30,TS_Data!$A:$B,2,FALSE)</f>
        <v>49</v>
      </c>
      <c r="C30" s="2">
        <f t="shared" si="3"/>
        <v>56.686676223849645</v>
      </c>
      <c r="D30" s="9">
        <f t="shared" si="0"/>
        <v>53.248581157039709</v>
      </c>
      <c r="E30" s="9">
        <f t="shared" si="1"/>
        <v>0.11937161348363964</v>
      </c>
      <c r="F30" s="25">
        <f t="shared" si="2"/>
        <v>0.93046931761952567</v>
      </c>
      <c r="G30" s="12">
        <f t="shared" si="4"/>
        <v>59.084991370295434</v>
      </c>
    </row>
    <row r="31" spans="1:7" x14ac:dyDescent="0.45">
      <c r="A31" s="3">
        <v>37</v>
      </c>
      <c r="B31" s="4">
        <f>VLOOKUP($A31,TS_Data!$A:$B,2,FALSE)</f>
        <v>50</v>
      </c>
      <c r="C31" s="2">
        <f t="shared" si="3"/>
        <v>50.891372394511457</v>
      </c>
      <c r="D31" s="9">
        <f t="shared" si="0"/>
        <v>52.829177808588014</v>
      </c>
      <c r="E31" s="9">
        <f t="shared" si="1"/>
        <v>0.10375773509456129</v>
      </c>
      <c r="F31" s="25">
        <f t="shared" si="2"/>
        <v>0.94764556006599365</v>
      </c>
      <c r="G31" s="12">
        <f t="shared" si="4"/>
        <v>0.79454474569708833</v>
      </c>
    </row>
    <row r="32" spans="1:7" x14ac:dyDescent="0.45">
      <c r="A32" s="3">
        <v>38</v>
      </c>
      <c r="B32" s="4">
        <f>VLOOKUP($A32,TS_Data!$A:$B,2,FALSE)</f>
        <v>51</v>
      </c>
      <c r="C32" s="2">
        <f t="shared" si="3"/>
        <v>52.253336092433798</v>
      </c>
      <c r="D32" s="9">
        <f t="shared" si="0"/>
        <v>52.201137326345346</v>
      </c>
      <c r="E32" s="9">
        <f t="shared" si="1"/>
        <v>8.2549978279352745E-2</v>
      </c>
      <c r="F32" s="25">
        <f t="shared" si="2"/>
        <v>0.97869620215398567</v>
      </c>
      <c r="G32" s="12">
        <f t="shared" si="4"/>
        <v>1.5708513605972227</v>
      </c>
    </row>
    <row r="33" spans="1:7" x14ac:dyDescent="0.45">
      <c r="A33" s="3">
        <v>39</v>
      </c>
      <c r="B33" s="4">
        <f>VLOOKUP($A33,TS_Data!$A:$B,2,FALSE)</f>
        <v>60</v>
      </c>
      <c r="C33" s="2">
        <f t="shared" si="3"/>
        <v>49.145613707712428</v>
      </c>
      <c r="D33" s="9">
        <f t="shared" si="0"/>
        <v>58.939461254960491</v>
      </c>
      <c r="E33" s="9">
        <f t="shared" si="1"/>
        <v>0.27543653089946452</v>
      </c>
      <c r="F33" s="25">
        <f t="shared" si="2"/>
        <v>1.0049082315839881</v>
      </c>
      <c r="G33" s="12">
        <f t="shared" si="4"/>
        <v>117.81770178220034</v>
      </c>
    </row>
    <row r="34" spans="1:7" x14ac:dyDescent="0.45">
      <c r="A34" s="3">
        <v>40</v>
      </c>
      <c r="B34" s="4">
        <f>VLOOKUP($A34,TS_Data!$A:$B,2,FALSE)</f>
        <v>66</v>
      </c>
      <c r="C34" s="2">
        <f t="shared" si="3"/>
        <v>65.94798931554098</v>
      </c>
      <c r="D34" s="9">
        <f t="shared" si="0"/>
        <v>59.241815231115069</v>
      </c>
      <c r="E34" s="9">
        <f t="shared" si="1"/>
        <v>0.27621660745545051</v>
      </c>
      <c r="F34" s="25">
        <f t="shared" si="2"/>
        <v>1.1140155675958483</v>
      </c>
      <c r="G34" s="12">
        <f t="shared" si="4"/>
        <v>2.7051112978957693E-3</v>
      </c>
    </row>
    <row r="35" spans="1:7" x14ac:dyDescent="0.45">
      <c r="A35" s="3">
        <v>41</v>
      </c>
      <c r="B35" s="4">
        <f>VLOOKUP($A35,TS_Data!$A:$B,2,FALSE)</f>
        <v>65</v>
      </c>
      <c r="C35" s="2">
        <f t="shared" si="3"/>
        <v>66.75008239037146</v>
      </c>
      <c r="D35" s="9">
        <f t="shared" si="0"/>
        <v>58.61860240740873</v>
      </c>
      <c r="E35" s="9">
        <f t="shared" si="1"/>
        <v>0.25015084206191379</v>
      </c>
      <c r="F35" s="25">
        <f t="shared" si="2"/>
        <v>1.1109843651644824</v>
      </c>
      <c r="G35" s="12">
        <f t="shared" si="4"/>
        <v>3.0627883730882846</v>
      </c>
    </row>
    <row r="36" spans="1:7" x14ac:dyDescent="0.45">
      <c r="A36" s="3">
        <v>42</v>
      </c>
      <c r="B36" s="4">
        <f>VLOOKUP($A36,TS_Data!$A:$B,2,FALSE)</f>
        <v>52</v>
      </c>
      <c r="C36" s="2">
        <f t="shared" si="3"/>
        <v>54.775568665147183</v>
      </c>
      <c r="D36" s="9">
        <f t="shared" si="0"/>
        <v>57.149413263952525</v>
      </c>
      <c r="E36" s="9">
        <f t="shared" si="1"/>
        <v>0.20032379489007116</v>
      </c>
      <c r="F36" s="25">
        <f t="shared" si="2"/>
        <v>0.91334648868670665</v>
      </c>
      <c r="G36" s="12">
        <f t="shared" si="4"/>
        <v>7.703781414946917</v>
      </c>
    </row>
    <row r="37" spans="1:7" x14ac:dyDescent="0.45">
      <c r="A37" s="3">
        <v>43</v>
      </c>
      <c r="B37" s="4">
        <f>VLOOKUP($A37,TS_Data!$A:$B,2,FALSE)</f>
        <v>58</v>
      </c>
      <c r="C37" s="2">
        <f t="shared" si="3"/>
        <v>54.347223694764367</v>
      </c>
      <c r="D37" s="9">
        <f t="shared" si="0"/>
        <v>59.571455342586702</v>
      </c>
      <c r="E37" s="9">
        <f t="shared" si="1"/>
        <v>0.26470993297741585</v>
      </c>
      <c r="F37" s="25">
        <f t="shared" si="2"/>
        <v>0.96926379264176488</v>
      </c>
      <c r="G37" s="12">
        <f t="shared" si="4"/>
        <v>13.342774736090886</v>
      </c>
    </row>
    <row r="38" spans="1:7" x14ac:dyDescent="0.45">
      <c r="A38" s="3">
        <v>44</v>
      </c>
      <c r="B38" s="4">
        <f>VLOOKUP($A38,TS_Data!$A:$B,2,FALSE)</f>
        <v>71</v>
      </c>
      <c r="C38" s="2">
        <f t="shared" si="3"/>
        <v>58.5614277066528</v>
      </c>
      <c r="D38" s="9">
        <f t="shared" si="0"/>
        <v>67.161618100497236</v>
      </c>
      <c r="E38" s="9">
        <f t="shared" si="1"/>
        <v>0.47700400310750513</v>
      </c>
      <c r="F38" s="25">
        <f t="shared" si="2"/>
        <v>1.0439919201400887</v>
      </c>
      <c r="G38" s="12">
        <f t="shared" si="4"/>
        <v>154.71808069682461</v>
      </c>
    </row>
    <row r="39" spans="1:7" x14ac:dyDescent="0.45">
      <c r="A39" s="3">
        <v>45</v>
      </c>
      <c r="B39" s="4">
        <f>VLOOKUP($A39,TS_Data!$A:$B,2,FALSE)</f>
        <v>74</v>
      </c>
      <c r="C39" s="2">
        <f t="shared" si="3"/>
        <v>67.970608124911095</v>
      </c>
      <c r="D39" s="9">
        <f t="shared" si="0"/>
        <v>71.096892539230552</v>
      </c>
      <c r="E39" s="9">
        <f t="shared" si="1"/>
        <v>0.57722583565971508</v>
      </c>
      <c r="F39" s="25">
        <f t="shared" si="2"/>
        <v>1.0348073380798244</v>
      </c>
      <c r="G39" s="12">
        <f t="shared" si="4"/>
        <v>36.353566383388099</v>
      </c>
    </row>
    <row r="40" spans="1:7" x14ac:dyDescent="0.45">
      <c r="A40" s="3">
        <v>46</v>
      </c>
      <c r="B40" s="4">
        <f>VLOOKUP($A40,TS_Data!$A:$B,2,FALSE)</f>
        <v>79</v>
      </c>
      <c r="C40" s="2">
        <f t="shared" si="3"/>
        <v>79.846083663335406</v>
      </c>
      <c r="D40" s="9">
        <f t="shared" si="0"/>
        <v>71.236360574027984</v>
      </c>
      <c r="E40" s="9">
        <f t="shared" si="1"/>
        <v>0.56453946834601942</v>
      </c>
      <c r="F40" s="25">
        <f t="shared" si="2"/>
        <v>1.1098281439223656</v>
      </c>
      <c r="G40" s="12">
        <f t="shared" si="4"/>
        <v>0.71585756536306111</v>
      </c>
    </row>
    <row r="41" spans="1:7" x14ac:dyDescent="0.45">
      <c r="A41" s="3">
        <v>47</v>
      </c>
      <c r="B41" s="4">
        <f>VLOOKUP($A41,TS_Data!$A:$B,2,FALSE)</f>
        <v>73</v>
      </c>
      <c r="C41" s="2">
        <f t="shared" si="3"/>
        <v>79.769677351815332</v>
      </c>
      <c r="D41" s="9">
        <f t="shared" si="0"/>
        <v>68.288759652902456</v>
      </c>
      <c r="E41" s="9">
        <f t="shared" si="1"/>
        <v>0.46275646653466052</v>
      </c>
      <c r="F41" s="25">
        <f t="shared" si="2"/>
        <v>1.0760338111958263</v>
      </c>
      <c r="G41" s="12">
        <f t="shared" si="4"/>
        <v>45.828531447681449</v>
      </c>
    </row>
    <row r="42" spans="1:7" x14ac:dyDescent="0.45">
      <c r="A42" s="3">
        <v>48</v>
      </c>
      <c r="B42" s="4">
        <f>VLOOKUP($A42,TS_Data!$A:$B,2,FALSE)</f>
        <v>69</v>
      </c>
      <c r="C42" s="2">
        <f t="shared" si="3"/>
        <v>62.793955839575396</v>
      </c>
      <c r="D42" s="9">
        <f t="shared" si="0"/>
        <v>72.667953097064768</v>
      </c>
      <c r="E42" s="9">
        <f t="shared" si="1"/>
        <v>0.57625611853687653</v>
      </c>
      <c r="F42" s="25">
        <f t="shared" si="2"/>
        <v>0.94345624580868148</v>
      </c>
      <c r="G42" s="12">
        <f t="shared" si="4"/>
        <v>38.514984121140323</v>
      </c>
    </row>
    <row r="43" spans="1:7" x14ac:dyDescent="0.45">
      <c r="A43" s="3">
        <v>49</v>
      </c>
      <c r="C43" s="2">
        <f t="shared" si="3"/>
        <v>70.992960013360957</v>
      </c>
      <c r="D43" s="19"/>
      <c r="E43" s="19"/>
      <c r="F43" s="80"/>
      <c r="G43" s="20"/>
    </row>
  </sheetData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shapeId="27649" r:id="rId4">
          <objectPr defaultSize="0" autoPict="0" r:id="rId5">
            <anchor moveWithCells="1">
              <from>
                <xdr:col>10</xdr:col>
                <xdr:colOff>276225</xdr:colOff>
                <xdr:row>0</xdr:row>
                <xdr:rowOff>152400</xdr:rowOff>
              </from>
              <to>
                <xdr:col>13</xdr:col>
                <xdr:colOff>628650</xdr:colOff>
                <xdr:row>9</xdr:row>
                <xdr:rowOff>19050</xdr:rowOff>
              </to>
            </anchor>
          </objectPr>
        </oleObject>
      </mc:Choice>
      <mc:Fallback>
        <oleObject shapeId="276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Causal</vt:lpstr>
      <vt:lpstr>TS_Data</vt:lpstr>
      <vt:lpstr>Response</vt:lpstr>
      <vt:lpstr>MovAvg</vt:lpstr>
      <vt:lpstr>S.Exp.Alpha</vt:lpstr>
      <vt:lpstr>S.Exp.Smooth</vt:lpstr>
      <vt:lpstr>Holt</vt:lpstr>
      <vt:lpstr>Holt-Winters(s3)</vt:lpstr>
      <vt:lpstr>Holt-Winters(s6)</vt:lpstr>
      <vt:lpstr>Holt-Winters(s12)</vt:lpstr>
      <vt:lpstr>Decomposition(s12)</vt:lpstr>
    </vt:vector>
  </TitlesOfParts>
  <Company>HEC Montréal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Yossiri A</dc:creator>
  <cp:lastModifiedBy>Yossiri A</cp:lastModifiedBy>
  <dcterms:created xsi:type="dcterms:W3CDTF">2016-09-04T23:55:21Z</dcterms:created>
  <dcterms:modified xsi:type="dcterms:W3CDTF">2024-02-24T02:36:15Z</dcterms:modified>
</cp:coreProperties>
</file>