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575" windowWidth="13125" windowHeight="2760" tabRatio="861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N2" i="23" l="1"/>
  <c r="T5" i="107" l="1"/>
  <c r="AD5" i="107"/>
  <c r="AC5" i="107"/>
  <c r="AB5" i="107"/>
  <c r="AA5" i="107"/>
  <c r="Z5" i="107"/>
  <c r="Y5" i="107"/>
  <c r="X5" i="107"/>
  <c r="W5" i="107"/>
  <c r="V5" i="107"/>
  <c r="U5" i="107"/>
  <c r="AR7" i="99"/>
  <c r="AS7" i="99"/>
  <c r="AT7" i="99"/>
  <c r="AT5" i="99" s="1"/>
  <c r="AU7" i="99"/>
  <c r="AV7" i="99"/>
  <c r="AW7" i="99"/>
  <c r="AX7" i="99"/>
  <c r="AX5" i="99" s="1"/>
  <c r="AY7" i="99"/>
  <c r="AZ7" i="99"/>
  <c r="AQ7" i="99"/>
  <c r="AH7" i="99"/>
  <c r="AH5" i="99" s="1"/>
  <c r="AI7" i="99"/>
  <c r="AI5" i="99" s="1"/>
  <c r="AJ7" i="99"/>
  <c r="AJ5" i="99" s="1"/>
  <c r="AK7" i="99"/>
  <c r="AL7" i="99"/>
  <c r="AL5" i="99" s="1"/>
  <c r="AM7" i="99"/>
  <c r="AM5" i="99" s="1"/>
  <c r="AN7" i="99"/>
  <c r="AN5" i="99" s="1"/>
  <c r="AO7" i="99"/>
  <c r="AP7" i="99"/>
  <c r="AP5" i="99" s="1"/>
  <c r="AQ5" i="99"/>
  <c r="AG7" i="99"/>
  <c r="AG5" i="99" s="1"/>
  <c r="BP7" i="106"/>
  <c r="BQ7" i="106"/>
  <c r="BR7" i="106"/>
  <c r="BS7" i="106"/>
  <c r="BS5" i="106" s="1"/>
  <c r="BT7" i="106"/>
  <c r="BU7" i="106"/>
  <c r="BV7" i="106"/>
  <c r="BV5" i="106" s="1"/>
  <c r="BW7" i="106"/>
  <c r="BX7" i="106"/>
  <c r="BY7" i="106"/>
  <c r="BZ7" i="106"/>
  <c r="BZ5" i="106" s="1"/>
  <c r="CA7" i="106"/>
  <c r="CB7" i="106"/>
  <c r="CC7" i="106"/>
  <c r="CD7" i="106"/>
  <c r="CE7" i="106"/>
  <c r="CE5" i="106" s="1"/>
  <c r="CF7" i="106"/>
  <c r="BO7" i="106"/>
  <c r="AX7" i="106"/>
  <c r="AX5" i="106" s="1"/>
  <c r="AY7" i="106"/>
  <c r="AY5" i="106" s="1"/>
  <c r="AZ7" i="106"/>
  <c r="AZ5" i="106" s="1"/>
  <c r="BA7" i="106"/>
  <c r="BB7" i="106"/>
  <c r="BB5" i="106" s="1"/>
  <c r="BC7" i="106"/>
  <c r="BC5" i="106" s="1"/>
  <c r="BD7" i="106"/>
  <c r="BD5" i="106" s="1"/>
  <c r="BE7" i="106"/>
  <c r="BF7" i="106"/>
  <c r="BF5" i="106" s="1"/>
  <c r="BG7" i="106"/>
  <c r="BG5" i="106" s="1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N7" i="106"/>
  <c r="BO5" i="106"/>
  <c r="AW7" i="106"/>
  <c r="AW5" i="106" s="1"/>
  <c r="CD5" i="106"/>
  <c r="CA5" i="106"/>
  <c r="BY5" i="106"/>
  <c r="BX5" i="106"/>
  <c r="BW5" i="106"/>
  <c r="BU5" i="106"/>
  <c r="BN5" i="106"/>
  <c r="BR5" i="106"/>
  <c r="BQ5" i="106"/>
  <c r="BP5" i="106"/>
  <c r="CF5" i="106"/>
  <c r="CC5" i="106"/>
  <c r="CB5" i="106"/>
  <c r="BT5" i="106"/>
  <c r="BM5" i="106"/>
  <c r="BE5" i="106"/>
  <c r="BA5" i="106"/>
  <c r="AZ7" i="100"/>
  <c r="AR7" i="100"/>
  <c r="AS7" i="100"/>
  <c r="AS5" i="100" s="1"/>
  <c r="AT7" i="100"/>
  <c r="AT5" i="100" s="1"/>
  <c r="AU7" i="100"/>
  <c r="AV7" i="100"/>
  <c r="AV5" i="100" s="1"/>
  <c r="AW7" i="100"/>
  <c r="AW5" i="100" s="1"/>
  <c r="AX7" i="100"/>
  <c r="AX5" i="100" s="1"/>
  <c r="AY7" i="100"/>
  <c r="AY5" i="100" s="1"/>
  <c r="AQ7" i="100"/>
  <c r="AH7" i="100"/>
  <c r="AH5" i="100" s="1"/>
  <c r="AI7" i="100"/>
  <c r="AI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P7" i="100"/>
  <c r="AP5" i="100" s="1"/>
  <c r="AG7" i="100"/>
  <c r="AG5" i="100" s="1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BC7" i="102"/>
  <c r="BB7" i="102"/>
  <c r="BA7" i="102"/>
  <c r="AZ7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C5" i="102"/>
  <c r="BB5" i="102"/>
  <c r="BA5" i="102"/>
  <c r="AZ5" i="102"/>
  <c r="AZ5" i="100"/>
  <c r="AU5" i="100"/>
  <c r="AO5" i="100"/>
  <c r="AR5" i="100"/>
  <c r="AQ5" i="100"/>
  <c r="AZ5" i="99"/>
  <c r="AY5" i="99"/>
  <c r="AW5" i="99"/>
  <c r="AV5" i="99"/>
  <c r="AU5" i="99"/>
  <c r="AO5" i="99"/>
  <c r="AK5" i="99"/>
  <c r="AS5" i="99"/>
  <c r="AR5" i="99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BC7" i="98"/>
  <c r="BB7" i="98"/>
  <c r="BA7" i="98"/>
  <c r="AZ7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BC5" i="98"/>
  <c r="BB5" i="98"/>
  <c r="BA5" i="98"/>
  <c r="AZ5" i="98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BC7" i="97"/>
  <c r="BB7" i="97"/>
  <c r="BA7" i="97"/>
  <c r="AZ7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BC5" i="97"/>
  <c r="BB5" i="97"/>
  <c r="BA5" i="97"/>
  <c r="AZ5" i="97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BC7" i="96"/>
  <c r="BB7" i="96"/>
  <c r="BA7" i="96"/>
  <c r="AZ7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BC5" i="96"/>
  <c r="BB5" i="96"/>
  <c r="BA5" i="96"/>
  <c r="AZ5" i="96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BC7" i="95"/>
  <c r="BB7" i="95"/>
  <c r="BA7" i="95"/>
  <c r="AZ7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BC5" i="95"/>
  <c r="BB5" i="95"/>
  <c r="BA5" i="95"/>
  <c r="AZ5" i="95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BC7" i="94"/>
  <c r="BB7" i="94"/>
  <c r="BA7" i="94"/>
  <c r="AZ7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BC5" i="94"/>
  <c r="BB5" i="94"/>
  <c r="BA5" i="94"/>
  <c r="AZ5" i="94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BC7" i="93"/>
  <c r="BB7" i="93"/>
  <c r="BA7" i="93"/>
  <c r="AZ7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BC5" i="93"/>
  <c r="BB5" i="93"/>
  <c r="BA5" i="93"/>
  <c r="AZ5" i="93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BC7" i="92"/>
  <c r="BB7" i="92"/>
  <c r="BA7" i="92"/>
  <c r="AZ7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BC5" i="92"/>
  <c r="BB5" i="92"/>
  <c r="BA5" i="92"/>
  <c r="AZ5" i="92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BC7" i="91"/>
  <c r="BB7" i="91"/>
  <c r="BA7" i="91"/>
  <c r="AZ7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BC5" i="91"/>
  <c r="BB5" i="91"/>
  <c r="BA5" i="91"/>
  <c r="AZ5" i="91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BC7" i="90"/>
  <c r="BB7" i="90"/>
  <c r="BA7" i="90"/>
  <c r="AZ7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C5" i="90"/>
  <c r="BB5" i="90"/>
  <c r="BA5" i="90"/>
  <c r="AZ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B7" i="1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<sst xmlns="http://schemas.openxmlformats.org/spreadsheetml/2006/main" count="7164" uniqueCount="1630">
  <si>
    <t>X</t>
  </si>
  <si>
    <t>Worksheet Navigation Links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</si>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</sst>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87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35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34"/>
      <tableStyleElement type="secondRowStripe" dxfId="143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Allocation by SNUxIM'!DP1"/><Relationship Id="rId1" Type="http://schemas.openxmlformats.org/officeDocument/2006/relationships/hyperlink" Target="#'Allocation by SNUxIM'!G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January 26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January 26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FY17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9525</xdr:colOff>
      <xdr:row>0</xdr:row>
      <xdr:rowOff>209549</xdr:rowOff>
    </xdr:from>
    <xdr:to>
      <xdr:col>3</xdr:col>
      <xdr:colOff>704850</xdr:colOff>
      <xdr:row>2</xdr:row>
      <xdr:rowOff>857249</xdr:rowOff>
    </xdr:to>
    <xdr:sp macro="" textlink="">
      <xdr:nvSpPr>
        <xdr:cNvPr id="6" name="Rectangle 5"/>
        <xdr:cNvSpPr/>
      </xdr:nvSpPr>
      <xdr:spPr>
        <a:xfrm>
          <a:off x="1790700" y="20954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31" dataDxfId="1430">
  <autoFilter ref="C6:CI7"/>
  <tableColumns count="85">
    <tableColumn id="1" name="psnu" dataDxfId="1429"/>
    <tableColumn id="46" name="psnuuid" dataDxfId="1428"/>
    <tableColumn id="2" name="priority" dataDxfId="1427"/>
    <tableColumn id="27" name="mechid" dataDxfId="1426"/>
    <tableColumn id="45" name="mechname" dataDxfId="1425"/>
    <tableColumn id="4" name="type" dataDxfId="1424"/>
    <tableColumn id="47" name="psnu_type" dataDxfId="1423"/>
    <tableColumn id="48" name="A_u1_unk_pos" dataDxfId="1422"/>
    <tableColumn id="50" name="A_0109_unk_pos" dataDxfId="1421"/>
    <tableColumn id="51" name="A_1014_f_pos" dataDxfId="1420"/>
    <tableColumn id="55" name="A_1014_m_pos" dataDxfId="1419"/>
    <tableColumn id="75" name="A_u1_unk_neg" dataDxfId="1418"/>
    <tableColumn id="76" name="A_0109_unk_neg" dataDxfId="1417"/>
    <tableColumn id="77" name="A_1014_f_neg" dataDxfId="1416"/>
    <tableColumn id="78" name="A_1014_m_neg" dataDxfId="1415"/>
    <tableColumn id="79" name="A_1519_f_pos" dataDxfId="1414"/>
    <tableColumn id="80" name="A_1519_m_pos" dataDxfId="1413"/>
    <tableColumn id="81" name="A_2024_f_pos" dataDxfId="1412"/>
    <tableColumn id="82" name="A_2024_m_pos" dataDxfId="1411"/>
    <tableColumn id="83" name="A_2529_f_pos" dataDxfId="1410"/>
    <tableColumn id="84" name="A_2529_m_pos" dataDxfId="1409"/>
    <tableColumn id="85" name="A_3034_f_pos" dataDxfId="1408"/>
    <tableColumn id="86" name="A_3034_m__pos" dataDxfId="1407"/>
    <tableColumn id="87" name="A_3539_f_pos" dataDxfId="1406"/>
    <tableColumn id="88" name="A_3539_m__pos" dataDxfId="1405"/>
    <tableColumn id="89" name="A_4049_f_pos" dataDxfId="1404"/>
    <tableColumn id="90" name="A_4049_m_pos" dataDxfId="1403"/>
    <tableColumn id="91" name="A_o50_f_pos" dataDxfId="1402"/>
    <tableColumn id="92" name="A_o50_m_pos" dataDxfId="1401"/>
    <tableColumn id="56" name="A_1519_f_neg" dataDxfId="1400"/>
    <tableColumn id="57" name="A_1519_m_neg" dataDxfId="1399"/>
    <tableColumn id="58" name="A_2024_f_neg" dataDxfId="1398"/>
    <tableColumn id="59" name="A_2024_m_neg" dataDxfId="1397"/>
    <tableColumn id="60" name="A_2529_f_neg" dataDxfId="1396"/>
    <tableColumn id="61" name="A_2529_m_neg" dataDxfId="1395"/>
    <tableColumn id="62" name="A_3034_f_neg" dataDxfId="1394"/>
    <tableColumn id="63" name="A_3034_m_neg" dataDxfId="1393"/>
    <tableColumn id="64" name="A_3539_f_neg" dataDxfId="1392"/>
    <tableColumn id="65" name="A_3539_m_neg" dataDxfId="1391"/>
    <tableColumn id="66" name="A_4049_f_neg" dataDxfId="1390"/>
    <tableColumn id="67" name="A_4049_m_neg" dataDxfId="1389"/>
    <tableColumn id="68" name="A_o50_f_neg" dataDxfId="1388"/>
    <tableColumn id="69" name="A_o50_m_neg" dataDxfId="1387"/>
    <tableColumn id="25" name="D_hts_tst_u15_fy19" dataDxfId="1386"/>
    <tableColumn id="70" name="D_hts_tst_o15_fy19" dataDxfId="1385"/>
    <tableColumn id="71" name="D_hts_tst_pos_u15_fy19" dataDxfId="1384"/>
    <tableColumn id="72" name="D_hts_tst_pos_o15_fy19" dataDxfId="1383"/>
    <tableColumn id="73" name="D_hts_tst_neg_u15_fy19" dataDxfId="1382"/>
    <tableColumn id="74" name="D_hts_tst_neg_o15_fy19" dataDxfId="1381"/>
    <tableColumn id="5" name="u1_unk_pos" dataDxfId="1380">
      <calculatedColumnFormula>temp_T[[D_hts_tst_o15_fy19]:[D_hts_tst_o15_fy19]]*temp_T[A_u1_unk_pos]</calculatedColumnFormula>
    </tableColumn>
    <tableColumn id="6" name="0109_unk_pos" dataDxfId="1379">
      <calculatedColumnFormula>temp_T[[D_hts_tst_o15_fy19]:[D_hts_tst_o15_fy19]]*temp_T[A_0109_unk_pos]</calculatedColumnFormula>
    </tableColumn>
    <tableColumn id="22" name="1014_f_pos" dataDxfId="1378">
      <calculatedColumnFormula>temp_T[[D_hts_tst_o15_fy19]:[D_hts_tst_o15_fy19]]*temp_T[A_1014_f_pos]</calculatedColumnFormula>
    </tableColumn>
    <tableColumn id="7" name="1014_m_pos" dataDxfId="1377">
      <calculatedColumnFormula>temp_T[[D_hts_tst_o15_fy19]:[D_hts_tst_o15_fy19]]*temp_T[A_1014_m_pos]</calculatedColumnFormula>
    </tableColumn>
    <tableColumn id="8" name="u1_unk_neg" dataDxfId="1376">
      <calculatedColumnFormula>temp_T[[D_hts_tst_pos_u15_fy19]:[D_hts_tst_pos_u15_fy19]]*temp_T[A_u1_unk_neg]</calculatedColumnFormula>
    </tableColumn>
    <tableColumn id="9" name="0109_unk_neg" dataDxfId="1375">
      <calculatedColumnFormula>temp_T[[D_hts_tst_pos_u15_fy19]:[D_hts_tst_pos_u15_fy19]]*temp_T[A_0109_unk_neg]</calculatedColumnFormula>
    </tableColumn>
    <tableColumn id="10" name="1014_f_neg" dataDxfId="1374">
      <calculatedColumnFormula>temp_T[[D_hts_tst_pos_u15_fy19]:[D_hts_tst_pos_u15_fy19]]*temp_T[A_1014_f_neg]</calculatedColumnFormula>
    </tableColumn>
    <tableColumn id="11" name="1014_m_neg" dataDxfId="1373">
      <calculatedColumnFormula>temp_T[[D_hts_tst_pos_u15_fy19]:[D_hts_tst_pos_u15_fy19]]*temp_T[A_1014_m_neg]</calculatedColumnFormula>
    </tableColumn>
    <tableColumn id="12" name="1519_f_pos" dataDxfId="1372">
      <calculatedColumnFormula>temp_T[[D_hts_tst_neg_u15_fy19]:[D_hts_tst_neg_u15_fy19]]*temp_T[A_1519_f_pos]</calculatedColumnFormula>
    </tableColumn>
    <tableColumn id="13" name="1519_m_pos" dataDxfId="1371">
      <calculatedColumnFormula>temp_T[[D_hts_tst_neg_u15_fy19]:[D_hts_tst_neg_u15_fy19]]*temp_T[A_1519_m_pos]</calculatedColumnFormula>
    </tableColumn>
    <tableColumn id="54" name="2024_f_pos" dataDxfId="1370">
      <calculatedColumnFormula>temp_T[[D_hts_tst_neg_u15_fy19]:[D_hts_tst_neg_u15_fy19]]*temp_T[A_2024_f_pos]</calculatedColumnFormula>
    </tableColumn>
    <tableColumn id="14" name="2024_m_pos" dataDxfId="1369">
      <calculatedColumnFormula>temp_T[[D_hts_tst_neg_u15_fy19]:[D_hts_tst_neg_u15_fy19]]*temp_T[A_2024_m_pos]</calculatedColumnFormula>
    </tableColumn>
    <tableColumn id="15" name="2529_f_pos" dataDxfId="1368">
      <calculatedColumnFormula>temp_T[[D_hts_tst_neg_u15_fy19]:[D_hts_tst_neg_u15_fy19]]*temp_T[A_2529_f_pos]</calculatedColumnFormula>
    </tableColumn>
    <tableColumn id="16" name="2529_m_pos" dataDxfId="1367">
      <calculatedColumnFormula>temp_T[[D_hts_tst_neg_u15_fy19]:[D_hts_tst_neg_u15_fy19]]*temp_T[A_2529_m_pos]</calculatedColumnFormula>
    </tableColumn>
    <tableColumn id="17" name="3034_f_pos" dataDxfId="1366">
      <calculatedColumnFormula>temp_T[[D_hts_tst_neg_u15_fy19]:[D_hts_tst_neg_u15_fy19]]*temp_T[A_3034_f_pos]</calculatedColumnFormula>
    </tableColumn>
    <tableColumn id="18" name="3034_m_pos" dataDxfId="1365">
      <calculatedColumnFormula>temp_T[[D_hts_tst_neg_u15_fy19]:[D_hts_tst_neg_u15_fy19]]*temp_T[A_3034_m__pos]</calculatedColumnFormula>
    </tableColumn>
    <tableColumn id="19" name="3539_f_pos" dataDxfId="1364">
      <calculatedColumnFormula>temp_T[[D_hts_tst_neg_u15_fy19]:[D_hts_tst_neg_u15_fy19]]*temp_T[A_3539_f_pos]</calculatedColumnFormula>
    </tableColumn>
    <tableColumn id="20" name="3539_m_pos" dataDxfId="1363">
      <calculatedColumnFormula>temp_T[[D_hts_tst_neg_u15_fy19]:[D_hts_tst_neg_u15_fy19]]*temp_T[A_3539_m__pos]</calculatedColumnFormula>
    </tableColumn>
    <tableColumn id="21" name="4049_f_pos" dataDxfId="1362">
      <calculatedColumnFormula>temp_T[[D_hts_tst_neg_u15_fy19]:[D_hts_tst_neg_u15_fy19]]*temp_T[A_4049_f_pos]</calculatedColumnFormula>
    </tableColumn>
    <tableColumn id="26" name="4049_m_pos" dataDxfId="1361">
      <calculatedColumnFormula>temp_T[[D_hts_tst_neg_u15_fy19]:[D_hts_tst_neg_u15_fy19]]*temp_T[A_4049_m_pos]</calculatedColumnFormula>
    </tableColumn>
    <tableColumn id="28" name="o50_f_pos" dataDxfId="1360">
      <calculatedColumnFormula>temp_T[[D_hts_tst_neg_u15_fy19]:[D_hts_tst_neg_u15_fy19]]*temp_T[A_o50_f_pos]</calculatedColumnFormula>
    </tableColumn>
    <tableColumn id="29" name="o50_m_pos" dataDxfId="1359">
      <calculatedColumnFormula>temp_T[[D_hts_tst_neg_u15_fy19]:[D_hts_tst_neg_u15_fy19]]*temp_T[A_o50_m_pos]</calculatedColumnFormula>
    </tableColumn>
    <tableColumn id="30" name="1519_f_neg" dataDxfId="1358">
      <calculatedColumnFormula>temp_T[[D_hts_tst_neg_o15_fy19]:[D_hts_tst_neg_o15_fy19]]*temp_T[A_1519_f_neg]</calculatedColumnFormula>
    </tableColumn>
    <tableColumn id="52" name="1519_m_neg" dataDxfId="1357">
      <calculatedColumnFormula>temp_T[[D_hts_tst_neg_o15_fy19]:[D_hts_tst_neg_o15_fy19]]*temp_T[A_1519_m_neg]</calculatedColumnFormula>
    </tableColumn>
    <tableColumn id="31" name="2024_f_neg" dataDxfId="1356">
      <calculatedColumnFormula>temp_T[[D_hts_tst_neg_o15_fy19]:[D_hts_tst_neg_o15_fy19]]*temp_T[A_2024_f_neg]</calculatedColumnFormula>
    </tableColumn>
    <tableColumn id="32" name="2024_m_neg" dataDxfId="1355">
      <calculatedColumnFormula>temp_T[[D_hts_tst_neg_o15_fy19]:[D_hts_tst_neg_o15_fy19]]*temp_T[A_2024_m_neg]</calculatedColumnFormula>
    </tableColumn>
    <tableColumn id="33" name="2529_f_neg" dataDxfId="1354">
      <calculatedColumnFormula>temp_T[[D_hts_tst_neg_o15_fy19]:[D_hts_tst_neg_o15_fy19]]*temp_T[A_2529_f_neg]</calculatedColumnFormula>
    </tableColumn>
    <tableColumn id="34" name="2529_m_neg" dataDxfId="1353">
      <calculatedColumnFormula>temp_T[[D_hts_tst_neg_o15_fy19]:[D_hts_tst_neg_o15_fy19]]*temp_T[A_2529_m_neg]</calculatedColumnFormula>
    </tableColumn>
    <tableColumn id="35" name="3034_f_neg" dataDxfId="1352">
      <calculatedColumnFormula>temp_T[[D_hts_tst_neg_o15_fy19]:[D_hts_tst_neg_o15_fy19]]*temp_T[A_3034_f_neg]</calculatedColumnFormula>
    </tableColumn>
    <tableColumn id="36" name="3034_m_neg" dataDxfId="1351">
      <calculatedColumnFormula>temp_T[[D_hts_tst_neg_o15_fy19]:[D_hts_tst_neg_o15_fy19]]*temp_T[A_3034_m_neg]</calculatedColumnFormula>
    </tableColumn>
    <tableColumn id="53" name="3539_f_neg" dataDxfId="1350">
      <calculatedColumnFormula>temp_T[[D_hts_tst_neg_o15_fy19]:[D_hts_tst_neg_o15_fy19]]*temp_T[A_3539_f_neg]</calculatedColumnFormula>
    </tableColumn>
    <tableColumn id="37" name="3539_m_neg" dataDxfId="1349">
      <calculatedColumnFormula>temp_T[[D_hts_tst_neg_o15_fy19]:[D_hts_tst_neg_o15_fy19]]*temp_T[A_3539_m_neg]</calculatedColumnFormula>
    </tableColumn>
    <tableColumn id="38" name="4049_f_neg" dataDxfId="1348">
      <calculatedColumnFormula>temp_T[[D_hts_tst_neg_o15_fy19]:[D_hts_tst_neg_o15_fy19]]*temp_T[A_4049_f_neg]</calculatedColumnFormula>
    </tableColumn>
    <tableColumn id="39" name="4049_m_neg" dataDxfId="1347">
      <calculatedColumnFormula>temp_T[[D_hts_tst_neg_o15_fy19]:[D_hts_tst_neg_o15_fy19]]*temp_T[A_4049_m_neg]</calculatedColumnFormula>
    </tableColumn>
    <tableColumn id="40" name="o50_f_neg" dataDxfId="1346">
      <calculatedColumnFormula>temp_T[[D_hts_tst_neg_o15_fy19]:[D_hts_tst_neg_o15_fy19]]*temp_T[A_o50_f_neg]</calculatedColumnFormula>
    </tableColumn>
    <tableColumn id="41" name="o50_m_neg" dataDxfId="1345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344" dataDxfId="1343">
  <autoFilter ref="B6:HX7"/>
  <tableColumns count="231">
    <tableColumn id="225" name="psnu_type_mechid" dataDxfId="1342">
      <calculatedColumnFormula>targets[Dsnulist]&amp;" "&amp;targets[D_indicatortype]&amp;" "&amp;targets[D_mechanismid]</calculatedColumnFormula>
    </tableColumn>
    <tableColumn id="1" name="Dsnulist" dataDxfId="1341"/>
    <tableColumn id="2" name="D_priority" dataDxfId="1340"/>
    <tableColumn id="3" name="D_mechanismid" dataDxfId="1339"/>
    <tableColumn id="4" name="D_indicatortype" dataDxfId="1338"/>
    <tableColumn id="5" name="D_tx_ret_D_pct" dataDxfId="1337"/>
    <tableColumn id="229" name="D_tx_ret_u15_D_pct" dataDxfId="1336"/>
    <tableColumn id="6" name="D_tx_ret_pct" dataDxfId="1335"/>
    <tableColumn id="230" name="D_tx_ret_u15_pct" dataDxfId="1334"/>
    <tableColumn id="22" name="D_tx_new_pct" dataDxfId="1333"/>
    <tableColumn id="231" name="D_tx_new_u15_pct" dataDxfId="1332"/>
    <tableColumn id="7" name="D_tx_curr_pct" dataDxfId="1331"/>
    <tableColumn id="232" name="D_tx_curr_u15_pct" dataDxfId="1330"/>
    <tableColumn id="8" name="D_tx_pvls_D_pct" dataDxfId="1329"/>
    <tableColumn id="9" name="D_pmtct_stat_D_pct" dataDxfId="1328"/>
    <tableColumn id="10" name="D_pmtct_stat_pct" dataDxfId="1327"/>
    <tableColumn id="11" name="D_pmtct_stat_newpos_pct" dataDxfId="1326"/>
    <tableColumn id="12" name="D_pmtct_stat_newneg_pct" dataDxfId="1325"/>
    <tableColumn id="13" name="D_pmtct_stat_known_pct" dataDxfId="1324"/>
    <tableColumn id="54" name="D_pmtct_art_pct" dataDxfId="1323"/>
    <tableColumn id="14" name="D_pmtct_art_new_pct" dataDxfId="1322"/>
    <tableColumn id="15" name="D_pmtct_art_already_pct" dataDxfId="1321"/>
    <tableColumn id="16" name="D_pmtct_eid_pct" dataDxfId="1320"/>
    <tableColumn id="17" name="D_pmtct_eid_u2mo_pct" dataDxfId="1319"/>
    <tableColumn id="18" name="D_pmtct_eid_o2mo_pct" dataDxfId="1318"/>
    <tableColumn id="19" name="D_tb_stat_D_pct" dataDxfId="1317"/>
    <tableColumn id="20" name="D_tb_stat_pct" dataDxfId="1316"/>
    <tableColumn id="21" name="D_tb_stat_newpos_pct" dataDxfId="1315"/>
    <tableColumn id="26" name="D_tb_stat_newneg_pct" dataDxfId="1314"/>
    <tableColumn id="28" name="D_tb_stat_known_pct" dataDxfId="1313"/>
    <tableColumn id="29" name="D_tb_art_pct" dataDxfId="1312"/>
    <tableColumn id="30" name="D_tb_art_new_pct" dataDxfId="1311"/>
    <tableColumn id="52" name="D_tb_art_already_pct" dataDxfId="1310"/>
    <tableColumn id="31" name="D_tx_tb_D_pct" dataDxfId="1309"/>
    <tableColumn id="32" name="D_tb_prev_D_pct" dataDxfId="1308"/>
    <tableColumn id="33" name="D_tb_prev_pct" dataDxfId="1307"/>
    <tableColumn id="34" name="D_hts_tst_pos_vmmc_pct" dataDxfId="1306"/>
    <tableColumn id="35" name="D_hts_tst_pmtctanc_pct" dataDxfId="1305"/>
    <tableColumn id="36" name="D_hts_tst_tbclinic_pct" dataDxfId="1304"/>
    <tableColumn id="53" name="D_hts_tst_vmmc_pct" dataDxfId="1303"/>
    <tableColumn id="37" name="D_hts_tst_indexmod_o15_pct" dataDxfId="1302"/>
    <tableColumn id="38" name="D_hts_tst_mobilemod_o15_pct" dataDxfId="1301"/>
    <tableColumn id="39" name="D_hts_tst_vctmod_o15_pct" dataDxfId="1300"/>
    <tableColumn id="40" name="D_hts_tst_othermod_o15_pct" dataDxfId="1299"/>
    <tableColumn id="41" name="D_hts_tst_index_o15_pct" dataDxfId="1298"/>
    <tableColumn id="42" name="D_hts_tst_sti_o15_pct" dataDxfId="1297"/>
    <tableColumn id="43" name="D_hts_tst_inpat_o15_pct" dataDxfId="1296"/>
    <tableColumn id="44" name="D_hts_tst_emergency_o15_pct" dataDxfId="1295"/>
    <tableColumn id="49" name="D_hts_tst_vct_o15_pct" dataDxfId="1294"/>
    <tableColumn id="23" name="D_hts_tst_otherpitc_o15_pct" dataDxfId="1293"/>
    <tableColumn id="27" name="D_hts_tst_pos_indexmod_o15_pct" dataDxfId="1292"/>
    <tableColumn id="45" name="D_hts_tst_pos_mobilemod_o15_pct" dataDxfId="1291"/>
    <tableColumn id="46" name="D_hts_tst_pos_vctmod_o15_pct" dataDxfId="1290"/>
    <tableColumn id="47" name="D_hts_tst_pos_othermod_o15_pct" dataDxfId="1289"/>
    <tableColumn id="48" name="D_hts_tst_pos_index_o15_pct" dataDxfId="1288"/>
    <tableColumn id="50" name="D_hts_tst_pos_sti_o15_pct" dataDxfId="1287"/>
    <tableColumn id="51" name="D_hts_tst_pos_inpat_o15_pct" dataDxfId="1286"/>
    <tableColumn id="55" name="D_hts_tst_pos_emergency_o15_pct" dataDxfId="1285"/>
    <tableColumn id="56" name="D_hts_tst_pos_vct_o15_pct" dataDxfId="1284"/>
    <tableColumn id="57" name="D_hts_tst_pos_otherpitc_o15_pct" dataDxfId="1283"/>
    <tableColumn id="58" name="D_hts_tst_indexmod_u15_pct" dataDxfId="1282"/>
    <tableColumn id="59" name="D_hts_tst_mobilemod_u15_pct" dataDxfId="1281"/>
    <tableColumn id="60" name="D_hts_tst_vctmod_u15_pct" dataDxfId="1280"/>
    <tableColumn id="61" name="D_hts_tst_othermod_u15_pct" dataDxfId="1279"/>
    <tableColumn id="62" name="D_hts_tst_index_u15_pct" dataDxfId="1278"/>
    <tableColumn id="63" name="D_hts_tst_sti_u15_pct" dataDxfId="1277"/>
    <tableColumn id="64" name="D_hts_tst_inpat_u15_pct" dataDxfId="1276"/>
    <tableColumn id="65" name="D_hts_tst_emergency_u15_pct" dataDxfId="1275"/>
    <tableColumn id="66" name="D_hts_tst_vct_u15_pct" dataDxfId="1274"/>
    <tableColumn id="67" name="D_hts_tst_pediatric_u15_pct" dataDxfId="1273"/>
    <tableColumn id="68" name="D_hts_tst_malnutrition_u15_pct" dataDxfId="1272"/>
    <tableColumn id="69" name="D_hts_tst_otherpitc_u15_pct" dataDxfId="1271"/>
    <tableColumn id="70" name="D_hts_tst_pos_indexmod_u15_pct" dataDxfId="1270"/>
    <tableColumn id="71" name="D_hts_tst_pos_mobilemod_u15_pct" dataDxfId="1269"/>
    <tableColumn id="72" name="D_hts_tst_pos_vctmod_u15_pct" dataDxfId="1268"/>
    <tableColumn id="73" name="D_hts_tst_pos_othermod_u15_pct" dataDxfId="1267"/>
    <tableColumn id="74" name="D_hts_tst_pos_index_u15_pct" dataDxfId="1266"/>
    <tableColumn id="75" name="D_hts_tst_pos_sti_u15_pct" dataDxfId="1265"/>
    <tableColumn id="76" name="D_hts_tst_pos_inpat_u15_pct" dataDxfId="1264"/>
    <tableColumn id="77" name="D_hts_tst_pos_emergency_u15_pct" dataDxfId="1263"/>
    <tableColumn id="78" name="D_hts_tst_pos_vct_u15_pct" dataDxfId="1262"/>
    <tableColumn id="79" name="D_hts_tst_pos_pediatric_u15_pct" dataDxfId="1261"/>
    <tableColumn id="80" name="D_hts_tst_pos_malnutrition_u15_pct" dataDxfId="1260"/>
    <tableColumn id="81" name="D_hts_tst_pos_otherpitc_u15_pct" dataDxfId="1259"/>
    <tableColumn id="82" name="D_hts_tst_keypop_pct" dataDxfId="1258"/>
    <tableColumn id="83" name="D_hts_self_pct" dataDxfId="1257"/>
    <tableColumn id="84" name="D_vmmc_circ_pct" dataDxfId="1256"/>
    <tableColumn id="85" name="D_vmmc_circ_1529_pct" dataDxfId="1255"/>
    <tableColumn id="86" name="D_ovc_serv_pct" dataDxfId="1254"/>
    <tableColumn id="87" name="D_ovc_serv_grad_pct" dataDxfId="1253"/>
    <tableColumn id="88" name="D_ovc_serv_active_pct" dataDxfId="1252"/>
    <tableColumn id="89" name="D_ovc_serv_u18_pct" dataDxfId="1251"/>
    <tableColumn id="90" name="D_ovc_hivstat_pct" dataDxfId="1250"/>
    <tableColumn id="91" name="D_ovc_serv_edu_pct" dataDxfId="1249"/>
    <tableColumn id="92" name="D_ovc_serv_care_pct" dataDxfId="1248"/>
    <tableColumn id="93" name="D_ovc_serv_sp_pct" dataDxfId="1247"/>
    <tableColumn id="94" name="D_ovc_serv_econ_pct" dataDxfId="1246"/>
    <tableColumn id="95" name="D_ovc_serv_oth_pct" dataDxfId="1245"/>
    <tableColumn id="96" name="D_kp_prev_msm_sw_D_pct" dataDxfId="1244"/>
    <tableColumn id="97" name="D_kp_prev_msm_sw_pct" dataDxfId="1243"/>
    <tableColumn id="98" name="D_kp_prev_msm_not_sw_D_pct" dataDxfId="1242"/>
    <tableColumn id="99" name="D_kp_prev_msm_not_sw_pct" dataDxfId="1241"/>
    <tableColumn id="100" name="D_kp_prev_tg_sw_D_pct" dataDxfId="1240"/>
    <tableColumn id="101" name="D_kp_prev_tg_sw_pct" dataDxfId="1239"/>
    <tableColumn id="102" name="D_kp_prev_tg_not_sw_D_pct" dataDxfId="1238"/>
    <tableColumn id="103" name="D_kp_prev_tg_not_sw_pct" dataDxfId="1237"/>
    <tableColumn id="104" name="D_kp_prev_fsw_D_pct" dataDxfId="1236"/>
    <tableColumn id="105" name="D_kp_prev_fsw_pct" dataDxfId="1235"/>
    <tableColumn id="106" name="D_kp_prev_pwid_m_D_pct" dataDxfId="1234"/>
    <tableColumn id="107" name="D_kp_prev_pwid_m_pct" dataDxfId="1233"/>
    <tableColumn id="108" name="D_kp_prev_pwid_f_D_pct" dataDxfId="1232"/>
    <tableColumn id="109" name="D_kp_prev_pwid_f_pct" dataDxfId="1231"/>
    <tableColumn id="110" name="D_kp_prev_prison_D_pct" dataDxfId="1230"/>
    <tableColumn id="111" name="D_kp_prev_prison_pct" dataDxfId="1229"/>
    <tableColumn id="112" name="D_pp_prev_pct" dataDxfId="1228"/>
    <tableColumn id="113" name="D_kp_mat_pct" dataDxfId="1227"/>
    <tableColumn id="114" name="D_gend_gbv_pct" dataDxfId="1226"/>
    <tableColumn id="115" name="D_prep_new_pct" dataDxfId="1225"/>
    <tableColumn id="116" name="D_tx_ret_D_fy19" dataDxfId="1224"/>
    <tableColumn id="117" name="D_tx_ret_u15_D_fy19" dataDxfId="1223"/>
    <tableColumn id="228" name="D_tx_ret_fy19" dataDxfId="1222"/>
    <tableColumn id="118" name="D_tx_ret_u15_fy19" dataDxfId="1221"/>
    <tableColumn id="25" name="D_tx_new_fy19" dataDxfId="1220"/>
    <tableColumn id="119" name="D_tx_new_u15_fy19" dataDxfId="1219"/>
    <tableColumn id="227" name="D_tx_curr_fy19" dataDxfId="1218"/>
    <tableColumn id="120" name="D_tx_curr_u15_fy19" dataDxfId="1217"/>
    <tableColumn id="24" name="D_tx_pvls_D_fy19" dataDxfId="1216"/>
    <tableColumn id="121" name="D_pmtct_stat_D_fy19" dataDxfId="1215"/>
    <tableColumn id="122" name="D_pmtct_stat_fy19" dataDxfId="1214"/>
    <tableColumn id="123" name="D_pmtct_stat_newpos_fy19" dataDxfId="1213"/>
    <tableColumn id="124" name="D_pmtct_stat_newneg_fy19" dataDxfId="1212"/>
    <tableColumn id="125" name="D_pmtct_stat_known_fy19" dataDxfId="1211"/>
    <tableColumn id="126" name="D_pmtct_art_fy19" dataDxfId="1210"/>
    <tableColumn id="127" name="D_pmtct_art_new_fy19" dataDxfId="1209"/>
    <tableColumn id="128" name="D_pmtct_art_already_fy19" dataDxfId="1208"/>
    <tableColumn id="129" name="D_pmtct_eid_fy19" dataDxfId="1207"/>
    <tableColumn id="130" name="D_pmtct_eid_u2mo_fy19" dataDxfId="1206"/>
    <tableColumn id="131" name="D_pmtct_eid_o2mo_fy19" dataDxfId="1205"/>
    <tableColumn id="132" name="D_tb_stat_D_fy19" dataDxfId="1204"/>
    <tableColumn id="133" name="D_tb_stat_fy19" dataDxfId="1203"/>
    <tableColumn id="134" name="D_tb_stat_newpos_fy19" dataDxfId="1202"/>
    <tableColumn id="135" name="D_tb_stat_newneg_fy19" dataDxfId="1201"/>
    <tableColumn id="136" name="D_tb_stat_known_fy19" dataDxfId="1200"/>
    <tableColumn id="137" name="D_tb_art_fy19" dataDxfId="1199"/>
    <tableColumn id="138" name="D_tb_art_new_fy19" dataDxfId="1198"/>
    <tableColumn id="139" name="D_tb_art_already_fy19" dataDxfId="1197"/>
    <tableColumn id="140" name="D_tx_tb_D_fy19" dataDxfId="1196"/>
    <tableColumn id="141" name="D_tb_prev_D_fy19" dataDxfId="1195"/>
    <tableColumn id="142" name="D_tb_prev_fy19" dataDxfId="1194"/>
    <tableColumn id="143" name="D_hts_tst_pos_vmmc_fy19" dataDxfId="1193"/>
    <tableColumn id="144" name="D_hts_tst_pmtctanc_fy19" dataDxfId="1192"/>
    <tableColumn id="145" name="D_hts_tst_tbclinic_fy19" dataDxfId="1191"/>
    <tableColumn id="146" name="D_hts_tst_vmmc_fy19" dataDxfId="1190"/>
    <tableColumn id="147" name="D_hts_tst_indexmod_o15_fy19" dataDxfId="1189"/>
    <tableColumn id="148" name="D_hts_tst_mobilemod_o15_fy19" dataDxfId="1188"/>
    <tableColumn id="149" name="D_hts_tst_vctmod_o15_fy19" dataDxfId="1187"/>
    <tableColumn id="150" name="D_hts_tst_othermod_o15_fy19" dataDxfId="1186"/>
    <tableColumn id="151" name="D_hts_tst_index_o15_fy19" dataDxfId="1185"/>
    <tableColumn id="152" name="D_hts_tst_sti_o15_fy19" dataDxfId="1184"/>
    <tableColumn id="153" name="D_hts_tst_inpat_o15_fy19" dataDxfId="1183"/>
    <tableColumn id="154" name="D_hts_tst_emergency_o15_fy19" dataDxfId="1182"/>
    <tableColumn id="155" name="D_hts_tst_vct_o15_fy19" dataDxfId="1181"/>
    <tableColumn id="156" name="D_hts_tst_otherpitc_o15_fy19" dataDxfId="1180"/>
    <tableColumn id="157" name="D_hts_tst_pos_indexmod_o15_fy19" dataDxfId="1179"/>
    <tableColumn id="158" name="D_hts_tst_pos_mobilemod_o15_fy19" dataDxfId="1178"/>
    <tableColumn id="159" name="D_hts_tst_pos_vctmod_o15_fy19" dataDxfId="1177"/>
    <tableColumn id="160" name="D_hts_tst_pos_othermod_o15_fy19" dataDxfId="1176"/>
    <tableColumn id="161" name="D_hts_tst_pos_index_o15_fy19" dataDxfId="1175"/>
    <tableColumn id="162" name="D_hts_tst_pos_sti_o15_fy19" dataDxfId="1174"/>
    <tableColumn id="163" name="D_hts_tst_pos_inpat_o15_fy19" dataDxfId="1173"/>
    <tableColumn id="164" name="D_hts_tst_pos_emergency_o15_fy19" dataDxfId="1172"/>
    <tableColumn id="165" name="D_hts_tst_pos_vct_o15_fy19" dataDxfId="1171"/>
    <tableColumn id="166" name="D_hts_tst_pos_otherpitc_o15_fy19" dataDxfId="1170"/>
    <tableColumn id="167" name="D_hts_tst_indexmod_u15_fy19" dataDxfId="1169"/>
    <tableColumn id="168" name="D_hts_tst_mobilemod_u15_fy19" dataDxfId="1168"/>
    <tableColumn id="169" name="D_hts_tst_vctmod_u15_fy19" dataDxfId="1167"/>
    <tableColumn id="170" name="D_hts_tst_othermod_u15_fy19" dataDxfId="1166"/>
    <tableColumn id="171" name="D_hts_tst_index_u15_fy19" dataDxfId="1165"/>
    <tableColumn id="172" name="D_hts_tst_sti_u15_fy19" dataDxfId="1164"/>
    <tableColumn id="173" name="D_hts_tst_inpat_u15_fy19" dataDxfId="1163"/>
    <tableColumn id="174" name="D_hts_tst_emergency_u15_fy19" dataDxfId="1162"/>
    <tableColumn id="175" name="D_hts_tst_vct_u15_fy19" dataDxfId="1161"/>
    <tableColumn id="176" name="D_hts_tst_pediatric_u15_fy19" dataDxfId="1160"/>
    <tableColumn id="177" name="D_hts_tst_malnutrition_u15_fy19" dataDxfId="1159"/>
    <tableColumn id="178" name="D_hts_tst_otherpitc_u15_fy19" dataDxfId="1158"/>
    <tableColumn id="179" name="D_hts_tst_pos_indexmod_u15_fy19" dataDxfId="1157"/>
    <tableColumn id="180" name="D_hts_tst_pos_mobilemod_u15_fy19" dataDxfId="1156"/>
    <tableColumn id="181" name="D_hts_tst_pos_vctmod_u15_fy19" dataDxfId="1155"/>
    <tableColumn id="182" name="D_hts_tst_pos_othermod_u15_fy19" dataDxfId="1154"/>
    <tableColumn id="183" name="D_hts_tst_pos_index_u15_fy19" dataDxfId="1153"/>
    <tableColumn id="184" name="D_hts_tst_pos_sti_u15_fy19" dataDxfId="1152"/>
    <tableColumn id="185" name="D_hts_tst_pos_inpat_u15_fy19" dataDxfId="1151"/>
    <tableColumn id="186" name="D_hts_tst_pos_emergency_u15_fy19" dataDxfId="1150"/>
    <tableColumn id="187" name="D_hts_tst_pos_vct_u15_fy19" dataDxfId="1149"/>
    <tableColumn id="188" name="D_hts_tst_pos_pediatric_u15_fy19" dataDxfId="1148"/>
    <tableColumn id="189" name="D_hts_tst_pos_malnutrition_u15_fy19" dataDxfId="1147"/>
    <tableColumn id="190" name="D_hts_tst_pos_otherpitc_u15_fy19" dataDxfId="1146"/>
    <tableColumn id="191" name="D_hts_tst_keypop_fy19" dataDxfId="1145"/>
    <tableColumn id="192" name="D_hts_self_fy19" dataDxfId="1144"/>
    <tableColumn id="193" name="D_vmmc_circ_fy19" dataDxfId="1143"/>
    <tableColumn id="194" name="D_vmmc_circ_1529_fy19" dataDxfId="1142"/>
    <tableColumn id="195" name="D_ovc_serv_fy19" dataDxfId="1141"/>
    <tableColumn id="196" name="D_ovc_serv_grad_fy19" dataDxfId="1140"/>
    <tableColumn id="197" name="D_ovc_serv_active_fy19" dataDxfId="1139"/>
    <tableColumn id="198" name="D_ovc_serv_u18_fy19" dataDxfId="1138"/>
    <tableColumn id="199" name="D_ovc_hivstat_fy19" dataDxfId="1137"/>
    <tableColumn id="200" name="D_ovc_serv_edu_fy19" dataDxfId="1136"/>
    <tableColumn id="201" name="D_ovc_serv_care_fy19" dataDxfId="1135"/>
    <tableColumn id="202" name="D_ovc_serv_sp_fy19" dataDxfId="1134"/>
    <tableColumn id="203" name="D_ovc_serv_econ_fy19" dataDxfId="1133"/>
    <tableColumn id="204" name="D_ovc_serv_oth_fy19" dataDxfId="1132"/>
    <tableColumn id="205" name="D_kp_prev_msm_sw_D_fy19" dataDxfId="1131"/>
    <tableColumn id="206" name="D_kp_prev_msm_sw_fy19" dataDxfId="1130"/>
    <tableColumn id="207" name="D_kp_prev_msm_not_sw_D_fy19" dataDxfId="1129"/>
    <tableColumn id="208" name="D_kp_prev_msm_not_sw_fy19" dataDxfId="1128"/>
    <tableColumn id="209" name="D_kp_prev_tg_sw_D_fy19" dataDxfId="1127"/>
    <tableColumn id="210" name="D_kp_prev_tg_sw_fy19" dataDxfId="1126"/>
    <tableColumn id="211" name="D_kp_prev_tg_not_sw_D_fy19" dataDxfId="1125"/>
    <tableColumn id="212" name="D_kp_prev_tg_not_sw_fy19" dataDxfId="1124"/>
    <tableColumn id="213" name="D_kp_prev_fsw_D_fy19" dataDxfId="1123"/>
    <tableColumn id="214" name="D_kp_prev_fsw_fy19" dataDxfId="1122"/>
    <tableColumn id="215" name="D_kp_prev_pwid_m_D_fy19" dataDxfId="1121"/>
    <tableColumn id="216" name="D_kp_prev_pwid_m_fy19" dataDxfId="1120"/>
    <tableColumn id="217" name="D_kp_prev_pwid_f_D_fy19" dataDxfId="1119"/>
    <tableColumn id="218" name="D_kp_prev_pwid_f_fy19" dataDxfId="1118"/>
    <tableColumn id="219" name="D_kp_prev_prison_D_fy19" dataDxfId="1117"/>
    <tableColumn id="220" name="D_kp_prev_prison_fy19" dataDxfId="1116"/>
    <tableColumn id="221" name="D_pp_prev_fy19" dataDxfId="1115"/>
    <tableColumn id="222" name="D_kp_mat_fy19" dataDxfId="1114"/>
    <tableColumn id="223" name="D_gend_gbv_fy19" dataDxfId="1113"/>
    <tableColumn id="224" name="D_prep_new_fy19" dataDxfId="1112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I7" totalsRowShown="0" headerRowDxfId="1111" dataDxfId="1110">
  <autoFilter ref="C6:CI7"/>
  <tableColumns count="85">
    <tableColumn id="1" name="psnu" dataDxfId="1109"/>
    <tableColumn id="46" name="psnuuid" dataDxfId="1108"/>
    <tableColumn id="2" name="priority" dataDxfId="1107"/>
    <tableColumn id="27" name="mechid" dataDxfId="1106"/>
    <tableColumn id="45" name="mechname" dataDxfId="1105"/>
    <tableColumn id="4" name="type" dataDxfId="1104"/>
    <tableColumn id="47" name="psnu_type" dataDxfId="1103"/>
    <tableColumn id="48" name="A_hts_tst_indexmod_u1_unk_pos" dataDxfId="1102"/>
    <tableColumn id="50" name="A_hts_tst_indexmod_0109_unk_pos" dataDxfId="1101"/>
    <tableColumn id="51" name="A_hts_tst_indexmod_1014_f_pos" dataDxfId="1100"/>
    <tableColumn id="55" name="A_hts_tst_indexmod_1014_m_pos" dataDxfId="1099"/>
    <tableColumn id="75" name="A_hts_tst_indexmod_u1_unk_neg" dataDxfId="1098"/>
    <tableColumn id="76" name="A_hts_tst_indexmod_0109_unk_neg" dataDxfId="1097"/>
    <tableColumn id="77" name="A_hts_tst_indexmod_1014_f_neg" dataDxfId="1096"/>
    <tableColumn id="78" name="A_hts_tst_indexmod_1014_m_neg" dataDxfId="1095"/>
    <tableColumn id="79" name="A_hts_tst_indexmod_1519_f_pos" dataDxfId="1094"/>
    <tableColumn id="80" name="A_hts_tst_indexmod_1519_m_pos" dataDxfId="1093"/>
    <tableColumn id="81" name="A_hts_tst_indexmod_2024_f_pos" dataDxfId="1092"/>
    <tableColumn id="82" name="A_hts_tst_indexmod_2024_m_pos" dataDxfId="1091"/>
    <tableColumn id="83" name="A_hts_tst_indexmod_2529_f_pos" dataDxfId="1090"/>
    <tableColumn id="84" name="A_hts_tst_indexmod_2529_m_pos" dataDxfId="1089"/>
    <tableColumn id="85" name="A_hts_tst_indexmod_3034_f_pos" dataDxfId="1088"/>
    <tableColumn id="86" name="A_hts_tst_indexmod_3034_m__pos" dataDxfId="1087"/>
    <tableColumn id="87" name="A_hts_tst_indexmod_3539_f_pos" dataDxfId="1086"/>
    <tableColumn id="88" name="A_hts_tst_indexmod_3539_m__pos" dataDxfId="1085"/>
    <tableColumn id="89" name="A_hts_tst_indexmod_4049_f_pos" dataDxfId="1084"/>
    <tableColumn id="90" name="A_hts_tst_indexmod_4049_m_pos" dataDxfId="1083"/>
    <tableColumn id="91" name="A_hts_tst_indexmod_o50_f_pos" dataDxfId="1082"/>
    <tableColumn id="92" name="A_hts_tst_indexmod_o50_m_pos" dataDxfId="1081"/>
    <tableColumn id="56" name="A_hts_tst_indexmod_1519_f_neg" dataDxfId="1080"/>
    <tableColumn id="57" name="A_hts_tst_indexmod_1519_m_neg" dataDxfId="1079"/>
    <tableColumn id="58" name="A_hts_tst_indexmod_2024_f_neg" dataDxfId="1078"/>
    <tableColumn id="59" name="A_hts_tst_indexmod_2024_m_neg" dataDxfId="1077"/>
    <tableColumn id="60" name="A_hts_tst_indexmod_2529_f_neg" dataDxfId="1076"/>
    <tableColumn id="61" name="A_hts_tst_indexmod_2529_m_neg" dataDxfId="1075"/>
    <tableColumn id="62" name="A_hts_tst_indexmod_3034_f_neg" dataDxfId="1074"/>
    <tableColumn id="63" name="A_hts_tst_indexmod_3034_m_neg" dataDxfId="1073"/>
    <tableColumn id="64" name="A_hts_tst_indexmod_3539_f_neg" dataDxfId="1072"/>
    <tableColumn id="65" name="A_hts_tst_indexmod_3539_m_neg" dataDxfId="1071"/>
    <tableColumn id="66" name="A_hts_tst_indexmod_4049_f_neg" dataDxfId="1070"/>
    <tableColumn id="67" name="A_hts_tst_indexmod_4049_m_neg" dataDxfId="1069"/>
    <tableColumn id="68" name="A_hts_tst_indexmod_o50_f_neg" dataDxfId="1068"/>
    <tableColumn id="69" name="A_hts_tst_indexmod_o50_m_neg" dataDxfId="1067"/>
    <tableColumn id="25" name="D_hts_tst_indexmod_u15_fy19" dataDxfId="1066"/>
    <tableColumn id="70" name="D_hts_tst_pos_indexmod_u15_fy19" dataDxfId="1065"/>
    <tableColumn id="71" name="D_hts_tst_neg_indexmod_u15_fy19" dataDxfId="1064"/>
    <tableColumn id="72" name="D_hts_tst_indexmod_o15_fy19" dataDxfId="1063"/>
    <tableColumn id="73" name="D_hts_tst_pos_indexmod_o15_fy19" dataDxfId="1062"/>
    <tableColumn id="74" name="D_hts_tst_neg_indexmod_o15_fy19" dataDxfId="1061"/>
    <tableColumn id="5" name="hts_tst_indexmod_u1_unk_pos" dataDxfId="1060">
      <calculatedColumnFormula>indexmod_T[[D_hts_tst_pos_indexmod_u15_fy19]:[D_hts_tst_pos_indexmod_u15_fy19]]*indexmod_T[A_hts_tst_indexmod_u1_unk_pos]</calculatedColumnFormula>
    </tableColumn>
    <tableColumn id="6" name="hts_tst_indexmod_0109_unk_pos" dataDxfId="1059">
      <calculatedColumnFormula>indexmod_T[[D_hts_tst_pos_indexmod_u15_fy19]:[D_hts_tst_pos_indexmod_u15_fy19]]*indexmod_T[A_hts_tst_indexmod_0109_unk_pos]</calculatedColumnFormula>
    </tableColumn>
    <tableColumn id="22" name="hts_tst_indexmod_1014_f_pos" dataDxfId="1058">
      <calculatedColumnFormula>indexmod_T[[D_hts_tst_pos_indexmod_u15_fy19]:[D_hts_tst_pos_indexmod_u15_fy19]]*indexmod_T[A_hts_tst_indexmod_1014_f_pos]</calculatedColumnFormula>
    </tableColumn>
    <tableColumn id="7" name="hts_tst_indexmod_1014_m_pos" dataDxfId="1057">
      <calculatedColumnFormula>indexmod_T[[D_hts_tst_pos_indexmod_u15_fy19]:[D_hts_tst_pos_indexmod_u15_fy19]]*indexmod_T[A_hts_tst_indexmod_1014_m_pos]</calculatedColumnFormula>
    </tableColumn>
    <tableColumn id="8" name="hts_tst_indexmod_u1_unk_neg" dataDxfId="1056">
      <calculatedColumnFormula>indexmod_T[[D_hts_tst_neg_indexmod_u15_fy19]:[D_hts_tst_neg_indexmod_u15_fy19]]*indexmod_T[A_hts_tst_indexmod_u1_unk_neg]</calculatedColumnFormula>
    </tableColumn>
    <tableColumn id="9" name="hts_tst_indexmod_0109_unk_neg" dataDxfId="1055">
      <calculatedColumnFormula>indexmod_T[[D_hts_tst_neg_indexmod_u15_fy19]:[D_hts_tst_neg_indexmod_u15_fy19]]*indexmod_T[A_hts_tst_indexmod_0109_unk_neg]</calculatedColumnFormula>
    </tableColumn>
    <tableColumn id="10" name="hts_tst_indexmod_1014_f_neg" dataDxfId="1054">
      <calculatedColumnFormula>indexmod_T[[D_hts_tst_neg_indexmod_u15_fy19]:[D_hts_tst_neg_indexmod_u15_fy19]]*indexmod_T[A_hts_tst_indexmod_1014_f_neg]</calculatedColumnFormula>
    </tableColumn>
    <tableColumn id="11" name="hts_tst_indexmod_1014_m_neg" dataDxfId="1053">
      <calculatedColumnFormula>indexmod_T[[D_hts_tst_neg_indexmod_u15_fy19]:[D_hts_tst_neg_indexmod_u15_fy19]]*indexmod_T[A_hts_tst_indexmod_1014_m_neg]</calculatedColumnFormula>
    </tableColumn>
    <tableColumn id="12" name="hts_tst_indexmod_1519_f_pos" dataDxfId="1052">
      <calculatedColumnFormula>indexmod_T[[D_hts_tst_pos_indexmod_o15_fy19]:[D_hts_tst_pos_indexmod_o15_fy19]]*indexmod_T[A_hts_tst_indexmod_1519_f_pos]</calculatedColumnFormula>
    </tableColumn>
    <tableColumn id="13" name="hts_tst_indexmod_1519_m_pos" dataDxfId="1051">
      <calculatedColumnFormula>indexmod_T[[D_hts_tst_pos_indexmod_o15_fy19]:[D_hts_tst_pos_indexmod_o15_fy19]]*indexmod_T[A_hts_tst_indexmod_1519_m_pos]</calculatedColumnFormula>
    </tableColumn>
    <tableColumn id="54" name="hts_tst_indexmod_2024_f_pos" dataDxfId="1050">
      <calculatedColumnFormula>indexmod_T[[D_hts_tst_pos_indexmod_o15_fy19]:[D_hts_tst_pos_indexmod_o15_fy19]]*indexmod_T[A_hts_tst_indexmod_2024_f_pos]</calculatedColumnFormula>
    </tableColumn>
    <tableColumn id="14" name="hts_tst_indexmod_2024_m_pos" dataDxfId="1049">
      <calculatedColumnFormula>indexmod_T[[D_hts_tst_pos_indexmod_o15_fy19]:[D_hts_tst_pos_indexmod_o15_fy19]]*indexmod_T[A_hts_tst_indexmod_2024_m_pos]</calculatedColumnFormula>
    </tableColumn>
    <tableColumn id="15" name="hts_tst_indexmod_2529_f_pos" dataDxfId="1048">
      <calculatedColumnFormula>indexmod_T[[D_hts_tst_pos_indexmod_o15_fy19]:[D_hts_tst_pos_indexmod_o15_fy19]]*indexmod_T[A_hts_tst_indexmod_2529_f_pos]</calculatedColumnFormula>
    </tableColumn>
    <tableColumn id="16" name="hts_tst_indexmod_2529_m_pos" dataDxfId="1047">
      <calculatedColumnFormula>indexmod_T[[D_hts_tst_pos_indexmod_o15_fy19]:[D_hts_tst_pos_indexmod_o15_fy19]]*indexmod_T[A_hts_tst_indexmod_2529_m_pos]</calculatedColumnFormula>
    </tableColumn>
    <tableColumn id="17" name="hts_tst_indexmod_3034_f_pos" dataDxfId="1046">
      <calculatedColumnFormula>indexmod_T[[D_hts_tst_pos_indexmod_o15_fy19]:[D_hts_tst_pos_indexmod_o15_fy19]]*indexmod_T[A_hts_tst_indexmod_3034_f_pos]</calculatedColumnFormula>
    </tableColumn>
    <tableColumn id="18" name="hts_tst_indexmod_3034_m_pos" dataDxfId="1045">
      <calculatedColumnFormula>indexmod_T[[D_hts_tst_pos_indexmod_o15_fy19]:[D_hts_tst_pos_indexmod_o15_fy19]]*indexmod_T[A_hts_tst_indexmod_3034_m__pos]</calculatedColumnFormula>
    </tableColumn>
    <tableColumn id="19" name="hts_tst_indexmod_3539_f_pos" dataDxfId="1044">
      <calculatedColumnFormula>indexmod_T[[D_hts_tst_pos_indexmod_o15_fy19]:[D_hts_tst_pos_indexmod_o15_fy19]]*indexmod_T[A_hts_tst_indexmod_3539_f_pos]</calculatedColumnFormula>
    </tableColumn>
    <tableColumn id="20" name="hts_tst_indexmod_3539_m_pos" dataDxfId="1043">
      <calculatedColumnFormula>indexmod_T[[D_hts_tst_pos_indexmod_o15_fy19]:[D_hts_tst_pos_indexmod_o15_fy19]]*indexmod_T[A_hts_tst_indexmod_3539_m__pos]</calculatedColumnFormula>
    </tableColumn>
    <tableColumn id="21" name="hts_tst_indexmod_4049_f_pos" dataDxfId="1042">
      <calculatedColumnFormula>indexmod_T[[D_hts_tst_pos_indexmod_o15_fy19]:[D_hts_tst_pos_indexmod_o15_fy19]]*indexmod_T[A_hts_tst_indexmod_4049_f_pos]</calculatedColumnFormula>
    </tableColumn>
    <tableColumn id="26" name="hts_tst_indexmod_4049_m_pos" dataDxfId="1041">
      <calculatedColumnFormula>indexmod_T[[D_hts_tst_pos_indexmod_o15_fy19]:[D_hts_tst_pos_indexmod_o15_fy19]]*indexmod_T[A_hts_tst_indexmod_4049_m_pos]</calculatedColumnFormula>
    </tableColumn>
    <tableColumn id="28" name="hts_tst_indexmod_o50_f_pos" dataDxfId="1040">
      <calculatedColumnFormula>indexmod_T[[D_hts_tst_pos_indexmod_o15_fy19]:[D_hts_tst_pos_indexmod_o15_fy19]]*indexmod_T[A_hts_tst_indexmod_o50_f_pos]</calculatedColumnFormula>
    </tableColumn>
    <tableColumn id="29" name="hts_tst_indexmod_o50_m_pos" dataDxfId="1039">
      <calculatedColumnFormula>indexmod_T[[D_hts_tst_pos_indexmod_o15_fy19]:[D_hts_tst_pos_indexmod_o15_fy19]]*indexmod_T[A_hts_tst_indexmod_o50_m_pos]</calculatedColumnFormula>
    </tableColumn>
    <tableColumn id="30" name="hts_tst_indexmod_1519_f_neg" dataDxfId="1038">
      <calculatedColumnFormula>indexmod_T[[D_hts_tst_neg_indexmod_o15_fy19]:[D_hts_tst_neg_indexmod_o15_fy19]]*indexmod_T[A_hts_tst_indexmod_1519_f_neg]</calculatedColumnFormula>
    </tableColumn>
    <tableColumn id="52" name="hts_tst_indexmod_1519_m_neg" dataDxfId="1037">
      <calculatedColumnFormula>indexmod_T[[D_hts_tst_neg_indexmod_o15_fy19]:[D_hts_tst_neg_indexmod_o15_fy19]]*indexmod_T[A_hts_tst_indexmod_1519_m_neg]</calculatedColumnFormula>
    </tableColumn>
    <tableColumn id="31" name="hts_tst_indexmod_2024_f_neg" dataDxfId="1036">
      <calculatedColumnFormula>indexmod_T[[D_hts_tst_neg_indexmod_o15_fy19]:[D_hts_tst_neg_indexmod_o15_fy19]]*indexmod_T[A_hts_tst_indexmod_2024_f_neg]</calculatedColumnFormula>
    </tableColumn>
    <tableColumn id="32" name="hts_tst_indexmod_2024_m_neg" dataDxfId="1035">
      <calculatedColumnFormula>indexmod_T[[D_hts_tst_neg_indexmod_o15_fy19]:[D_hts_tst_neg_indexmod_o15_fy19]]*indexmod_T[A_hts_tst_indexmod_2024_m_neg]</calculatedColumnFormula>
    </tableColumn>
    <tableColumn id="33" name="hts_tst_indexmod_2529_f_neg" dataDxfId="1034">
      <calculatedColumnFormula>indexmod_T[[D_hts_tst_neg_indexmod_o15_fy19]:[D_hts_tst_neg_indexmod_o15_fy19]]*indexmod_T[A_hts_tst_indexmod_2529_f_neg]</calculatedColumnFormula>
    </tableColumn>
    <tableColumn id="34" name="hts_tst_indexmod_2529_m_neg" dataDxfId="1033">
      <calculatedColumnFormula>indexmod_T[[D_hts_tst_neg_indexmod_o15_fy19]:[D_hts_tst_neg_indexmod_o15_fy19]]*indexmod_T[A_hts_tst_indexmod_2529_m_neg]</calculatedColumnFormula>
    </tableColumn>
    <tableColumn id="35" name="hts_tst_indexmod_3034_f_neg" dataDxfId="1032">
      <calculatedColumnFormula>indexmod_T[[D_hts_tst_neg_indexmod_o15_fy19]:[D_hts_tst_neg_indexmod_o15_fy19]]*indexmod_T[A_hts_tst_indexmod_3034_f_neg]</calculatedColumnFormula>
    </tableColumn>
    <tableColumn id="36" name="hts_tst_indexmod_3034_m_neg" dataDxfId="1031">
      <calculatedColumnFormula>indexmod_T[[D_hts_tst_neg_indexmod_o15_fy19]:[D_hts_tst_neg_indexmod_o15_fy19]]*indexmod_T[A_hts_tst_indexmod_3034_m_neg]</calculatedColumnFormula>
    </tableColumn>
    <tableColumn id="53" name="hts_tst_indexmod_3539_f_neg" dataDxfId="1030">
      <calculatedColumnFormula>indexmod_T[[D_hts_tst_neg_indexmod_o15_fy19]:[D_hts_tst_neg_indexmod_o15_fy19]]*indexmod_T[A_hts_tst_indexmod_3539_f_neg]</calculatedColumnFormula>
    </tableColumn>
    <tableColumn id="37" name="hts_tst_indexmod_3539_m_neg" dataDxfId="1029">
      <calculatedColumnFormula>indexmod_T[[D_hts_tst_neg_indexmod_o15_fy19]:[D_hts_tst_neg_indexmod_o15_fy19]]*indexmod_T[A_hts_tst_indexmod_3539_m_neg]</calculatedColumnFormula>
    </tableColumn>
    <tableColumn id="38" name="hts_tst_indexmod_4049_f_neg" dataDxfId="1028">
      <calculatedColumnFormula>indexmod_T[[D_hts_tst_neg_indexmod_o15_fy19]:[D_hts_tst_neg_indexmod_o15_fy19]]*indexmod_T[A_hts_tst_indexmod_4049_f_neg]</calculatedColumnFormula>
    </tableColumn>
    <tableColumn id="39" name="hts_tst_indexmod_4049_m_neg" dataDxfId="1027">
      <calculatedColumnFormula>indexmod_T[[D_hts_tst_neg_indexmod_o15_fy19]:[D_hts_tst_neg_indexmod_o15_fy19]]*indexmod_T[A_hts_tst_indexmod_4049_m_neg]</calculatedColumnFormula>
    </tableColumn>
    <tableColumn id="40" name="hts_tst_indexmod_o50_f_neg" dataDxfId="1026">
      <calculatedColumnFormula>indexmod_T[[D_hts_tst_neg_indexmod_o15_fy19]:[D_hts_tst_neg_indexmod_o15_fy19]]*indexmod_T[A_hts_tst_indexmod_o50_f_neg]</calculatedColumnFormula>
    </tableColumn>
    <tableColumn id="41" name="hts_tst_indexmod_o50_m_neg" dataDxfId="1025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I7" totalsRowShown="0" headerRowDxfId="1024" dataDxfId="1023">
  <autoFilter ref="C6:CI7"/>
  <tableColumns count="85">
    <tableColumn id="1" name="psnu" dataDxfId="1022"/>
    <tableColumn id="46" name="psnuuid" dataDxfId="1021"/>
    <tableColumn id="2" name="priority" dataDxfId="1020"/>
    <tableColumn id="27" name="mechid" dataDxfId="1019"/>
    <tableColumn id="45" name="mechname" dataDxfId="1018"/>
    <tableColumn id="4" name="type" dataDxfId="1017"/>
    <tableColumn id="47" name="psnu_type" dataDxfId="1016"/>
    <tableColumn id="48" name="A_hts_tst_mobilemod_u1_unk_pos" dataDxfId="1015"/>
    <tableColumn id="50" name="A_hts_tst_mobilemod_0109_unk_pos" dataDxfId="1014"/>
    <tableColumn id="51" name="A_hts_tst_mobilemod_1014_f_pos" dataDxfId="1013"/>
    <tableColumn id="55" name="A_hts_tst_mobilemod_1014_m_pos" dataDxfId="1012"/>
    <tableColumn id="75" name="A_hts_tst_mobilemod_u1_unk_neg" dataDxfId="1011"/>
    <tableColumn id="76" name="A_hts_tst_mobilemod_0109_unk_neg" dataDxfId="1010"/>
    <tableColumn id="77" name="A_hts_tst_mobilemod_1014_f_neg" dataDxfId="1009"/>
    <tableColumn id="78" name="A_hts_tst_mobilemod_1014_m_neg" dataDxfId="1008"/>
    <tableColumn id="79" name="A_hts_tst_mobilemod_1519_f_pos" dataDxfId="1007"/>
    <tableColumn id="80" name="A_hts_tst_mobilemod_1519_m_pos" dataDxfId="1006"/>
    <tableColumn id="81" name="A_hts_tst_mobilemod_2024_f_pos" dataDxfId="1005"/>
    <tableColumn id="82" name="A_hts_tst_mobilemod_2024_m_pos" dataDxfId="1004"/>
    <tableColumn id="83" name="A_hts_tst_mobilemod_2529_f_pos" dataDxfId="1003"/>
    <tableColumn id="84" name="A_hts_tst_mobilemod_2529_m_pos" dataDxfId="1002"/>
    <tableColumn id="85" name="A_hts_tst_mobilemod_3034_f_pos" dataDxfId="1001"/>
    <tableColumn id="86" name="A_hts_tst_mobilemod_3034_m__pos" dataDxfId="1000"/>
    <tableColumn id="87" name="A_hts_tst_mobilemod_3539_f_pos" dataDxfId="999"/>
    <tableColumn id="88" name="A_hts_tst_mobilemod_3539_m__pos" dataDxfId="998"/>
    <tableColumn id="89" name="A_hts_tst_mobilemod_4049_f_pos" dataDxfId="997"/>
    <tableColumn id="90" name="A_hts_tst_mobilemod_4049_m_pos" dataDxfId="996"/>
    <tableColumn id="91" name="A_hts_tst_mobilemod_o50_f_pos" dataDxfId="995"/>
    <tableColumn id="92" name="A_hts_tst_mobilemod_o50_m_pos" dataDxfId="994"/>
    <tableColumn id="56" name="A_hts_tst_mobilemod_1519_f_neg" dataDxfId="993"/>
    <tableColumn id="57" name="A_hts_tst_mobilemod_1519_m_neg" dataDxfId="992"/>
    <tableColumn id="58" name="A_hts_tst_mobilemod_2024_f_neg" dataDxfId="991"/>
    <tableColumn id="59" name="A_hts_tst_mobilemod_2024_m_neg" dataDxfId="990"/>
    <tableColumn id="60" name="A_hts_tst_mobilemod_2529_f_neg" dataDxfId="989"/>
    <tableColumn id="61" name="A_hts_tst_mobilemod_2529_m_neg" dataDxfId="988"/>
    <tableColumn id="62" name="A_hts_tst_mobilemod_3034_f_neg" dataDxfId="987"/>
    <tableColumn id="63" name="A_hts_tst_mobilemod_3034_m_neg" dataDxfId="986"/>
    <tableColumn id="64" name="A_hts_tst_mobilemod_3539_f_neg" dataDxfId="985"/>
    <tableColumn id="65" name="A_hts_tst_mobilemod_3539_m_neg" dataDxfId="984"/>
    <tableColumn id="66" name="A_hts_tst_mobilemod_4049_f_neg" dataDxfId="983"/>
    <tableColumn id="67" name="A_hts_tst_mobilemod_4049_m_neg" dataDxfId="982"/>
    <tableColumn id="68" name="A_hts_tst_mobilemod_o50_f_neg" dataDxfId="981"/>
    <tableColumn id="69" name="A_hts_tst_mobilemod_o50_m_neg" dataDxfId="980"/>
    <tableColumn id="25" name="D_hts_tst_mobilemod_u15_fy19" dataDxfId="979"/>
    <tableColumn id="70" name="D_hts_tst_pos_mobilemod_u15_fy19" dataDxfId="978"/>
    <tableColumn id="71" name="D_hts_tst_neg_mobilemod_u15_fy19" dataDxfId="977"/>
    <tableColumn id="72" name="D_hts_tst_mobilemod_o15_fy19" dataDxfId="976"/>
    <tableColumn id="73" name="D_hts_tst_pos_mobilemod_o15_fy19" dataDxfId="975"/>
    <tableColumn id="74" name="D_hts_tst_neg_mobilemod_o15_fy19" dataDxfId="974"/>
    <tableColumn id="5" name="hts_tst_mobilemod_u1_unk_pos" dataDxfId="973">
      <calculatedColumnFormula>mobilemod_T[[D_hts_tst_pos_mobilemod_u15_fy19]:[D_hts_tst_pos_mobilemod_u15_fy19]]*mobilemod_T[A_hts_tst_mobilemod_u1_unk_pos]</calculatedColumnFormula>
    </tableColumn>
    <tableColumn id="6" name="hts_tst_mobilemod_0109_unk_pos" dataDxfId="972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971">
      <calculatedColumnFormula>mobilemod_T[[D_hts_tst_pos_mobilemod_u15_fy19]:[D_hts_tst_pos_mobilemod_u15_fy19]]*mobilemod_T[A_hts_tst_mobilemod_1014_f_pos]</calculatedColumnFormula>
    </tableColumn>
    <tableColumn id="7" name="hts_tst_mobilemod_1014_m_pos" dataDxfId="970">
      <calculatedColumnFormula>mobilemod_T[[D_hts_tst_pos_mobilemod_u15_fy19]:[D_hts_tst_pos_mobilemod_u15_fy19]]*mobilemod_T[A_hts_tst_mobilemod_1014_m_pos]</calculatedColumnFormula>
    </tableColumn>
    <tableColumn id="8" name="hts_tst_mobilemod_u1_unk_neg" dataDxfId="969">
      <calculatedColumnFormula>mobilemod_T[[D_hts_tst_neg_mobilemod_u15_fy19]:[D_hts_tst_neg_mobilemod_u15_fy19]]*mobilemod_T[A_hts_tst_mobilemod_u1_unk_neg]</calculatedColumnFormula>
    </tableColumn>
    <tableColumn id="9" name="hts_tst_mobilemod_0109_unk_neg" dataDxfId="968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967">
      <calculatedColumnFormula>mobilemod_T[[D_hts_tst_neg_mobilemod_u15_fy19]:[D_hts_tst_neg_mobilemod_u15_fy19]]*mobilemod_T[A_hts_tst_mobilemod_1014_f_neg]</calculatedColumnFormula>
    </tableColumn>
    <tableColumn id="11" name="hts_tst_mobilemod_1014_m_neg" dataDxfId="966">
      <calculatedColumnFormula>mobilemod_T[[D_hts_tst_neg_mobilemod_u15_fy19]:[D_hts_tst_neg_mobilemod_u15_fy19]]*mobilemod_T[A_hts_tst_mobilemod_1014_m_neg]</calculatedColumnFormula>
    </tableColumn>
    <tableColumn id="12" name="hts_tst_mobilemod_1519_f_pos" dataDxfId="965">
      <calculatedColumnFormula>mobilemod_T[[D_hts_tst_pos_mobilemod_o15_fy19]:[D_hts_tst_pos_mobilemod_o15_fy19]]*mobilemod_T[A_hts_tst_mobilemod_1519_f_pos]</calculatedColumnFormula>
    </tableColumn>
    <tableColumn id="13" name="hts_tst_mobilemod_1519_m_pos" dataDxfId="964">
      <calculatedColumnFormula>mobilemod_T[[D_hts_tst_pos_mobilemod_o15_fy19]:[D_hts_tst_pos_mobilemod_o15_fy19]]*mobilemod_T[A_hts_tst_mobilemod_1519_m_pos]</calculatedColumnFormula>
    </tableColumn>
    <tableColumn id="54" name="hts_tst_mobilemod_2024_f_pos" dataDxfId="963">
      <calculatedColumnFormula>mobilemod_T[[D_hts_tst_pos_mobilemod_o15_fy19]:[D_hts_tst_pos_mobilemod_o15_fy19]]*mobilemod_T[A_hts_tst_mobilemod_2024_f_pos]</calculatedColumnFormula>
    </tableColumn>
    <tableColumn id="14" name="hts_tst_mobilemod_2024_m_pos" dataDxfId="962">
      <calculatedColumnFormula>mobilemod_T[[D_hts_tst_pos_mobilemod_o15_fy19]:[D_hts_tst_pos_mobilemod_o15_fy19]]*mobilemod_T[A_hts_tst_mobilemod_2024_m_pos]</calculatedColumnFormula>
    </tableColumn>
    <tableColumn id="15" name="hts_tst_mobilemod_2529_f_pos" dataDxfId="961">
      <calculatedColumnFormula>mobilemod_T[[D_hts_tst_pos_mobilemod_o15_fy19]:[D_hts_tst_pos_mobilemod_o15_fy19]]*mobilemod_T[A_hts_tst_mobilemod_2529_f_pos]</calculatedColumnFormula>
    </tableColumn>
    <tableColumn id="16" name="hts_tst_mobilemod_2529_m_pos" dataDxfId="960">
      <calculatedColumnFormula>mobilemod_T[[D_hts_tst_pos_mobilemod_o15_fy19]:[D_hts_tst_pos_mobilemod_o15_fy19]]*mobilemod_T[A_hts_tst_mobilemod_2529_m_pos]</calculatedColumnFormula>
    </tableColumn>
    <tableColumn id="17" name="hts_tst_mobilemod_3034_f_pos" dataDxfId="959">
      <calculatedColumnFormula>mobilemod_T[[D_hts_tst_pos_mobilemod_o15_fy19]:[D_hts_tst_pos_mobilemod_o15_fy19]]*mobilemod_T[A_hts_tst_mobilemod_3034_f_pos]</calculatedColumnFormula>
    </tableColumn>
    <tableColumn id="18" name="hts_tst_mobilemod_3034_m_pos" dataDxfId="958">
      <calculatedColumnFormula>mobilemod_T[[D_hts_tst_pos_mobilemod_o15_fy19]:[D_hts_tst_pos_mobilemod_o15_fy19]]*mobilemod_T[A_hts_tst_mobilemod_3034_m__pos]</calculatedColumnFormula>
    </tableColumn>
    <tableColumn id="19" name="hts_tst_mobilemod_3539_f_pos" dataDxfId="957">
      <calculatedColumnFormula>mobilemod_T[[D_hts_tst_pos_mobilemod_o15_fy19]:[D_hts_tst_pos_mobilemod_o15_fy19]]*mobilemod_T[A_hts_tst_mobilemod_3539_f_pos]</calculatedColumnFormula>
    </tableColumn>
    <tableColumn id="20" name="hts_tst_mobilemod_3539_m_pos" dataDxfId="956">
      <calculatedColumnFormula>mobilemod_T[[D_hts_tst_pos_mobilemod_o15_fy19]:[D_hts_tst_pos_mobilemod_o15_fy19]]*mobilemod_T[A_hts_tst_mobilemod_3539_m__pos]</calculatedColumnFormula>
    </tableColumn>
    <tableColumn id="21" name="hts_tst_mobilemod_4049_f_pos" dataDxfId="955">
      <calculatedColumnFormula>mobilemod_T[[D_hts_tst_pos_mobilemod_o15_fy19]:[D_hts_tst_pos_mobilemod_o15_fy19]]*mobilemod_T[A_hts_tst_mobilemod_4049_f_pos]</calculatedColumnFormula>
    </tableColumn>
    <tableColumn id="26" name="hts_tst_mobilemod_4049_m_pos" dataDxfId="954">
      <calculatedColumnFormula>mobilemod_T[[D_hts_tst_pos_mobilemod_o15_fy19]:[D_hts_tst_pos_mobilemod_o15_fy19]]*mobilemod_T[A_hts_tst_mobilemod_4049_m_pos]</calculatedColumnFormula>
    </tableColumn>
    <tableColumn id="28" name="hts_tst_mobilemod_o50_f_pos" dataDxfId="953">
      <calculatedColumnFormula>mobilemod_T[[D_hts_tst_pos_mobilemod_o15_fy19]:[D_hts_tst_pos_mobilemod_o15_fy19]]*mobilemod_T[A_hts_tst_mobilemod_o50_f_pos]</calculatedColumnFormula>
    </tableColumn>
    <tableColumn id="29" name="hts_tst_mobilemod_o50_m_pos" dataDxfId="952">
      <calculatedColumnFormula>mobilemod_T[[D_hts_tst_pos_mobilemod_o15_fy19]:[D_hts_tst_pos_mobilemod_o15_fy19]]*mobilemod_T[A_hts_tst_mobilemod_o50_m_pos]</calculatedColumnFormula>
    </tableColumn>
    <tableColumn id="30" name="hts_tst_mobilemod_1519_f_neg" dataDxfId="951">
      <calculatedColumnFormula>mobilemod_T[[D_hts_tst_neg_mobilemod_o15_fy19]:[D_hts_tst_neg_mobilemod_o15_fy19]]*mobilemod_T[A_hts_tst_mobilemod_1519_f_neg]</calculatedColumnFormula>
    </tableColumn>
    <tableColumn id="52" name="hts_tst_mobilemod_1519_m_neg" dataDxfId="950">
      <calculatedColumnFormula>mobilemod_T[[D_hts_tst_neg_mobilemod_o15_fy19]:[D_hts_tst_neg_mobilemod_o15_fy19]]*mobilemod_T[A_hts_tst_mobilemod_1519_m_neg]</calculatedColumnFormula>
    </tableColumn>
    <tableColumn id="31" name="hts_tst_mobilemod_2024_f_neg" dataDxfId="949">
      <calculatedColumnFormula>mobilemod_T[[D_hts_tst_neg_mobilemod_o15_fy19]:[D_hts_tst_neg_mobilemod_o15_fy19]]*mobilemod_T[A_hts_tst_mobilemod_2024_f_neg]</calculatedColumnFormula>
    </tableColumn>
    <tableColumn id="32" name="hts_tst_mobilemod_2024_m_neg" dataDxfId="948">
      <calculatedColumnFormula>mobilemod_T[[D_hts_tst_neg_mobilemod_o15_fy19]:[D_hts_tst_neg_mobilemod_o15_fy19]]*mobilemod_T[A_hts_tst_mobilemod_2024_m_neg]</calculatedColumnFormula>
    </tableColumn>
    <tableColumn id="33" name="hts_tst_mobilemod_2529_f_neg" dataDxfId="947">
      <calculatedColumnFormula>mobilemod_T[[D_hts_tst_neg_mobilemod_o15_fy19]:[D_hts_tst_neg_mobilemod_o15_fy19]]*mobilemod_T[A_hts_tst_mobilemod_2529_f_neg]</calculatedColumnFormula>
    </tableColumn>
    <tableColumn id="34" name="hts_tst_mobilemod_2529_m_neg" dataDxfId="946">
      <calculatedColumnFormula>mobilemod_T[[D_hts_tst_neg_mobilemod_o15_fy19]:[D_hts_tst_neg_mobilemod_o15_fy19]]*mobilemod_T[A_hts_tst_mobilemod_2529_m_neg]</calculatedColumnFormula>
    </tableColumn>
    <tableColumn id="35" name="hts_tst_mobilemod_3034_f_neg" dataDxfId="945">
      <calculatedColumnFormula>mobilemod_T[[D_hts_tst_neg_mobilemod_o15_fy19]:[D_hts_tst_neg_mobilemod_o15_fy19]]*mobilemod_T[A_hts_tst_mobilemod_3034_f_neg]</calculatedColumnFormula>
    </tableColumn>
    <tableColumn id="36" name="hts_tst_mobilemod_3034_m_neg" dataDxfId="944">
      <calculatedColumnFormula>mobilemod_T[[D_hts_tst_neg_mobilemod_o15_fy19]:[D_hts_tst_neg_mobilemod_o15_fy19]]*mobilemod_T[A_hts_tst_mobilemod_3034_m_neg]</calculatedColumnFormula>
    </tableColumn>
    <tableColumn id="53" name="hts_tst_mobilemod_3539_f_neg" dataDxfId="943">
      <calculatedColumnFormula>mobilemod_T[[D_hts_tst_neg_mobilemod_o15_fy19]:[D_hts_tst_neg_mobilemod_o15_fy19]]*mobilemod_T[A_hts_tst_mobilemod_3539_f_neg]</calculatedColumnFormula>
    </tableColumn>
    <tableColumn id="37" name="hts_tst_mobilemod_3539_m_neg" dataDxfId="942">
      <calculatedColumnFormula>mobilemod_T[[D_hts_tst_neg_mobilemod_o15_fy19]:[D_hts_tst_neg_mobilemod_o15_fy19]]*mobilemod_T[A_hts_tst_mobilemod_3539_m_neg]</calculatedColumnFormula>
    </tableColumn>
    <tableColumn id="38" name="hts_tst_mobilemod_4049_f_neg" dataDxfId="941">
      <calculatedColumnFormula>mobilemod_T[[D_hts_tst_neg_mobilemod_o15_fy19]:[D_hts_tst_neg_mobilemod_o15_fy19]]*mobilemod_T[A_hts_tst_mobilemod_4049_f_neg]</calculatedColumnFormula>
    </tableColumn>
    <tableColumn id="39" name="hts_tst_mobilemod_4049_m_neg" dataDxfId="940">
      <calculatedColumnFormula>mobilemod_T[[D_hts_tst_neg_mobilemod_o15_fy19]:[D_hts_tst_neg_mobilemod_o15_fy19]]*mobilemod_T[A_hts_tst_mobilemod_4049_m_neg]</calculatedColumnFormula>
    </tableColumn>
    <tableColumn id="40" name="hts_tst_mobilemod_o50_f_neg" dataDxfId="939">
      <calculatedColumnFormula>mobilemod_T[[D_hts_tst_neg_mobilemod_o15_fy19]:[D_hts_tst_neg_mobilemod_o15_fy19]]*mobilemod_T[A_hts_tst_mobilemod_o50_f_neg]</calculatedColumnFormula>
    </tableColumn>
    <tableColumn id="41" name="hts_tst_mobilemod_o50_m_neg" dataDxfId="938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I7" totalsRowShown="0" headerRowDxfId="937" dataDxfId="936">
  <autoFilter ref="C6:CI7"/>
  <tableColumns count="85">
    <tableColumn id="1" name="psnu" dataDxfId="935"/>
    <tableColumn id="46" name="psnuuid" dataDxfId="934"/>
    <tableColumn id="2" name="priority" dataDxfId="933"/>
    <tableColumn id="27" name="mechid" dataDxfId="932"/>
    <tableColumn id="45" name="mechname" dataDxfId="931"/>
    <tableColumn id="4" name="type" dataDxfId="930"/>
    <tableColumn id="47" name="psnu_type" dataDxfId="929"/>
    <tableColumn id="48" name="A_hts_tst_vctmod_u1_unk_pos" dataDxfId="928"/>
    <tableColumn id="50" name="A_hts_tst_vctmod_0109_unk_pos" dataDxfId="927"/>
    <tableColumn id="51" name="A_hts_tst_vctmod_1014_f_pos" dataDxfId="926"/>
    <tableColumn id="55" name="A_hts_tst_vctmod_1014_m_pos" dataDxfId="925"/>
    <tableColumn id="75" name="A_hts_tst_vctmod_u1_unk_neg" dataDxfId="924"/>
    <tableColumn id="76" name="A_hts_tst_vctmod_0109_unk_neg" dataDxfId="923"/>
    <tableColumn id="77" name="A_hts_tst_vctmod_1014_f_neg" dataDxfId="922"/>
    <tableColumn id="78" name="A_hts_tst_vctmod_1014_m_neg" dataDxfId="921"/>
    <tableColumn id="79" name="A_hts_tst_vctmod_1519_f_pos" dataDxfId="920"/>
    <tableColumn id="80" name="A_hts_tst_vctmod_1519_m_pos" dataDxfId="919"/>
    <tableColumn id="81" name="A_hts_tst_vctmod_2024_f_pos" dataDxfId="918"/>
    <tableColumn id="82" name="A_hts_tst_vctmod_2024_m_pos" dataDxfId="917"/>
    <tableColumn id="83" name="A_hts_tst_vctmod_2529_f_pos" dataDxfId="916"/>
    <tableColumn id="84" name="A_hts_tst_vctmod_2529_m_pos" dataDxfId="915"/>
    <tableColumn id="85" name="A_hts_tst_vctmod_3034_f_pos" dataDxfId="914"/>
    <tableColumn id="86" name="A_hts_tst_vctmod_3034_m__pos" dataDxfId="913"/>
    <tableColumn id="87" name="A_hts_tst_vctmod_3539_f_pos" dataDxfId="912"/>
    <tableColumn id="88" name="A_hts_tst_vctmod_3539_m__pos" dataDxfId="911"/>
    <tableColumn id="89" name="A_hts_tst_vctmod_4049_f_pos" dataDxfId="910"/>
    <tableColumn id="90" name="A_hts_tst_vctmod_4049_m_pos" dataDxfId="909"/>
    <tableColumn id="91" name="A_hts_tst_vctmod_o50_f_pos" dataDxfId="908"/>
    <tableColumn id="92" name="A_hts_tst_vctmod_o50_m_pos" dataDxfId="907"/>
    <tableColumn id="56" name="A_hts_tst_vctmod_1519_f_neg" dataDxfId="906"/>
    <tableColumn id="57" name="A_hts_tst_vctmod_1519_m_neg" dataDxfId="905"/>
    <tableColumn id="58" name="A_hts_tst_vctmod_2024_f_neg" dataDxfId="904"/>
    <tableColumn id="59" name="A_hts_tst_vctmod_2024_m_neg" dataDxfId="903"/>
    <tableColumn id="60" name="A_hts_tst_vctmod_2529_f_neg" dataDxfId="902"/>
    <tableColumn id="61" name="A_hts_tst_vctmod_2529_m_neg" dataDxfId="901"/>
    <tableColumn id="62" name="A_hts_tst_vctmod_3034_f_neg" dataDxfId="900"/>
    <tableColumn id="63" name="A_hts_tst_vctmod_3034_m_neg" dataDxfId="899"/>
    <tableColumn id="64" name="A_hts_tst_vctmod_3539_f_neg" dataDxfId="898"/>
    <tableColumn id="65" name="A_hts_tst_vctmod_3539_m_neg" dataDxfId="897"/>
    <tableColumn id="66" name="A_hts_tst_vctmod_4049_f_neg" dataDxfId="896"/>
    <tableColumn id="67" name="A_hts_tst_vctmod_4049_m_neg" dataDxfId="895"/>
    <tableColumn id="68" name="A_hts_tst_vctmod_o50_f_neg" dataDxfId="894"/>
    <tableColumn id="69" name="A_hts_tst_vctmod_o50_m_neg" dataDxfId="893"/>
    <tableColumn id="25" name="D_hts_tst_vctmod_u15_fy19" dataDxfId="892"/>
    <tableColumn id="70" name="D_hts_tst_pos_vctmod_u15_fy19" dataDxfId="891"/>
    <tableColumn id="71" name="D_hts_tst_neg_vctmod_u15_fy19" dataDxfId="890"/>
    <tableColumn id="72" name="D_hts_tst_vctmod_o15_fy19" dataDxfId="889"/>
    <tableColumn id="73" name="D_hts_tst_pos_vctmod_o15_fy19" dataDxfId="888"/>
    <tableColumn id="74" name="D_hts_tst_neg_vctmod_o15_fy19" dataDxfId="887"/>
    <tableColumn id="5" name="hts_tst_vctmod_u1_unk_pos" dataDxfId="886">
      <calculatedColumnFormula>vctmod_T[[D_hts_tst_pos_vctmod_u15_fy19]:[D_hts_tst_pos_vctmod_u15_fy19]]*vctmod_T[A_hts_tst_vctmod_u1_unk_pos]</calculatedColumnFormula>
    </tableColumn>
    <tableColumn id="6" name="hts_tst_vctmod_0109_unk_pos" dataDxfId="885">
      <calculatedColumnFormula>vctmod_T[[D_hts_tst_pos_vctmod_u15_fy19]:[D_hts_tst_pos_vctmod_u15_fy19]]*vctmod_T[A_hts_tst_vctmod_0109_unk_pos]</calculatedColumnFormula>
    </tableColumn>
    <tableColumn id="22" name="hts_tst_vctmod_1014_f_pos" dataDxfId="884">
      <calculatedColumnFormula>vctmod_T[[D_hts_tst_pos_vctmod_u15_fy19]:[D_hts_tst_pos_vctmod_u15_fy19]]*vctmod_T[A_hts_tst_vctmod_1014_f_pos]</calculatedColumnFormula>
    </tableColumn>
    <tableColumn id="7" name="hts_tst_vctmod_1014_m_pos" dataDxfId="883">
      <calculatedColumnFormula>vctmod_T[[D_hts_tst_pos_vctmod_u15_fy19]:[D_hts_tst_pos_vctmod_u15_fy19]]*vctmod_T[A_hts_tst_vctmod_1014_m_pos]</calculatedColumnFormula>
    </tableColumn>
    <tableColumn id="8" name="hts_tst_vctmod_u1_unk_neg" dataDxfId="882">
      <calculatedColumnFormula>vctmod_T[[D_hts_tst_neg_vctmod_u15_fy19]:[D_hts_tst_neg_vctmod_u15_fy19]]*vctmod_T[A_hts_tst_vctmod_u1_unk_neg]</calculatedColumnFormula>
    </tableColumn>
    <tableColumn id="9" name="hts_tst_vctmod_0109_unk_neg" dataDxfId="881">
      <calculatedColumnFormula>vctmod_T[[D_hts_tst_neg_vctmod_u15_fy19]:[D_hts_tst_neg_vctmod_u15_fy19]]*vctmod_T[A_hts_tst_vctmod_0109_unk_neg]</calculatedColumnFormula>
    </tableColumn>
    <tableColumn id="10" name="hts_tst_vctmod_1014_f_neg" dataDxfId="880">
      <calculatedColumnFormula>vctmod_T[[D_hts_tst_neg_vctmod_u15_fy19]:[D_hts_tst_neg_vctmod_u15_fy19]]*vctmod_T[A_hts_tst_vctmod_1014_f_neg]</calculatedColumnFormula>
    </tableColumn>
    <tableColumn id="11" name="hts_tst_vctmod_1014_m_neg" dataDxfId="879">
      <calculatedColumnFormula>vctmod_T[[D_hts_tst_neg_vctmod_u15_fy19]:[D_hts_tst_neg_vctmod_u15_fy19]]*vctmod_T[A_hts_tst_vctmod_1014_m_neg]</calculatedColumnFormula>
    </tableColumn>
    <tableColumn id="12" name="hts_tst_vctmod_1519_f_pos" dataDxfId="878">
      <calculatedColumnFormula>vctmod_T[[D_hts_tst_pos_vctmod_o15_fy19]:[D_hts_tst_pos_vctmod_o15_fy19]]*vctmod_T[A_hts_tst_vctmod_1519_f_pos]</calculatedColumnFormula>
    </tableColumn>
    <tableColumn id="13" name="hts_tst_vctmod_1519_m_pos" dataDxfId="877">
      <calculatedColumnFormula>vctmod_T[[D_hts_tst_pos_vctmod_o15_fy19]:[D_hts_tst_pos_vctmod_o15_fy19]]*vctmod_T[A_hts_tst_vctmod_1519_m_pos]</calculatedColumnFormula>
    </tableColumn>
    <tableColumn id="54" name="hts_tst_vctmod_2024_f_pos" dataDxfId="876">
      <calculatedColumnFormula>vctmod_T[[D_hts_tst_pos_vctmod_o15_fy19]:[D_hts_tst_pos_vctmod_o15_fy19]]*vctmod_T[A_hts_tst_vctmod_2024_f_pos]</calculatedColumnFormula>
    </tableColumn>
    <tableColumn id="14" name="hts_tst_vctmod_2024_m_pos" dataDxfId="875">
      <calculatedColumnFormula>vctmod_T[[D_hts_tst_pos_vctmod_o15_fy19]:[D_hts_tst_pos_vctmod_o15_fy19]]*vctmod_T[A_hts_tst_vctmod_2024_m_pos]</calculatedColumnFormula>
    </tableColumn>
    <tableColumn id="15" name="hts_tst_vctmod_2529_f_pos" dataDxfId="874">
      <calculatedColumnFormula>vctmod_T[[D_hts_tst_pos_vctmod_o15_fy19]:[D_hts_tst_pos_vctmod_o15_fy19]]*vctmod_T[A_hts_tst_vctmod_2529_f_pos]</calculatedColumnFormula>
    </tableColumn>
    <tableColumn id="16" name="hts_tst_vctmod_2529_m_pos" dataDxfId="873">
      <calculatedColumnFormula>vctmod_T[[D_hts_tst_pos_vctmod_o15_fy19]:[D_hts_tst_pos_vctmod_o15_fy19]]*vctmod_T[A_hts_tst_vctmod_2529_m_pos]</calculatedColumnFormula>
    </tableColumn>
    <tableColumn id="17" name="hts_tst_vctmod_3034_f_pos" dataDxfId="872">
      <calculatedColumnFormula>vctmod_T[[D_hts_tst_pos_vctmod_o15_fy19]:[D_hts_tst_pos_vctmod_o15_fy19]]*vctmod_T[A_hts_tst_vctmod_3034_f_pos]</calculatedColumnFormula>
    </tableColumn>
    <tableColumn id="18" name="hts_tst_vctmod_3034_m_pos" dataDxfId="871">
      <calculatedColumnFormula>vctmod_T[[D_hts_tst_pos_vctmod_o15_fy19]:[D_hts_tst_pos_vctmod_o15_fy19]]*vctmod_T[A_hts_tst_vctmod_3034_m__pos]</calculatedColumnFormula>
    </tableColumn>
    <tableColumn id="19" name="hts_tst_vctmod_3539_f_pos" dataDxfId="870">
      <calculatedColumnFormula>vctmod_T[[D_hts_tst_pos_vctmod_o15_fy19]:[D_hts_tst_pos_vctmod_o15_fy19]]*vctmod_T[A_hts_tst_vctmod_3539_f_pos]</calculatedColumnFormula>
    </tableColumn>
    <tableColumn id="20" name="hts_tst_vctmod_3539_m_pos" dataDxfId="869">
      <calculatedColumnFormula>vctmod_T[[D_hts_tst_pos_vctmod_o15_fy19]:[D_hts_tst_pos_vctmod_o15_fy19]]*vctmod_T[A_hts_tst_vctmod_3539_m__pos]</calculatedColumnFormula>
    </tableColumn>
    <tableColumn id="21" name="hts_tst_vctmod_4049_f_pos" dataDxfId="868">
      <calculatedColumnFormula>vctmod_T[[D_hts_tst_pos_vctmod_o15_fy19]:[D_hts_tst_pos_vctmod_o15_fy19]]*vctmod_T[A_hts_tst_vctmod_4049_f_pos]</calculatedColumnFormula>
    </tableColumn>
    <tableColumn id="26" name="hts_tst_vctmod_4049_m_pos" dataDxfId="867">
      <calculatedColumnFormula>vctmod_T[[D_hts_tst_pos_vctmod_o15_fy19]:[D_hts_tst_pos_vctmod_o15_fy19]]*vctmod_T[A_hts_tst_vctmod_4049_m_pos]</calculatedColumnFormula>
    </tableColumn>
    <tableColumn id="28" name="hts_tst_vctmod_o50_f_pos" dataDxfId="866">
      <calculatedColumnFormula>vctmod_T[[D_hts_tst_pos_vctmod_o15_fy19]:[D_hts_tst_pos_vctmod_o15_fy19]]*vctmod_T[A_hts_tst_vctmod_o50_f_pos]</calculatedColumnFormula>
    </tableColumn>
    <tableColumn id="29" name="hts_tst_vctmod_o50_m_pos" dataDxfId="865">
      <calculatedColumnFormula>vctmod_T[[D_hts_tst_pos_vctmod_o15_fy19]:[D_hts_tst_pos_vctmod_o15_fy19]]*vctmod_T[A_hts_tst_vctmod_o50_m_pos]</calculatedColumnFormula>
    </tableColumn>
    <tableColumn id="30" name="hts_tst_vctmod_1519_f_neg" dataDxfId="864">
      <calculatedColumnFormula>vctmod_T[[D_hts_tst_neg_vctmod_o15_fy19]:[D_hts_tst_neg_vctmod_o15_fy19]]*vctmod_T[A_hts_tst_vctmod_1519_f_neg]</calculatedColumnFormula>
    </tableColumn>
    <tableColumn id="52" name="hts_tst_vctmod_1519_m_neg" dataDxfId="863">
      <calculatedColumnFormula>vctmod_T[[D_hts_tst_neg_vctmod_o15_fy19]:[D_hts_tst_neg_vctmod_o15_fy19]]*vctmod_T[A_hts_tst_vctmod_1519_m_neg]</calculatedColumnFormula>
    </tableColumn>
    <tableColumn id="31" name="hts_tst_vctmod_2024_f_neg" dataDxfId="862">
      <calculatedColumnFormula>vctmod_T[[D_hts_tst_neg_vctmod_o15_fy19]:[D_hts_tst_neg_vctmod_o15_fy19]]*vctmod_T[A_hts_tst_vctmod_2024_f_neg]</calculatedColumnFormula>
    </tableColumn>
    <tableColumn id="32" name="hts_tst_vctmod_2024_m_neg" dataDxfId="861">
      <calculatedColumnFormula>vctmod_T[[D_hts_tst_neg_vctmod_o15_fy19]:[D_hts_tst_neg_vctmod_o15_fy19]]*vctmod_T[A_hts_tst_vctmod_2024_m_neg]</calculatedColumnFormula>
    </tableColumn>
    <tableColumn id="33" name="hts_tst_vctmod_2529_f_neg" dataDxfId="860">
      <calculatedColumnFormula>vctmod_T[[D_hts_tst_neg_vctmod_o15_fy19]:[D_hts_tst_neg_vctmod_o15_fy19]]*vctmod_T[A_hts_tst_vctmod_2529_f_neg]</calculatedColumnFormula>
    </tableColumn>
    <tableColumn id="34" name="hts_tst_vctmod_2529_m_neg" dataDxfId="859">
      <calculatedColumnFormula>vctmod_T[[D_hts_tst_neg_vctmod_o15_fy19]:[D_hts_tst_neg_vctmod_o15_fy19]]*vctmod_T[A_hts_tst_vctmod_2529_m_neg]</calculatedColumnFormula>
    </tableColumn>
    <tableColumn id="35" name="hts_tst_vctmod_3034_f_neg" dataDxfId="858">
      <calculatedColumnFormula>vctmod_T[[D_hts_tst_neg_vctmod_o15_fy19]:[D_hts_tst_neg_vctmod_o15_fy19]]*vctmod_T[A_hts_tst_vctmod_3034_f_neg]</calculatedColumnFormula>
    </tableColumn>
    <tableColumn id="36" name="hts_tst_vctmod_3034_m_neg" dataDxfId="857">
      <calculatedColumnFormula>vctmod_T[[D_hts_tst_neg_vctmod_o15_fy19]:[D_hts_tst_neg_vctmod_o15_fy19]]*vctmod_T[A_hts_tst_vctmod_3034_m_neg]</calculatedColumnFormula>
    </tableColumn>
    <tableColumn id="53" name="hts_tst_vctmod_3539_f_neg" dataDxfId="856">
      <calculatedColumnFormula>vctmod_T[[D_hts_tst_neg_vctmod_o15_fy19]:[D_hts_tst_neg_vctmod_o15_fy19]]*vctmod_T[A_hts_tst_vctmod_3539_f_neg]</calculatedColumnFormula>
    </tableColumn>
    <tableColumn id="37" name="hts_tst_vctmod_3539_m_neg" dataDxfId="855">
      <calculatedColumnFormula>vctmod_T[[D_hts_tst_neg_vctmod_o15_fy19]:[D_hts_tst_neg_vctmod_o15_fy19]]*vctmod_T[A_hts_tst_vctmod_3539_m_neg]</calculatedColumnFormula>
    </tableColumn>
    <tableColumn id="38" name="hts_tst_vctmod_4049_f_neg" dataDxfId="854">
      <calculatedColumnFormula>vctmod_T[[D_hts_tst_neg_vctmod_o15_fy19]:[D_hts_tst_neg_vctmod_o15_fy19]]*vctmod_T[A_hts_tst_vctmod_4049_f_neg]</calculatedColumnFormula>
    </tableColumn>
    <tableColumn id="39" name="hts_tst_vctmod_4049_m_neg" dataDxfId="853">
      <calculatedColumnFormula>vctmod_T[[D_hts_tst_neg_vctmod_o15_fy19]:[D_hts_tst_neg_vctmod_o15_fy19]]*vctmod_T[A_hts_tst_vctmod_4049_m_neg]</calculatedColumnFormula>
    </tableColumn>
    <tableColumn id="40" name="hts_tst_vctmod_o50_f_neg" dataDxfId="852">
      <calculatedColumnFormula>vctmod_T[[D_hts_tst_neg_vctmod_o15_fy19]:[D_hts_tst_neg_vctmod_o15_fy19]]*vctmod_T[A_hts_tst_vctmod_o50_f_neg]</calculatedColumnFormula>
    </tableColumn>
    <tableColumn id="41" name="hts_tst_vctmod_o50_m_neg" dataDxfId="851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I7" totalsRowShown="0" headerRowDxfId="850" dataDxfId="849">
  <autoFilter ref="C6:CI7"/>
  <tableColumns count="85">
    <tableColumn id="1" name="psnu" dataDxfId="848"/>
    <tableColumn id="46" name="psnuuid" dataDxfId="847"/>
    <tableColumn id="2" name="priority" dataDxfId="846"/>
    <tableColumn id="27" name="mechid" dataDxfId="845"/>
    <tableColumn id="45" name="mechname" dataDxfId="844"/>
    <tableColumn id="4" name="type" dataDxfId="843"/>
    <tableColumn id="47" name="psnu_type" dataDxfId="842"/>
    <tableColumn id="48" name="A_hts_tst_othermod_u1_unk_pos" dataDxfId="841"/>
    <tableColumn id="50" name="A_hts_tst_othermod_0109_unk_pos" dataDxfId="840"/>
    <tableColumn id="51" name="A_hts_tst_othermod_1014_f_pos" dataDxfId="839"/>
    <tableColumn id="55" name="A_hts_tst_othermod_1014_m_pos" dataDxfId="838"/>
    <tableColumn id="75" name="A_hts_tst_othermod_u1_unk_neg" dataDxfId="837"/>
    <tableColumn id="76" name="A_hts_tst_othermod_0109_unk_neg" dataDxfId="836"/>
    <tableColumn id="77" name="A_hts_tst_othermod_1014_f_neg" dataDxfId="835"/>
    <tableColumn id="78" name="A_hts_tst_othermod_1014_m_neg" dataDxfId="834"/>
    <tableColumn id="79" name="A_hts_tst_othermod_1519_f_pos" dataDxfId="833"/>
    <tableColumn id="80" name="A_hts_tst_othermod_1519_m_pos" dataDxfId="832"/>
    <tableColumn id="81" name="A_hts_tst_othermod_2024_f_pos" dataDxfId="831"/>
    <tableColumn id="82" name="A_hts_tst_othermod_2024_m_pos" dataDxfId="830"/>
    <tableColumn id="83" name="A_hts_tst_othermod_2529_f_pos" dataDxfId="829"/>
    <tableColumn id="84" name="A_hts_tst_othermod_2529_m_pos" dataDxfId="828"/>
    <tableColumn id="85" name="A_hts_tst_othermod_3034_f_pos" dataDxfId="827"/>
    <tableColumn id="86" name="A_hts_tst_othermod_3034_m__pos" dataDxfId="826"/>
    <tableColumn id="87" name="A_hts_tst_othermod_3539_f_pos" dataDxfId="825"/>
    <tableColumn id="88" name="A_hts_tst_othermod_3539_m__pos" dataDxfId="824"/>
    <tableColumn id="89" name="A_hts_tst_othermod_4049_f_pos" dataDxfId="823"/>
    <tableColumn id="90" name="A_hts_tst_othermod_4049_m_pos" dataDxfId="822"/>
    <tableColumn id="91" name="A_hts_tst_othermod_o50_f_pos" dataDxfId="821"/>
    <tableColumn id="92" name="A_hts_tst_othermod_o50_m_pos" dataDxfId="820"/>
    <tableColumn id="56" name="A_hts_tst_othermod_1519_f_neg" dataDxfId="819"/>
    <tableColumn id="57" name="A_hts_tst_othermod_1519_m_neg" dataDxfId="818"/>
    <tableColumn id="58" name="A_hts_tst_othermod_2024_f_neg" dataDxfId="817"/>
    <tableColumn id="59" name="A_hts_tst_othermod_2024_m_neg" dataDxfId="816"/>
    <tableColumn id="60" name="A_hts_tst_othermod_2529_f_neg" dataDxfId="815"/>
    <tableColumn id="61" name="A_hts_tst_othermod_2529_m_neg" dataDxfId="814"/>
    <tableColumn id="62" name="A_hts_tst_othermod_3034_f_neg" dataDxfId="813"/>
    <tableColumn id="63" name="A_hts_tst_othermod_3034_m_neg" dataDxfId="812"/>
    <tableColumn id="64" name="A_hts_tst_othermod_3539_f_neg" dataDxfId="811"/>
    <tableColumn id="65" name="A_hts_tst_othermod_3539_m_neg" dataDxfId="810"/>
    <tableColumn id="66" name="A_hts_tst_othermod_4049_f_neg" dataDxfId="809"/>
    <tableColumn id="67" name="A_hts_tst_othermod_4049_m_neg" dataDxfId="808"/>
    <tableColumn id="68" name="A_hts_tst_othermod_o50_f_neg" dataDxfId="807"/>
    <tableColumn id="69" name="A_hts_tst_othermod_o50_m_neg" dataDxfId="806"/>
    <tableColumn id="25" name="D_hts_tst_othermod_u15_fy19" dataDxfId="805"/>
    <tableColumn id="70" name="D_hts_tst_pos_othermod_u15_fy19" dataDxfId="804"/>
    <tableColumn id="71" name="D_hts_tst_neg_othermod_u15_fy19" dataDxfId="803"/>
    <tableColumn id="72" name="D_hts_tst_othermod_o15_fy19" dataDxfId="802"/>
    <tableColumn id="73" name="D_hts_tst_pos_othermod_o15_fy19" dataDxfId="801"/>
    <tableColumn id="74" name="D_hts_tst_neg_othermod_o15_fy19" dataDxfId="800"/>
    <tableColumn id="5" name="hts_tst_othermod_u1_unk_pos" dataDxfId="799">
      <calculatedColumnFormula>othermod_T[[D_hts_tst_pos_othermod_u15_fy19]:[D_hts_tst_pos_othermod_u15_fy19]]*othermod_T[A_hts_tst_othermod_u1_unk_pos]</calculatedColumnFormula>
    </tableColumn>
    <tableColumn id="6" name="hts_tst_othermod_0109_unk_pos" dataDxfId="798">
      <calculatedColumnFormula>othermod_T[[D_hts_tst_pos_othermod_u15_fy19]:[D_hts_tst_pos_othermod_u15_fy19]]*othermod_T[A_hts_tst_othermod_0109_unk_pos]</calculatedColumnFormula>
    </tableColumn>
    <tableColumn id="22" name="hts_tst_othermod_1014_f_pos" dataDxfId="797">
      <calculatedColumnFormula>othermod_T[[D_hts_tst_pos_othermod_u15_fy19]:[D_hts_tst_pos_othermod_u15_fy19]]*othermod_T[A_hts_tst_othermod_1014_f_pos]</calculatedColumnFormula>
    </tableColumn>
    <tableColumn id="7" name="hts_tst_othermod_1014_m_pos" dataDxfId="796">
      <calculatedColumnFormula>othermod_T[[D_hts_tst_pos_othermod_u15_fy19]:[D_hts_tst_pos_othermod_u15_fy19]]*othermod_T[A_hts_tst_othermod_1014_m_pos]</calculatedColumnFormula>
    </tableColumn>
    <tableColumn id="8" name="hts_tst_othermod_u1_unk_neg" dataDxfId="795">
      <calculatedColumnFormula>othermod_T[[D_hts_tst_neg_othermod_u15_fy19]:[D_hts_tst_neg_othermod_u15_fy19]]*othermod_T[A_hts_tst_othermod_u1_unk_neg]</calculatedColumnFormula>
    </tableColumn>
    <tableColumn id="9" name="hts_tst_othermod_0109_unk_neg" dataDxfId="794">
      <calculatedColumnFormula>othermod_T[[D_hts_tst_neg_othermod_u15_fy19]:[D_hts_tst_neg_othermod_u15_fy19]]*othermod_T[A_hts_tst_othermod_0109_unk_neg]</calculatedColumnFormula>
    </tableColumn>
    <tableColumn id="10" name="hts_tst_othermod_1014_f_neg" dataDxfId="793">
      <calculatedColumnFormula>othermod_T[[D_hts_tst_neg_othermod_u15_fy19]:[D_hts_tst_neg_othermod_u15_fy19]]*othermod_T[A_hts_tst_othermod_1014_f_neg]</calculatedColumnFormula>
    </tableColumn>
    <tableColumn id="11" name="hts_tst_othermod_1014_m_neg" dataDxfId="792">
      <calculatedColumnFormula>othermod_T[[D_hts_tst_neg_othermod_u15_fy19]:[D_hts_tst_neg_othermod_u15_fy19]]*othermod_T[A_hts_tst_othermod_1014_m_neg]</calculatedColumnFormula>
    </tableColumn>
    <tableColumn id="12" name="hts_tst_othermod_1519_f_pos" dataDxfId="791">
      <calculatedColumnFormula>othermod_T[[D_hts_tst_pos_othermod_o15_fy19]:[D_hts_tst_pos_othermod_o15_fy19]]*othermod_T[A_hts_tst_othermod_1519_f_pos]</calculatedColumnFormula>
    </tableColumn>
    <tableColumn id="13" name="hts_tst_othermod_1519_m_pos" dataDxfId="790">
      <calculatedColumnFormula>othermod_T[[D_hts_tst_pos_othermod_o15_fy19]:[D_hts_tst_pos_othermod_o15_fy19]]*othermod_T[A_hts_tst_othermod_1519_m_pos]</calculatedColumnFormula>
    </tableColumn>
    <tableColumn id="54" name="hts_tst_othermod_2024_f_pos" dataDxfId="789">
      <calculatedColumnFormula>othermod_T[[D_hts_tst_pos_othermod_o15_fy19]:[D_hts_tst_pos_othermod_o15_fy19]]*othermod_T[A_hts_tst_othermod_2024_f_pos]</calculatedColumnFormula>
    </tableColumn>
    <tableColumn id="14" name="hts_tst_othermod_2024_m_pos" dataDxfId="788">
      <calculatedColumnFormula>othermod_T[[D_hts_tst_pos_othermod_o15_fy19]:[D_hts_tst_pos_othermod_o15_fy19]]*othermod_T[A_hts_tst_othermod_2024_m_pos]</calculatedColumnFormula>
    </tableColumn>
    <tableColumn id="15" name="hts_tst_othermod_2529_f_pos" dataDxfId="787">
      <calculatedColumnFormula>othermod_T[[D_hts_tst_pos_othermod_o15_fy19]:[D_hts_tst_pos_othermod_o15_fy19]]*othermod_T[A_hts_tst_othermod_2529_f_pos]</calculatedColumnFormula>
    </tableColumn>
    <tableColumn id="16" name="hts_tst_othermod_2529_m_pos" dataDxfId="786">
      <calculatedColumnFormula>othermod_T[[D_hts_tst_pos_othermod_o15_fy19]:[D_hts_tst_pos_othermod_o15_fy19]]*othermod_T[A_hts_tst_othermod_2529_m_pos]</calculatedColumnFormula>
    </tableColumn>
    <tableColumn id="17" name="hts_tst_othermod_3034_f_pos" dataDxfId="785">
      <calculatedColumnFormula>othermod_T[[D_hts_tst_pos_othermod_o15_fy19]:[D_hts_tst_pos_othermod_o15_fy19]]*othermod_T[A_hts_tst_othermod_3034_f_pos]</calculatedColumnFormula>
    </tableColumn>
    <tableColumn id="18" name="hts_tst_othermod_3034_m_pos" dataDxfId="784">
      <calculatedColumnFormula>othermod_T[[D_hts_tst_pos_othermod_o15_fy19]:[D_hts_tst_pos_othermod_o15_fy19]]*othermod_T[A_hts_tst_othermod_3034_m__pos]</calculatedColumnFormula>
    </tableColumn>
    <tableColumn id="19" name="hts_tst_othermod_3539_f_pos" dataDxfId="783">
      <calculatedColumnFormula>othermod_T[[D_hts_tst_pos_othermod_o15_fy19]:[D_hts_tst_pos_othermod_o15_fy19]]*othermod_T[A_hts_tst_othermod_3539_f_pos]</calculatedColumnFormula>
    </tableColumn>
    <tableColumn id="20" name="hts_tst_othermod_3539_m_pos" dataDxfId="782">
      <calculatedColumnFormula>othermod_T[[D_hts_tst_pos_othermod_o15_fy19]:[D_hts_tst_pos_othermod_o15_fy19]]*othermod_T[A_hts_tst_othermod_3539_m__pos]</calculatedColumnFormula>
    </tableColumn>
    <tableColumn id="21" name="hts_tst_othermod_4049_f_pos" dataDxfId="781">
      <calculatedColumnFormula>othermod_T[[D_hts_tst_pos_othermod_o15_fy19]:[D_hts_tst_pos_othermod_o15_fy19]]*othermod_T[A_hts_tst_othermod_4049_f_pos]</calculatedColumnFormula>
    </tableColumn>
    <tableColumn id="26" name="hts_tst_othermod_4049_m_pos" dataDxfId="780">
      <calculatedColumnFormula>othermod_T[[D_hts_tst_pos_othermod_o15_fy19]:[D_hts_tst_pos_othermod_o15_fy19]]*othermod_T[A_hts_tst_othermod_4049_m_pos]</calculatedColumnFormula>
    </tableColumn>
    <tableColumn id="28" name="hts_tst_othermod_o50_f_pos" dataDxfId="779">
      <calculatedColumnFormula>othermod_T[[D_hts_tst_pos_othermod_o15_fy19]:[D_hts_tst_pos_othermod_o15_fy19]]*othermod_T[A_hts_tst_othermod_o50_f_pos]</calculatedColumnFormula>
    </tableColumn>
    <tableColumn id="29" name="hts_tst_othermod_o50_m_pos" dataDxfId="778">
      <calculatedColumnFormula>othermod_T[[D_hts_tst_pos_othermod_o15_fy19]:[D_hts_tst_pos_othermod_o15_fy19]]*othermod_T[A_hts_tst_othermod_o50_m_pos]</calculatedColumnFormula>
    </tableColumn>
    <tableColumn id="30" name="hts_tst_othermod_1519_f_neg" dataDxfId="777">
      <calculatedColumnFormula>othermod_T[[D_hts_tst_neg_othermod_o15_fy19]:[D_hts_tst_neg_othermod_o15_fy19]]*othermod_T[A_hts_tst_othermod_1519_f_neg]</calculatedColumnFormula>
    </tableColumn>
    <tableColumn id="52" name="hts_tst_othermod_1519_m_neg" dataDxfId="776">
      <calculatedColumnFormula>othermod_T[[D_hts_tst_neg_othermod_o15_fy19]:[D_hts_tst_neg_othermod_o15_fy19]]*othermod_T[A_hts_tst_othermod_1519_m_neg]</calculatedColumnFormula>
    </tableColumn>
    <tableColumn id="31" name="hts_tst_othermod_2024_f_neg" dataDxfId="775">
      <calculatedColumnFormula>othermod_T[[D_hts_tst_neg_othermod_o15_fy19]:[D_hts_tst_neg_othermod_o15_fy19]]*othermod_T[A_hts_tst_othermod_2024_f_neg]</calculatedColumnFormula>
    </tableColumn>
    <tableColumn id="32" name="hts_tst_othermod_2024_m_neg" dataDxfId="774">
      <calculatedColumnFormula>othermod_T[[D_hts_tst_neg_othermod_o15_fy19]:[D_hts_tst_neg_othermod_o15_fy19]]*othermod_T[A_hts_tst_othermod_2024_m_neg]</calculatedColumnFormula>
    </tableColumn>
    <tableColumn id="33" name="hts_tst_othermod_2529_f_neg" dataDxfId="773">
      <calculatedColumnFormula>othermod_T[[D_hts_tst_neg_othermod_o15_fy19]:[D_hts_tst_neg_othermod_o15_fy19]]*othermod_T[A_hts_tst_othermod_2529_f_neg]</calculatedColumnFormula>
    </tableColumn>
    <tableColumn id="34" name="hts_tst_othermod_2529_m_neg" dataDxfId="772">
      <calculatedColumnFormula>othermod_T[[D_hts_tst_neg_othermod_o15_fy19]:[D_hts_tst_neg_othermod_o15_fy19]]*othermod_T[A_hts_tst_othermod_2529_m_neg]</calculatedColumnFormula>
    </tableColumn>
    <tableColumn id="35" name="hts_tst_othermod_3034_f_neg" dataDxfId="771">
      <calculatedColumnFormula>othermod_T[[D_hts_tst_neg_othermod_o15_fy19]:[D_hts_tst_neg_othermod_o15_fy19]]*othermod_T[A_hts_tst_othermod_3034_f_neg]</calculatedColumnFormula>
    </tableColumn>
    <tableColumn id="36" name="hts_tst_othermod_3034_m_neg" dataDxfId="770">
      <calculatedColumnFormula>othermod_T[[D_hts_tst_neg_othermod_o15_fy19]:[D_hts_tst_neg_othermod_o15_fy19]]*othermod_T[A_hts_tst_othermod_3034_m_neg]</calculatedColumnFormula>
    </tableColumn>
    <tableColumn id="53" name="hts_tst_othermod_3539_f_neg" dataDxfId="769">
      <calculatedColumnFormula>othermod_T[[D_hts_tst_neg_othermod_o15_fy19]:[D_hts_tst_neg_othermod_o15_fy19]]*othermod_T[A_hts_tst_othermod_3539_f_neg]</calculatedColumnFormula>
    </tableColumn>
    <tableColumn id="37" name="hts_tst_othermod_3539_m_neg" dataDxfId="768">
      <calculatedColumnFormula>othermod_T[[D_hts_tst_neg_othermod_o15_fy19]:[D_hts_tst_neg_othermod_o15_fy19]]*othermod_T[A_hts_tst_othermod_3539_m_neg]</calculatedColumnFormula>
    </tableColumn>
    <tableColumn id="38" name="hts_tst_othermod_4049_f_neg" dataDxfId="767">
      <calculatedColumnFormula>othermod_T[[D_hts_tst_neg_othermod_o15_fy19]:[D_hts_tst_neg_othermod_o15_fy19]]*othermod_T[A_hts_tst_othermod_4049_f_neg]</calculatedColumnFormula>
    </tableColumn>
    <tableColumn id="39" name="hts_tst_othermod_4049_m_neg" dataDxfId="766">
      <calculatedColumnFormula>othermod_T[[D_hts_tst_neg_othermod_o15_fy19]:[D_hts_tst_neg_othermod_o15_fy19]]*othermod_T[A_hts_tst_othermod_4049_m_neg]</calculatedColumnFormula>
    </tableColumn>
    <tableColumn id="40" name="hts_tst_othermod_o50_f_neg" dataDxfId="765">
      <calculatedColumnFormula>othermod_T[[D_hts_tst_neg_othermod_o15_fy19]:[D_hts_tst_neg_othermod_o15_fy19]]*othermod_T[A_hts_tst_othermod_o50_f_neg]</calculatedColumnFormula>
    </tableColumn>
    <tableColumn id="41" name="hts_tst_othermod_o50_m_neg" dataDxfId="764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I7" totalsRowShown="0" headerRowDxfId="763" dataDxfId="762">
  <autoFilter ref="C6:CI7"/>
  <tableColumns count="85">
    <tableColumn id="1" name="psnu" dataDxfId="761"/>
    <tableColumn id="46" name="psnuuid" dataDxfId="760"/>
    <tableColumn id="2" name="priority" dataDxfId="759"/>
    <tableColumn id="27" name="mechid" dataDxfId="758"/>
    <tableColumn id="45" name="mechname" dataDxfId="757"/>
    <tableColumn id="4" name="type" dataDxfId="756"/>
    <tableColumn id="47" name="psnu_type" dataDxfId="755"/>
    <tableColumn id="48" name="A_hts_tst_index_u1_unk_pos" dataDxfId="754"/>
    <tableColumn id="50" name="A_hts_tst_index_0109_unk_pos" dataDxfId="753"/>
    <tableColumn id="51" name="A_hts_tst_index_1014_f_pos" dataDxfId="752"/>
    <tableColumn id="55" name="A_hts_tst_index_1014_m_pos" dataDxfId="751"/>
    <tableColumn id="75" name="A_hts_tst_index_u1_unk_neg" dataDxfId="750"/>
    <tableColumn id="76" name="A_hts_tst_index_0109_unk_neg" dataDxfId="749"/>
    <tableColumn id="77" name="A_hts_tst_index_1014_f_neg" dataDxfId="748"/>
    <tableColumn id="78" name="A_hts_tst_index_1014_m_neg" dataDxfId="747"/>
    <tableColumn id="79" name="A_hts_tst_index_1519_f_pos" dataDxfId="746"/>
    <tableColumn id="80" name="A_hts_tst_index_1519_m_pos" dataDxfId="745"/>
    <tableColumn id="81" name="A_hts_tst_index_2024_f_pos" dataDxfId="744"/>
    <tableColumn id="82" name="A_hts_tst_index_2024_m_pos" dataDxfId="743"/>
    <tableColumn id="83" name="A_hts_tst_index_2529_f_pos" dataDxfId="742"/>
    <tableColumn id="84" name="A_hts_tst_index_2529_m_pos" dataDxfId="741"/>
    <tableColumn id="85" name="A_hts_tst_index_3034_f_pos" dataDxfId="740"/>
    <tableColumn id="86" name="A_hts_tst_index_3034_m__pos" dataDxfId="739"/>
    <tableColumn id="87" name="A_hts_tst_index_3539_f_pos" dataDxfId="738"/>
    <tableColumn id="88" name="A_hts_tst_index_3539_m__pos" dataDxfId="737"/>
    <tableColumn id="89" name="A_hts_tst_index_4049_f_pos" dataDxfId="736"/>
    <tableColumn id="90" name="A_hts_tst_index_4049_m_pos" dataDxfId="735"/>
    <tableColumn id="91" name="A_hts_tst_index_o50_f_pos" dataDxfId="734"/>
    <tableColumn id="92" name="A_hts_tst_index_o50_m_pos" dataDxfId="733"/>
    <tableColumn id="56" name="A_hts_tst_index_1519_f_neg" dataDxfId="732"/>
    <tableColumn id="57" name="A_hts_tst_index_1519_m_neg" dataDxfId="731"/>
    <tableColumn id="58" name="A_hts_tst_index_2024_f_neg" dataDxfId="730"/>
    <tableColumn id="59" name="A_hts_tst_index_2024_m_neg" dataDxfId="729"/>
    <tableColumn id="60" name="A_hts_tst_index_2529_f_neg" dataDxfId="728"/>
    <tableColumn id="61" name="A_hts_tst_index_2529_m_neg" dataDxfId="727"/>
    <tableColumn id="62" name="A_hts_tst_index_3034_f_neg" dataDxfId="726"/>
    <tableColumn id="63" name="A_hts_tst_index_3034_m_neg" dataDxfId="725"/>
    <tableColumn id="64" name="A_hts_tst_index_3539_f_neg" dataDxfId="724"/>
    <tableColumn id="65" name="A_hts_tst_index_3539_m_neg" dataDxfId="723"/>
    <tableColumn id="66" name="A_hts_tst_index_4049_f_neg" dataDxfId="722"/>
    <tableColumn id="67" name="A_hts_tst_index_4049_m_neg" dataDxfId="721"/>
    <tableColumn id="68" name="A_hts_tst_index_o50_f_neg" dataDxfId="720"/>
    <tableColumn id="69" name="A_hts_tst_index_o50_m_neg" dataDxfId="719"/>
    <tableColumn id="25" name="D_hts_tst_index_u15_fy19" dataDxfId="718"/>
    <tableColumn id="70" name="D_hts_tst_pos_index_u15_fy19" dataDxfId="717"/>
    <tableColumn id="71" name="D_hts_tst_neg_index_u15_fy19" dataDxfId="716"/>
    <tableColumn id="72" name="D_hts_tst_index_o15_fy19" dataDxfId="715"/>
    <tableColumn id="73" name="D_hts_tst_pos_index_o15_fy19" dataDxfId="714"/>
    <tableColumn id="74" name="D_hts_tst_neg_index_o15_fy19" dataDxfId="713"/>
    <tableColumn id="5" name="hts_tst_index_u1_unk_pos" dataDxfId="712">
      <calculatedColumnFormula>index_T[[D_hts_tst_pos_index_u15_fy19]:[D_hts_tst_pos_index_u15_fy19]]*index_T[A_hts_tst_index_u1_unk_pos]</calculatedColumnFormula>
    </tableColumn>
    <tableColumn id="6" name="hts_tst_index_0109_unk_pos" dataDxfId="711">
      <calculatedColumnFormula>index_T[[D_hts_tst_pos_index_u15_fy19]:[D_hts_tst_pos_index_u15_fy19]]*index_T[A_hts_tst_index_0109_unk_pos]</calculatedColumnFormula>
    </tableColumn>
    <tableColumn id="22" name="hts_tst_index_1014_f_pos" dataDxfId="710">
      <calculatedColumnFormula>index_T[[D_hts_tst_pos_index_u15_fy19]:[D_hts_tst_pos_index_u15_fy19]]*index_T[A_hts_tst_index_1014_f_pos]</calculatedColumnFormula>
    </tableColumn>
    <tableColumn id="7" name="hts_tst_index_1014_m_pos" dataDxfId="709">
      <calculatedColumnFormula>index_T[[D_hts_tst_pos_index_u15_fy19]:[D_hts_tst_pos_index_u15_fy19]]*index_T[A_hts_tst_index_1014_m_pos]</calculatedColumnFormula>
    </tableColumn>
    <tableColumn id="8" name="hts_tst_index_u1_unk_neg" dataDxfId="708">
      <calculatedColumnFormula>index_T[[D_hts_tst_neg_index_u15_fy19]:[D_hts_tst_neg_index_u15_fy19]]*index_T[A_hts_tst_index_u1_unk_neg]</calculatedColumnFormula>
    </tableColumn>
    <tableColumn id="9" name="hts_tst_index_0109_unk_neg" dataDxfId="707">
      <calculatedColumnFormula>index_T[[D_hts_tst_neg_index_u15_fy19]:[D_hts_tst_neg_index_u15_fy19]]*index_T[A_hts_tst_index_0109_unk_neg]</calculatedColumnFormula>
    </tableColumn>
    <tableColumn id="10" name="hts_tst_index_1014_f_neg" dataDxfId="706">
      <calculatedColumnFormula>index_T[[D_hts_tst_neg_index_u15_fy19]:[D_hts_tst_neg_index_u15_fy19]]*index_T[A_hts_tst_index_1014_f_neg]</calculatedColumnFormula>
    </tableColumn>
    <tableColumn id="11" name="hts_tst_index_1014_m_neg" dataDxfId="705">
      <calculatedColumnFormula>index_T[[D_hts_tst_neg_index_u15_fy19]:[D_hts_tst_neg_index_u15_fy19]]*index_T[A_hts_tst_index_1014_m_neg]</calculatedColumnFormula>
    </tableColumn>
    <tableColumn id="12" name="hts_tst_index_1519_f_pos" dataDxfId="704">
      <calculatedColumnFormula>index_T[[D_hts_tst_pos_index_o15_fy19]:[D_hts_tst_pos_index_o15_fy19]]*index_T[A_hts_tst_index_1519_f_pos]</calculatedColumnFormula>
    </tableColumn>
    <tableColumn id="13" name="hts_tst_index_1519_m_pos" dataDxfId="703">
      <calculatedColumnFormula>index_T[[D_hts_tst_pos_index_o15_fy19]:[D_hts_tst_pos_index_o15_fy19]]*index_T[A_hts_tst_index_1519_m_pos]</calculatedColumnFormula>
    </tableColumn>
    <tableColumn id="54" name="hts_tst_index_2024_f_pos" dataDxfId="702">
      <calculatedColumnFormula>index_T[[D_hts_tst_pos_index_o15_fy19]:[D_hts_tst_pos_index_o15_fy19]]*index_T[A_hts_tst_index_2024_f_pos]</calculatedColumnFormula>
    </tableColumn>
    <tableColumn id="14" name="hts_tst_index_2024_m_pos" dataDxfId="701">
      <calculatedColumnFormula>index_T[[D_hts_tst_pos_index_o15_fy19]:[D_hts_tst_pos_index_o15_fy19]]*index_T[A_hts_tst_index_2024_m_pos]</calculatedColumnFormula>
    </tableColumn>
    <tableColumn id="15" name="hts_tst_index_2529_f_pos" dataDxfId="700">
      <calculatedColumnFormula>index_T[[D_hts_tst_pos_index_o15_fy19]:[D_hts_tst_pos_index_o15_fy19]]*index_T[A_hts_tst_index_2529_f_pos]</calculatedColumnFormula>
    </tableColumn>
    <tableColumn id="16" name="hts_tst_index_2529_m_pos" dataDxfId="699">
      <calculatedColumnFormula>index_T[[D_hts_tst_pos_index_o15_fy19]:[D_hts_tst_pos_index_o15_fy19]]*index_T[A_hts_tst_index_2529_m_pos]</calculatedColumnFormula>
    </tableColumn>
    <tableColumn id="17" name="hts_tst_index_3034_f_pos" dataDxfId="698">
      <calculatedColumnFormula>index_T[[D_hts_tst_pos_index_o15_fy19]:[D_hts_tst_pos_index_o15_fy19]]*index_T[A_hts_tst_index_3034_f_pos]</calculatedColumnFormula>
    </tableColumn>
    <tableColumn id="18" name="hts_tst_index_3034_m_pos" dataDxfId="697">
      <calculatedColumnFormula>index_T[[D_hts_tst_pos_index_o15_fy19]:[D_hts_tst_pos_index_o15_fy19]]*index_T[A_hts_tst_index_3034_m__pos]</calculatedColumnFormula>
    </tableColumn>
    <tableColumn id="19" name="hts_tst_index_3539_f_pos" dataDxfId="696">
      <calculatedColumnFormula>index_T[[D_hts_tst_pos_index_o15_fy19]:[D_hts_tst_pos_index_o15_fy19]]*index_T[A_hts_tst_index_3539_f_pos]</calculatedColumnFormula>
    </tableColumn>
    <tableColumn id="20" name="hts_tst_index_3539_m_pos" dataDxfId="695">
      <calculatedColumnFormula>index_T[[D_hts_tst_pos_index_o15_fy19]:[D_hts_tst_pos_index_o15_fy19]]*index_T[A_hts_tst_index_3539_m__pos]</calculatedColumnFormula>
    </tableColumn>
    <tableColumn id="21" name="hts_tst_index_4049_f_pos" dataDxfId="694">
      <calculatedColumnFormula>index_T[[D_hts_tst_pos_index_o15_fy19]:[D_hts_tst_pos_index_o15_fy19]]*index_T[A_hts_tst_index_4049_f_pos]</calculatedColumnFormula>
    </tableColumn>
    <tableColumn id="26" name="hts_tst_index_4049_m_pos" dataDxfId="693">
      <calculatedColumnFormula>index_T[[D_hts_tst_pos_index_o15_fy19]:[D_hts_tst_pos_index_o15_fy19]]*index_T[A_hts_tst_index_4049_m_pos]</calculatedColumnFormula>
    </tableColumn>
    <tableColumn id="28" name="hts_tst_index_o50_f_pos" dataDxfId="692">
      <calculatedColumnFormula>index_T[[D_hts_tst_pos_index_o15_fy19]:[D_hts_tst_pos_index_o15_fy19]]*index_T[A_hts_tst_index_o50_f_pos]</calculatedColumnFormula>
    </tableColumn>
    <tableColumn id="29" name="hts_tst_index_o50_m_pos" dataDxfId="691">
      <calculatedColumnFormula>index_T[[D_hts_tst_pos_index_o15_fy19]:[D_hts_tst_pos_index_o15_fy19]]*index_T[A_hts_tst_index_o50_m_pos]</calculatedColumnFormula>
    </tableColumn>
    <tableColumn id="30" name="hts_tst_index_1519_f_neg" dataDxfId="690">
      <calculatedColumnFormula>index_T[[D_hts_tst_neg_index_o15_fy19]:[D_hts_tst_neg_index_o15_fy19]]*index_T[A_hts_tst_index_1519_f_neg]</calculatedColumnFormula>
    </tableColumn>
    <tableColumn id="52" name="hts_tst_index_1519_m_neg" dataDxfId="689">
      <calculatedColumnFormula>index_T[[D_hts_tst_neg_index_o15_fy19]:[D_hts_tst_neg_index_o15_fy19]]*index_T[A_hts_tst_index_1519_m_neg]</calculatedColumnFormula>
    </tableColumn>
    <tableColumn id="31" name="hts_tst_index_2024_f_neg" dataDxfId="688">
      <calculatedColumnFormula>index_T[[D_hts_tst_neg_index_o15_fy19]:[D_hts_tst_neg_index_o15_fy19]]*index_T[A_hts_tst_index_2024_f_neg]</calculatedColumnFormula>
    </tableColumn>
    <tableColumn id="32" name="hts_tst_index_2024_m_neg" dataDxfId="687">
      <calculatedColumnFormula>index_T[[D_hts_tst_neg_index_o15_fy19]:[D_hts_tst_neg_index_o15_fy19]]*index_T[A_hts_tst_index_2024_m_neg]</calculatedColumnFormula>
    </tableColumn>
    <tableColumn id="33" name="hts_tst_index_2529_f_neg" dataDxfId="686">
      <calculatedColumnFormula>index_T[[D_hts_tst_neg_index_o15_fy19]:[D_hts_tst_neg_index_o15_fy19]]*index_T[A_hts_tst_index_2529_f_neg]</calculatedColumnFormula>
    </tableColumn>
    <tableColumn id="34" name="hts_tst_index_2529_m_neg" dataDxfId="685">
      <calculatedColumnFormula>index_T[[D_hts_tst_neg_index_o15_fy19]:[D_hts_tst_neg_index_o15_fy19]]*index_T[A_hts_tst_index_2529_m_neg]</calculatedColumnFormula>
    </tableColumn>
    <tableColumn id="35" name="hts_tst_index_3034_f_neg" dataDxfId="684">
      <calculatedColumnFormula>index_T[[D_hts_tst_neg_index_o15_fy19]:[D_hts_tst_neg_index_o15_fy19]]*index_T[A_hts_tst_index_3034_f_neg]</calculatedColumnFormula>
    </tableColumn>
    <tableColumn id="36" name="hts_tst_index_3034_m_neg" dataDxfId="683">
      <calculatedColumnFormula>index_T[[D_hts_tst_neg_index_o15_fy19]:[D_hts_tst_neg_index_o15_fy19]]*index_T[A_hts_tst_index_3034_m_neg]</calculatedColumnFormula>
    </tableColumn>
    <tableColumn id="53" name="hts_tst_index_3539_f_neg" dataDxfId="682">
      <calculatedColumnFormula>index_T[[D_hts_tst_neg_index_o15_fy19]:[D_hts_tst_neg_index_o15_fy19]]*index_T[A_hts_tst_index_3539_f_neg]</calculatedColumnFormula>
    </tableColumn>
    <tableColumn id="37" name="hts_tst_index_3539_m_neg" dataDxfId="681">
      <calculatedColumnFormula>index_T[[D_hts_tst_neg_index_o15_fy19]:[D_hts_tst_neg_index_o15_fy19]]*index_T[A_hts_tst_index_3539_m_neg]</calculatedColumnFormula>
    </tableColumn>
    <tableColumn id="38" name="hts_tst_index_4049_f_neg" dataDxfId="680">
      <calculatedColumnFormula>index_T[[D_hts_tst_neg_index_o15_fy19]:[D_hts_tst_neg_index_o15_fy19]]*index_T[A_hts_tst_index_4049_f_neg]</calculatedColumnFormula>
    </tableColumn>
    <tableColumn id="39" name="hts_tst_index_4049_m_neg" dataDxfId="679">
      <calculatedColumnFormula>index_T[[D_hts_tst_neg_index_o15_fy19]:[D_hts_tst_neg_index_o15_fy19]]*index_T[A_hts_tst_index_4049_m_neg]</calculatedColumnFormula>
    </tableColumn>
    <tableColumn id="40" name="hts_tst_index_o50_f_neg" dataDxfId="678">
      <calculatedColumnFormula>index_T[[D_hts_tst_neg_index_o15_fy19]:[D_hts_tst_neg_index_o15_fy19]]*index_T[A_hts_tst_index_o50_f_neg]</calculatedColumnFormula>
    </tableColumn>
    <tableColumn id="41" name="hts_tst_index_o50_m_neg" dataDxfId="677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I7" totalsRowShown="0" headerRowDxfId="676" dataDxfId="675">
  <autoFilter ref="C6:CI7"/>
  <tableColumns count="85">
    <tableColumn id="1" name="psnu" dataDxfId="674"/>
    <tableColumn id="46" name="psnuuid" dataDxfId="673"/>
    <tableColumn id="2" name="priority" dataDxfId="672"/>
    <tableColumn id="27" name="mechid" dataDxfId="671"/>
    <tableColumn id="45" name="mechname" dataDxfId="670"/>
    <tableColumn id="4" name="type" dataDxfId="669"/>
    <tableColumn id="47" name="psnu_type" dataDxfId="668"/>
    <tableColumn id="48" name="A_hts_tst_sti_u1_unk_pos" dataDxfId="667"/>
    <tableColumn id="50" name="A_hts_tst_sti_0109_unk_pos" dataDxfId="666"/>
    <tableColumn id="51" name="A_hts_tst_sti_1014_f_pos" dataDxfId="665"/>
    <tableColumn id="55" name="A_hts_tst_sti_1014_m_pos" dataDxfId="664"/>
    <tableColumn id="75" name="A_hts_tst_sti_u1_unk_neg" dataDxfId="663"/>
    <tableColumn id="76" name="A_hts_tst_sti_0109_unk_neg" dataDxfId="662"/>
    <tableColumn id="77" name="A_hts_tst_sti_1014_f_neg" dataDxfId="661"/>
    <tableColumn id="78" name="A_hts_tst_sti_1014_m_neg" dataDxfId="660"/>
    <tableColumn id="79" name="A_hts_tst_sti_1519_f_pos" dataDxfId="659"/>
    <tableColumn id="80" name="A_hts_tst_sti_1519_m_pos" dataDxfId="658"/>
    <tableColumn id="81" name="A_hts_tst_sti_2024_f_pos" dataDxfId="657"/>
    <tableColumn id="82" name="A_hts_tst_sti_2024_m_pos" dataDxfId="656"/>
    <tableColumn id="83" name="A_hts_tst_sti_2529_f_pos" dataDxfId="655"/>
    <tableColumn id="84" name="A_hts_tst_sti_2529_m_pos" dataDxfId="654"/>
    <tableColumn id="85" name="A_hts_tst_sti_3034_f_pos" dataDxfId="653"/>
    <tableColumn id="86" name="A_hts_tst_sti_3034_m__pos" dataDxfId="652"/>
    <tableColumn id="87" name="A_hts_tst_sti_3539_f_pos" dataDxfId="651"/>
    <tableColumn id="88" name="A_hts_tst_sti_3539_m__pos" dataDxfId="650"/>
    <tableColumn id="89" name="A_hts_tst_sti_4049_f_pos" dataDxfId="649"/>
    <tableColumn id="90" name="A_hts_tst_sti_4049_m_pos" dataDxfId="648"/>
    <tableColumn id="91" name="A_hts_tst_sti_o50_f_pos" dataDxfId="647"/>
    <tableColumn id="92" name="A_hts_tst_sti_o50_m_pos" dataDxfId="646"/>
    <tableColumn id="56" name="A_hts_tst_sti_1519_f_neg" dataDxfId="645"/>
    <tableColumn id="57" name="A_hts_tst_sti_1519_m_neg" dataDxfId="644"/>
    <tableColumn id="58" name="A_hts_tst_sti_2024_f_neg" dataDxfId="643"/>
    <tableColumn id="59" name="A_hts_tst_sti_2024_m_neg" dataDxfId="642"/>
    <tableColumn id="60" name="A_hts_tst_sti_2529_f_neg" dataDxfId="641"/>
    <tableColumn id="61" name="A_hts_tst_sti_2529_m_neg" dataDxfId="640"/>
    <tableColumn id="62" name="A_hts_tst_sti_3034_f_neg" dataDxfId="639"/>
    <tableColumn id="63" name="A_hts_tst_sti_3034_m_neg" dataDxfId="638"/>
    <tableColumn id="64" name="A_hts_tst_sti_3539_f_neg" dataDxfId="637"/>
    <tableColumn id="65" name="A_hts_tst_sti_3539_m_neg" dataDxfId="636"/>
    <tableColumn id="66" name="A_hts_tst_sti_4049_f_neg" dataDxfId="635"/>
    <tableColumn id="67" name="A_hts_tst_sti_4049_m_neg" dataDxfId="634"/>
    <tableColumn id="68" name="A_hts_tst_sti_o50_f_neg" dataDxfId="633"/>
    <tableColumn id="69" name="A_hts_tst_sti_o50_m_neg" dataDxfId="632"/>
    <tableColumn id="25" name="D_hts_tst_sti_u15_fy19" dataDxfId="631"/>
    <tableColumn id="70" name="D_hts_tst_pos_sti_u15_fy19" dataDxfId="630"/>
    <tableColumn id="71" name="D_hts_tst_neg_sti_u15_fy19" dataDxfId="629"/>
    <tableColumn id="72" name="D_hts_tst_sti_o15_fy19" dataDxfId="628"/>
    <tableColumn id="73" name="D_hts_tst_pos_sti_o15_fy19" dataDxfId="627"/>
    <tableColumn id="74" name="D_hts_tst_neg_sti_o15_fy19" dataDxfId="626"/>
    <tableColumn id="5" name="hts_tst_sti_u1_unk_pos" dataDxfId="625">
      <calculatedColumnFormula>sti_T[[D_hts_tst_pos_sti_u15_fy19]:[D_hts_tst_pos_sti_u15_fy19]]*sti_T[A_hts_tst_sti_u1_unk_pos]</calculatedColumnFormula>
    </tableColumn>
    <tableColumn id="6" name="hts_tst_sti_0109_unk_pos" dataDxfId="624">
      <calculatedColumnFormula>sti_T[[D_hts_tst_pos_sti_u15_fy19]:[D_hts_tst_pos_sti_u15_fy19]]*sti_T[A_hts_tst_sti_0109_unk_pos]</calculatedColumnFormula>
    </tableColumn>
    <tableColumn id="22" name="hts_tst_sti_1014_f_pos" dataDxfId="623">
      <calculatedColumnFormula>sti_T[[D_hts_tst_pos_sti_u15_fy19]:[D_hts_tst_pos_sti_u15_fy19]]*sti_T[A_hts_tst_sti_1014_f_pos]</calculatedColumnFormula>
    </tableColumn>
    <tableColumn id="7" name="hts_tst_sti_1014_m_pos" dataDxfId="622">
      <calculatedColumnFormula>sti_T[[D_hts_tst_pos_sti_u15_fy19]:[D_hts_tst_pos_sti_u15_fy19]]*sti_T[A_hts_tst_sti_1014_m_pos]</calculatedColumnFormula>
    </tableColumn>
    <tableColumn id="8" name="hts_tst_sti_u1_unk_neg" dataDxfId="621">
      <calculatedColumnFormula>sti_T[[D_hts_tst_neg_sti_u15_fy19]:[D_hts_tst_neg_sti_u15_fy19]]*sti_T[A_hts_tst_sti_u1_unk_neg]</calculatedColumnFormula>
    </tableColumn>
    <tableColumn id="9" name="hts_tst_sti_0109_unk_neg" dataDxfId="620">
      <calculatedColumnFormula>sti_T[[D_hts_tst_neg_sti_u15_fy19]:[D_hts_tst_neg_sti_u15_fy19]]*sti_T[A_hts_tst_sti_0109_unk_neg]</calculatedColumnFormula>
    </tableColumn>
    <tableColumn id="10" name="hts_tst_sti_1014_f_neg" dataDxfId="619">
      <calculatedColumnFormula>sti_T[[D_hts_tst_neg_sti_u15_fy19]:[D_hts_tst_neg_sti_u15_fy19]]*sti_T[A_hts_tst_sti_1014_f_neg]</calculatedColumnFormula>
    </tableColumn>
    <tableColumn id="11" name="hts_tst_sti_1014_m_neg" dataDxfId="618">
      <calculatedColumnFormula>sti_T[[D_hts_tst_neg_sti_u15_fy19]:[D_hts_tst_neg_sti_u15_fy19]]*sti_T[A_hts_tst_sti_1014_m_neg]</calculatedColumnFormula>
    </tableColumn>
    <tableColumn id="12" name="hts_tst_sti_1519_f_pos" dataDxfId="617">
      <calculatedColumnFormula>sti_T[[D_hts_tst_pos_sti_o15_fy19]:[D_hts_tst_pos_sti_o15_fy19]]*sti_T[A_hts_tst_sti_1519_f_pos]</calculatedColumnFormula>
    </tableColumn>
    <tableColumn id="13" name="hts_tst_sti_1519_m_pos" dataDxfId="616">
      <calculatedColumnFormula>sti_T[[D_hts_tst_pos_sti_o15_fy19]:[D_hts_tst_pos_sti_o15_fy19]]*sti_T[A_hts_tst_sti_1519_m_pos]</calculatedColumnFormula>
    </tableColumn>
    <tableColumn id="54" name="hts_tst_sti_2024_f_pos" dataDxfId="615">
      <calculatedColumnFormula>sti_T[[D_hts_tst_pos_sti_o15_fy19]:[D_hts_tst_pos_sti_o15_fy19]]*sti_T[A_hts_tst_sti_2024_f_pos]</calculatedColumnFormula>
    </tableColumn>
    <tableColumn id="14" name="hts_tst_sti_2024_m_pos" dataDxfId="614">
      <calculatedColumnFormula>sti_T[[D_hts_tst_pos_sti_o15_fy19]:[D_hts_tst_pos_sti_o15_fy19]]*sti_T[A_hts_tst_sti_2024_m_pos]</calculatedColumnFormula>
    </tableColumn>
    <tableColumn id="15" name="hts_tst_sti_2529_f_pos" dataDxfId="613">
      <calculatedColumnFormula>sti_T[[D_hts_tst_pos_sti_o15_fy19]:[D_hts_tst_pos_sti_o15_fy19]]*sti_T[A_hts_tst_sti_2529_f_pos]</calculatedColumnFormula>
    </tableColumn>
    <tableColumn id="16" name="hts_tst_sti_2529_m_pos" dataDxfId="612">
      <calculatedColumnFormula>sti_T[[D_hts_tst_pos_sti_o15_fy19]:[D_hts_tst_pos_sti_o15_fy19]]*sti_T[A_hts_tst_sti_2529_m_pos]</calculatedColumnFormula>
    </tableColumn>
    <tableColumn id="17" name="hts_tst_sti_3034_f_pos" dataDxfId="611">
      <calculatedColumnFormula>sti_T[[D_hts_tst_pos_sti_o15_fy19]:[D_hts_tst_pos_sti_o15_fy19]]*sti_T[A_hts_tst_sti_3034_f_pos]</calculatedColumnFormula>
    </tableColumn>
    <tableColumn id="18" name="hts_tst_sti_3034_m_pos" dataDxfId="610">
      <calculatedColumnFormula>sti_T[[D_hts_tst_pos_sti_o15_fy19]:[D_hts_tst_pos_sti_o15_fy19]]*sti_T[A_hts_tst_sti_3034_m__pos]</calculatedColumnFormula>
    </tableColumn>
    <tableColumn id="19" name="hts_tst_sti_3539_f_pos" dataDxfId="609">
      <calculatedColumnFormula>sti_T[[D_hts_tst_pos_sti_o15_fy19]:[D_hts_tst_pos_sti_o15_fy19]]*sti_T[A_hts_tst_sti_3539_f_pos]</calculatedColumnFormula>
    </tableColumn>
    <tableColumn id="20" name="hts_tst_sti_3539_m_pos" dataDxfId="608">
      <calculatedColumnFormula>sti_T[[D_hts_tst_pos_sti_o15_fy19]:[D_hts_tst_pos_sti_o15_fy19]]*sti_T[A_hts_tst_sti_3539_m__pos]</calculatedColumnFormula>
    </tableColumn>
    <tableColumn id="21" name="hts_tst_sti_4049_f_pos" dataDxfId="607">
      <calculatedColumnFormula>sti_T[[D_hts_tst_pos_sti_o15_fy19]:[D_hts_tst_pos_sti_o15_fy19]]*sti_T[A_hts_tst_sti_4049_f_pos]</calculatedColumnFormula>
    </tableColumn>
    <tableColumn id="26" name="hts_tst_sti_4049_m_pos" dataDxfId="606">
      <calculatedColumnFormula>sti_T[[D_hts_tst_pos_sti_o15_fy19]:[D_hts_tst_pos_sti_o15_fy19]]*sti_T[A_hts_tst_sti_4049_m_pos]</calculatedColumnFormula>
    </tableColumn>
    <tableColumn id="28" name="hts_tst_sti_o50_f_pos" dataDxfId="605">
      <calculatedColumnFormula>sti_T[[D_hts_tst_pos_sti_o15_fy19]:[D_hts_tst_pos_sti_o15_fy19]]*sti_T[A_hts_tst_sti_o50_f_pos]</calculatedColumnFormula>
    </tableColumn>
    <tableColumn id="29" name="hts_tst_sti_o50_m_pos" dataDxfId="604">
      <calculatedColumnFormula>sti_T[[D_hts_tst_pos_sti_o15_fy19]:[D_hts_tst_pos_sti_o15_fy19]]*sti_T[A_hts_tst_sti_o50_m_pos]</calculatedColumnFormula>
    </tableColumn>
    <tableColumn id="30" name="hts_tst_sti_1519_f_neg" dataDxfId="603">
      <calculatedColumnFormula>sti_T[[D_hts_tst_neg_sti_o15_fy19]:[D_hts_tst_neg_sti_o15_fy19]]*sti_T[A_hts_tst_sti_1519_f_neg]</calculatedColumnFormula>
    </tableColumn>
    <tableColumn id="52" name="hts_tst_sti_1519_m_neg" dataDxfId="602">
      <calculatedColumnFormula>sti_T[[D_hts_tst_neg_sti_o15_fy19]:[D_hts_tst_neg_sti_o15_fy19]]*sti_T[A_hts_tst_sti_1519_m_neg]</calculatedColumnFormula>
    </tableColumn>
    <tableColumn id="31" name="hts_tst_sti_2024_f_neg" dataDxfId="601">
      <calculatedColumnFormula>sti_T[[D_hts_tst_neg_sti_o15_fy19]:[D_hts_tst_neg_sti_o15_fy19]]*sti_T[A_hts_tst_sti_2024_f_neg]</calculatedColumnFormula>
    </tableColumn>
    <tableColumn id="32" name="hts_tst_sti_2024_m_neg" dataDxfId="600">
      <calculatedColumnFormula>sti_T[[D_hts_tst_neg_sti_o15_fy19]:[D_hts_tst_neg_sti_o15_fy19]]*sti_T[A_hts_tst_sti_2024_m_neg]</calculatedColumnFormula>
    </tableColumn>
    <tableColumn id="33" name="hts_tst_sti_2529_f_neg" dataDxfId="599">
      <calculatedColumnFormula>sti_T[[D_hts_tst_neg_sti_o15_fy19]:[D_hts_tst_neg_sti_o15_fy19]]*sti_T[A_hts_tst_sti_2529_f_neg]</calculatedColumnFormula>
    </tableColumn>
    <tableColumn id="34" name="hts_tst_sti_2529_m_neg" dataDxfId="598">
      <calculatedColumnFormula>sti_T[[D_hts_tst_neg_sti_o15_fy19]:[D_hts_tst_neg_sti_o15_fy19]]*sti_T[A_hts_tst_sti_2529_m_neg]</calculatedColumnFormula>
    </tableColumn>
    <tableColumn id="35" name="hts_tst_sti_3034_f_neg" dataDxfId="597">
      <calculatedColumnFormula>sti_T[[D_hts_tst_neg_sti_o15_fy19]:[D_hts_tst_neg_sti_o15_fy19]]*sti_T[A_hts_tst_sti_3034_f_neg]</calculatedColumnFormula>
    </tableColumn>
    <tableColumn id="36" name="hts_tst_sti_3034_m_neg" dataDxfId="596">
      <calculatedColumnFormula>sti_T[[D_hts_tst_neg_sti_o15_fy19]:[D_hts_tst_neg_sti_o15_fy19]]*sti_T[A_hts_tst_sti_3034_m_neg]</calculatedColumnFormula>
    </tableColumn>
    <tableColumn id="53" name="hts_tst_sti_3539_f_neg" dataDxfId="595">
      <calculatedColumnFormula>sti_T[[D_hts_tst_neg_sti_o15_fy19]:[D_hts_tst_neg_sti_o15_fy19]]*sti_T[A_hts_tst_sti_3539_f_neg]</calculatedColumnFormula>
    </tableColumn>
    <tableColumn id="37" name="hts_tst_sti_3539_m_neg" dataDxfId="594">
      <calculatedColumnFormula>sti_T[[D_hts_tst_neg_sti_o15_fy19]:[D_hts_tst_neg_sti_o15_fy19]]*sti_T[A_hts_tst_sti_3539_m_neg]</calculatedColumnFormula>
    </tableColumn>
    <tableColumn id="38" name="hts_tst_sti_4049_f_neg" dataDxfId="593">
      <calculatedColumnFormula>sti_T[[D_hts_tst_neg_sti_o15_fy19]:[D_hts_tst_neg_sti_o15_fy19]]*sti_T[A_hts_tst_sti_4049_f_neg]</calculatedColumnFormula>
    </tableColumn>
    <tableColumn id="39" name="hts_tst_sti_4049_m_neg" dataDxfId="592">
      <calculatedColumnFormula>sti_T[[D_hts_tst_neg_sti_o15_fy19]:[D_hts_tst_neg_sti_o15_fy19]]*sti_T[A_hts_tst_sti_4049_m_neg]</calculatedColumnFormula>
    </tableColumn>
    <tableColumn id="40" name="hts_tst_sti_o50_f_neg" dataDxfId="591">
      <calculatedColumnFormula>sti_T[[D_hts_tst_neg_sti_o15_fy19]:[D_hts_tst_neg_sti_o15_fy19]]*sti_T[A_hts_tst_sti_o50_f_neg]</calculatedColumnFormula>
    </tableColumn>
    <tableColumn id="41" name="hts_tst_sti_o50_m_neg" dataDxfId="590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I7" totalsRowShown="0" headerRowDxfId="589" dataDxfId="588">
  <autoFilter ref="C6:CI7"/>
  <tableColumns count="85">
    <tableColumn id="1" name="psnu" dataDxfId="587"/>
    <tableColumn id="46" name="psnuuid" dataDxfId="586"/>
    <tableColumn id="2" name="priority" dataDxfId="585"/>
    <tableColumn id="27" name="mechid" dataDxfId="584"/>
    <tableColumn id="45" name="mechname" dataDxfId="583"/>
    <tableColumn id="4" name="type" dataDxfId="582"/>
    <tableColumn id="47" name="psnu_type" dataDxfId="581"/>
    <tableColumn id="48" name="A_hts_tst_inpat_u1_unk_pos" dataDxfId="580"/>
    <tableColumn id="50" name="A_hts_tst_inpat_0109_unk_pos" dataDxfId="579"/>
    <tableColumn id="51" name="A_hts_tst_inpat_1014_f_pos" dataDxfId="578"/>
    <tableColumn id="55" name="A_hts_tst_inpat_1014_m_pos" dataDxfId="577"/>
    <tableColumn id="75" name="A_hts_tst_inpat_u1_unk_neg" dataDxfId="576"/>
    <tableColumn id="76" name="A_hts_tst_inpat_0109_unk_neg" dataDxfId="575"/>
    <tableColumn id="77" name="A_hts_tst_inpat_1014_f_neg" dataDxfId="574"/>
    <tableColumn id="78" name="A_hts_tst_inpat_1014_m_neg" dataDxfId="573"/>
    <tableColumn id="79" name="A_hts_tst_inpat_1519_f_pos" dataDxfId="572"/>
    <tableColumn id="80" name="A_hts_tst_inpat_1519_m_pos" dataDxfId="571"/>
    <tableColumn id="81" name="A_hts_tst_inpat_2024_f_pos" dataDxfId="570"/>
    <tableColumn id="82" name="A_hts_tst_inpat_2024_m_pos" dataDxfId="569"/>
    <tableColumn id="83" name="A_hts_tst_inpat_2529_f_pos" dataDxfId="568"/>
    <tableColumn id="84" name="A_hts_tst_inpat_2529_m_pos" dataDxfId="567"/>
    <tableColumn id="85" name="A_hts_tst_inpat_3034_f_pos" dataDxfId="566"/>
    <tableColumn id="86" name="A_hts_tst_inpat_3034_m__pos" dataDxfId="565"/>
    <tableColumn id="87" name="A_hts_tst_inpat_3539_f_pos" dataDxfId="564"/>
    <tableColumn id="88" name="A_hts_tst_inpat_3539_m__pos" dataDxfId="563"/>
    <tableColumn id="89" name="A_hts_tst_inpat_4049_f_pos" dataDxfId="562"/>
    <tableColumn id="90" name="A_hts_tst_inpat_4049_m_pos" dataDxfId="561"/>
    <tableColumn id="91" name="A_hts_tst_inpat_o50_f_pos" dataDxfId="560"/>
    <tableColumn id="92" name="A_hts_tst_inpat_o50_m_pos" dataDxfId="559"/>
    <tableColumn id="56" name="A_hts_tst_inpat_1519_f_neg" dataDxfId="558"/>
    <tableColumn id="57" name="A_hts_tst_inpat_1519_m_neg" dataDxfId="557"/>
    <tableColumn id="58" name="A_hts_tst_inpat_2024_f_neg" dataDxfId="556"/>
    <tableColumn id="59" name="A_hts_tst_inpat_2024_m_neg" dataDxfId="555"/>
    <tableColumn id="60" name="A_hts_tst_inpat_2529_f_neg" dataDxfId="554"/>
    <tableColumn id="61" name="A_hts_tst_inpat_2529_m_neg" dataDxfId="553"/>
    <tableColumn id="62" name="A_hts_tst_inpat_3034_f_neg" dataDxfId="552"/>
    <tableColumn id="63" name="A_hts_tst_inpat_3034_m_neg" dataDxfId="551"/>
    <tableColumn id="64" name="A_hts_tst_inpat_3539_f_neg" dataDxfId="550"/>
    <tableColumn id="65" name="A_hts_tst_inpat_3539_m_neg" dataDxfId="549"/>
    <tableColumn id="66" name="A_hts_tst_inpat_4049_f_neg" dataDxfId="548"/>
    <tableColumn id="67" name="A_hts_tst_inpat_4049_m_neg" dataDxfId="547"/>
    <tableColumn id="68" name="A_hts_tst_inpat_o50_f_neg" dataDxfId="546"/>
    <tableColumn id="69" name="A_hts_tst_inpat_o50_m_neg" dataDxfId="545"/>
    <tableColumn id="25" name="D_hts_tst_inpat_u15_fy19" dataDxfId="544"/>
    <tableColumn id="70" name="D_hts_tst_pos_inpat_u15_fy19" dataDxfId="543"/>
    <tableColumn id="71" name="D_hts_tst_neg_inpat_u15_fy19" dataDxfId="542"/>
    <tableColumn id="72" name="D_hts_tst_inpat_o15_fy19" dataDxfId="541"/>
    <tableColumn id="73" name="D_hts_tst_pos_inpat_o15_fy19" dataDxfId="540"/>
    <tableColumn id="74" name="D_hts_tst_neg_inpat_o15_fy19" dataDxfId="539"/>
    <tableColumn id="5" name="hts_tst_inpat_u1_unk_pos" dataDxfId="538">
      <calculatedColumnFormula>inpat_T[[D_hts_tst_pos_inpat_u15_fy19]:[D_hts_tst_pos_inpat_u15_fy19]]*inpat_T[A_hts_tst_inpat_u1_unk_pos]</calculatedColumnFormula>
    </tableColumn>
    <tableColumn id="6" name="hts_tst_inpat_0109_unk_pos" dataDxfId="537">
      <calculatedColumnFormula>inpat_T[[D_hts_tst_pos_inpat_u15_fy19]:[D_hts_tst_pos_inpat_u15_fy19]]*inpat_T[A_hts_tst_inpat_0109_unk_pos]</calculatedColumnFormula>
    </tableColumn>
    <tableColumn id="22" name="hts_tst_inpat_1014_f_pos" dataDxfId="536">
      <calculatedColumnFormula>inpat_T[[D_hts_tst_pos_inpat_u15_fy19]:[D_hts_tst_pos_inpat_u15_fy19]]*inpat_T[A_hts_tst_inpat_1014_f_pos]</calculatedColumnFormula>
    </tableColumn>
    <tableColumn id="7" name="hts_tst_inpat_1014_m_pos" dataDxfId="535">
      <calculatedColumnFormula>inpat_T[[D_hts_tst_pos_inpat_u15_fy19]:[D_hts_tst_pos_inpat_u15_fy19]]*inpat_T[A_hts_tst_inpat_1014_m_pos]</calculatedColumnFormula>
    </tableColumn>
    <tableColumn id="8" name="hts_tst_inpat_u1_unk_neg" dataDxfId="534">
      <calculatedColumnFormula>inpat_T[[D_hts_tst_neg_inpat_u15_fy19]:[D_hts_tst_neg_inpat_u15_fy19]]*inpat_T[A_hts_tst_inpat_u1_unk_neg]</calculatedColumnFormula>
    </tableColumn>
    <tableColumn id="9" name="hts_tst_inpat_0109_unk_neg" dataDxfId="533">
      <calculatedColumnFormula>inpat_T[[D_hts_tst_neg_inpat_u15_fy19]:[D_hts_tst_neg_inpat_u15_fy19]]*inpat_T[A_hts_tst_inpat_0109_unk_neg]</calculatedColumnFormula>
    </tableColumn>
    <tableColumn id="10" name="hts_tst_inpat_1014_f_neg" dataDxfId="532">
      <calculatedColumnFormula>inpat_T[[D_hts_tst_neg_inpat_u15_fy19]:[D_hts_tst_neg_inpat_u15_fy19]]*inpat_T[A_hts_tst_inpat_1014_f_neg]</calculatedColumnFormula>
    </tableColumn>
    <tableColumn id="11" name="hts_tst_inpat_1014_m_neg" dataDxfId="531">
      <calculatedColumnFormula>inpat_T[[D_hts_tst_neg_inpat_u15_fy19]:[D_hts_tst_neg_inpat_u15_fy19]]*inpat_T[A_hts_tst_inpat_1014_m_neg]</calculatedColumnFormula>
    </tableColumn>
    <tableColumn id="12" name="hts_tst_inpat_1519_f_pos" dataDxfId="530">
      <calculatedColumnFormula>inpat_T[[D_hts_tst_pos_inpat_o15_fy19]:[D_hts_tst_pos_inpat_o15_fy19]]*inpat_T[A_hts_tst_inpat_1519_f_pos]</calculatedColumnFormula>
    </tableColumn>
    <tableColumn id="13" name="hts_tst_inpat_1519_m_pos" dataDxfId="529">
      <calculatedColumnFormula>inpat_T[[D_hts_tst_pos_inpat_o15_fy19]:[D_hts_tst_pos_inpat_o15_fy19]]*inpat_T[A_hts_tst_inpat_1519_m_pos]</calculatedColumnFormula>
    </tableColumn>
    <tableColumn id="54" name="hts_tst_inpat_2024_f_pos" dataDxfId="528">
      <calculatedColumnFormula>inpat_T[[D_hts_tst_pos_inpat_o15_fy19]:[D_hts_tst_pos_inpat_o15_fy19]]*inpat_T[A_hts_tst_inpat_2024_f_pos]</calculatedColumnFormula>
    </tableColumn>
    <tableColumn id="14" name="hts_tst_inpat_2024_m_pos" dataDxfId="527">
      <calculatedColumnFormula>inpat_T[[D_hts_tst_pos_inpat_o15_fy19]:[D_hts_tst_pos_inpat_o15_fy19]]*inpat_T[A_hts_tst_inpat_2024_m_pos]</calculatedColumnFormula>
    </tableColumn>
    <tableColumn id="15" name="hts_tst_inpat_2529_f_pos" dataDxfId="526">
      <calculatedColumnFormula>inpat_T[[D_hts_tst_pos_inpat_o15_fy19]:[D_hts_tst_pos_inpat_o15_fy19]]*inpat_T[A_hts_tst_inpat_2529_f_pos]</calculatedColumnFormula>
    </tableColumn>
    <tableColumn id="16" name="hts_tst_inpat_2529_m_pos" dataDxfId="525">
      <calculatedColumnFormula>inpat_T[[D_hts_tst_pos_inpat_o15_fy19]:[D_hts_tst_pos_inpat_o15_fy19]]*inpat_T[A_hts_tst_inpat_2529_m_pos]</calculatedColumnFormula>
    </tableColumn>
    <tableColumn id="17" name="hts_tst_inpat_3034_f_pos" dataDxfId="524">
      <calculatedColumnFormula>inpat_T[[D_hts_tst_pos_inpat_o15_fy19]:[D_hts_tst_pos_inpat_o15_fy19]]*inpat_T[A_hts_tst_inpat_3034_f_pos]</calculatedColumnFormula>
    </tableColumn>
    <tableColumn id="18" name="hts_tst_inpat_3034_m_pos" dataDxfId="523">
      <calculatedColumnFormula>inpat_T[[D_hts_tst_pos_inpat_o15_fy19]:[D_hts_tst_pos_inpat_o15_fy19]]*inpat_T[A_hts_tst_inpat_3034_m__pos]</calculatedColumnFormula>
    </tableColumn>
    <tableColumn id="19" name="hts_tst_inpat_3539_f_pos" dataDxfId="522">
      <calculatedColumnFormula>inpat_T[[D_hts_tst_pos_inpat_o15_fy19]:[D_hts_tst_pos_inpat_o15_fy19]]*inpat_T[A_hts_tst_inpat_3539_f_pos]</calculatedColumnFormula>
    </tableColumn>
    <tableColumn id="20" name="hts_tst_inpat_3539_m_pos" dataDxfId="521">
      <calculatedColumnFormula>inpat_T[[D_hts_tst_pos_inpat_o15_fy19]:[D_hts_tst_pos_inpat_o15_fy19]]*inpat_T[A_hts_tst_inpat_3539_m__pos]</calculatedColumnFormula>
    </tableColumn>
    <tableColumn id="21" name="hts_tst_inpat_4049_f_pos" dataDxfId="520">
      <calculatedColumnFormula>inpat_T[[D_hts_tst_pos_inpat_o15_fy19]:[D_hts_tst_pos_inpat_o15_fy19]]*inpat_T[A_hts_tst_inpat_4049_f_pos]</calculatedColumnFormula>
    </tableColumn>
    <tableColumn id="26" name="hts_tst_inpat_4049_m_pos" dataDxfId="519">
      <calculatedColumnFormula>inpat_T[[D_hts_tst_pos_inpat_o15_fy19]:[D_hts_tst_pos_inpat_o15_fy19]]*inpat_T[A_hts_tst_inpat_4049_m_pos]</calculatedColumnFormula>
    </tableColumn>
    <tableColumn id="28" name="hts_tst_inpat_o50_f_pos" dataDxfId="518">
      <calculatedColumnFormula>inpat_T[[D_hts_tst_pos_inpat_o15_fy19]:[D_hts_tst_pos_inpat_o15_fy19]]*inpat_T[A_hts_tst_inpat_o50_f_pos]</calculatedColumnFormula>
    </tableColumn>
    <tableColumn id="29" name="hts_tst_inpat_o50_m_pos" dataDxfId="517">
      <calculatedColumnFormula>inpat_T[[D_hts_tst_pos_inpat_o15_fy19]:[D_hts_tst_pos_inpat_o15_fy19]]*inpat_T[A_hts_tst_inpat_o50_m_pos]</calculatedColumnFormula>
    </tableColumn>
    <tableColumn id="30" name="hts_tst_inpat_1519_f_neg" dataDxfId="516">
      <calculatedColumnFormula>inpat_T[[D_hts_tst_neg_inpat_o15_fy19]:[D_hts_tst_neg_inpat_o15_fy19]]*inpat_T[A_hts_tst_inpat_1519_f_neg]</calculatedColumnFormula>
    </tableColumn>
    <tableColumn id="52" name="hts_tst_inpat_1519_m_neg" dataDxfId="515">
      <calculatedColumnFormula>inpat_T[[D_hts_tst_neg_inpat_o15_fy19]:[D_hts_tst_neg_inpat_o15_fy19]]*inpat_T[A_hts_tst_inpat_1519_m_neg]</calculatedColumnFormula>
    </tableColumn>
    <tableColumn id="31" name="hts_tst_inpat_2024_f_neg" dataDxfId="514">
      <calculatedColumnFormula>inpat_T[[D_hts_tst_neg_inpat_o15_fy19]:[D_hts_tst_neg_inpat_o15_fy19]]*inpat_T[A_hts_tst_inpat_2024_f_neg]</calculatedColumnFormula>
    </tableColumn>
    <tableColumn id="32" name="hts_tst_inpat_2024_m_neg" dataDxfId="513">
      <calculatedColumnFormula>inpat_T[[D_hts_tst_neg_inpat_o15_fy19]:[D_hts_tst_neg_inpat_o15_fy19]]*inpat_T[A_hts_tst_inpat_2024_m_neg]</calculatedColumnFormula>
    </tableColumn>
    <tableColumn id="33" name="hts_tst_inpat_2529_f_neg" dataDxfId="512">
      <calculatedColumnFormula>inpat_T[[D_hts_tst_neg_inpat_o15_fy19]:[D_hts_tst_neg_inpat_o15_fy19]]*inpat_T[A_hts_tst_inpat_2529_f_neg]</calculatedColumnFormula>
    </tableColumn>
    <tableColumn id="34" name="hts_tst_inpat_2529_m_neg" dataDxfId="511">
      <calculatedColumnFormula>inpat_T[[D_hts_tst_neg_inpat_o15_fy19]:[D_hts_tst_neg_inpat_o15_fy19]]*inpat_T[A_hts_tst_inpat_2529_m_neg]</calculatedColumnFormula>
    </tableColumn>
    <tableColumn id="35" name="hts_tst_inpat_3034_f_neg" dataDxfId="510">
      <calculatedColumnFormula>inpat_T[[D_hts_tst_neg_inpat_o15_fy19]:[D_hts_tst_neg_inpat_o15_fy19]]*inpat_T[A_hts_tst_inpat_3034_f_neg]</calculatedColumnFormula>
    </tableColumn>
    <tableColumn id="36" name="hts_tst_inpat_3034_m_neg" dataDxfId="509">
      <calculatedColumnFormula>inpat_T[[D_hts_tst_neg_inpat_o15_fy19]:[D_hts_tst_neg_inpat_o15_fy19]]*inpat_T[A_hts_tst_inpat_3034_m_neg]</calculatedColumnFormula>
    </tableColumn>
    <tableColumn id="53" name="hts_tst_inpat_3539_f_neg" dataDxfId="508">
      <calculatedColumnFormula>inpat_T[[D_hts_tst_neg_inpat_o15_fy19]:[D_hts_tst_neg_inpat_o15_fy19]]*inpat_T[A_hts_tst_inpat_3539_f_neg]</calculatedColumnFormula>
    </tableColumn>
    <tableColumn id="37" name="hts_tst_inpat_3539_m_neg" dataDxfId="507">
      <calculatedColumnFormula>inpat_T[[D_hts_tst_neg_inpat_o15_fy19]:[D_hts_tst_neg_inpat_o15_fy19]]*inpat_T[A_hts_tst_inpat_3539_m_neg]</calculatedColumnFormula>
    </tableColumn>
    <tableColumn id="38" name="hts_tst_inpat_4049_f_neg" dataDxfId="506">
      <calculatedColumnFormula>inpat_T[[D_hts_tst_neg_inpat_o15_fy19]:[D_hts_tst_neg_inpat_o15_fy19]]*inpat_T[A_hts_tst_inpat_4049_f_neg]</calculatedColumnFormula>
    </tableColumn>
    <tableColumn id="39" name="hts_tst_inpat_4049_m_neg" dataDxfId="505">
      <calculatedColumnFormula>inpat_T[[D_hts_tst_neg_inpat_o15_fy19]:[D_hts_tst_neg_inpat_o15_fy19]]*inpat_T[A_hts_tst_inpat_4049_m_neg]</calculatedColumnFormula>
    </tableColumn>
    <tableColumn id="40" name="hts_tst_inpat_o50_f_neg" dataDxfId="504">
      <calculatedColumnFormula>inpat_T[[D_hts_tst_neg_inpat_o15_fy19]:[D_hts_tst_neg_inpat_o15_fy19]]*inpat_T[A_hts_tst_inpat_o50_f_neg]</calculatedColumnFormula>
    </tableColumn>
    <tableColumn id="41" name="hts_tst_inpat_o50_m_neg" dataDxfId="503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I7" totalsRowShown="0" headerRowDxfId="502" dataDxfId="501">
  <autoFilter ref="C6:CI7"/>
  <tableColumns count="85">
    <tableColumn id="1" name="psnu" dataDxfId="500"/>
    <tableColumn id="46" name="psnuuid" dataDxfId="499"/>
    <tableColumn id="2" name="priority" dataDxfId="498"/>
    <tableColumn id="27" name="mechid" dataDxfId="497"/>
    <tableColumn id="45" name="mechname" dataDxfId="496"/>
    <tableColumn id="4" name="type" dataDxfId="495"/>
    <tableColumn id="47" name="psnu_type" dataDxfId="494"/>
    <tableColumn id="48" name="A_hts_tst_emergency_u1_unk_pos" dataDxfId="493"/>
    <tableColumn id="50" name="A_hts_tst_emergency_0109_unk_pos" dataDxfId="492"/>
    <tableColumn id="51" name="A_hts_tst_emergency_1014_f_pos" dataDxfId="491"/>
    <tableColumn id="55" name="A_hts_tst_emergency_1014_m_pos" dataDxfId="490"/>
    <tableColumn id="75" name="A_hts_tst_emergency_u1_unk_neg" dataDxfId="489"/>
    <tableColumn id="76" name="A_hts_tst_emergency_0109_unk_neg" dataDxfId="488"/>
    <tableColumn id="77" name="A_hts_tst_emergency_1014_f_neg" dataDxfId="487"/>
    <tableColumn id="78" name="A_hts_tst_emergency_1014_m_neg" dataDxfId="486"/>
    <tableColumn id="79" name="A_hts_tst_emergency_1519_f_pos" dataDxfId="485"/>
    <tableColumn id="80" name="A_hts_tst_emergency_1519_m_pos" dataDxfId="484"/>
    <tableColumn id="81" name="A_hts_tst_emergency_2024_f_pos" dataDxfId="483"/>
    <tableColumn id="82" name="A_hts_tst_emergency_2024_m_pos" dataDxfId="482"/>
    <tableColumn id="83" name="A_hts_tst_emergency_2529_f_pos" dataDxfId="481"/>
    <tableColumn id="84" name="A_hts_tst_emergency_2529_m_pos" dataDxfId="480"/>
    <tableColumn id="85" name="A_hts_tst_emergency_3034_f_pos" dataDxfId="479"/>
    <tableColumn id="86" name="A_hts_tst_emergency_3034_m__pos" dataDxfId="478"/>
    <tableColumn id="87" name="A_hts_tst_emergency_3539_f_pos" dataDxfId="477"/>
    <tableColumn id="88" name="A_hts_tst_emergency_3539_m__pos" dataDxfId="476"/>
    <tableColumn id="89" name="A_hts_tst_emergency_4049_f_pos" dataDxfId="475"/>
    <tableColumn id="90" name="A_hts_tst_emergency_4049_m_pos" dataDxfId="474"/>
    <tableColumn id="91" name="A_hts_tst_emergency_o50_f_pos" dataDxfId="473"/>
    <tableColumn id="92" name="A_hts_tst_emergency_o50_m_pos" dataDxfId="472"/>
    <tableColumn id="56" name="A_hts_tst_emergency_1519_f_neg" dataDxfId="471"/>
    <tableColumn id="57" name="A_hts_tst_emergency_1519_m_neg" dataDxfId="470"/>
    <tableColumn id="58" name="A_hts_tst_emergency_2024_f_neg" dataDxfId="469"/>
    <tableColumn id="59" name="A_hts_tst_emergency_2024_m_neg" dataDxfId="468"/>
    <tableColumn id="60" name="A_hts_tst_emergency_2529_f_neg" dataDxfId="467"/>
    <tableColumn id="61" name="A_hts_tst_emergency_2529_m_neg" dataDxfId="466"/>
    <tableColumn id="62" name="A_hts_tst_emergency_3034_f_neg" dataDxfId="465"/>
    <tableColumn id="63" name="A_hts_tst_emergency_3034_m_neg" dataDxfId="464"/>
    <tableColumn id="64" name="A_hts_tst_emergency_3539_f_neg" dataDxfId="463"/>
    <tableColumn id="65" name="A_hts_tst_emergency_3539_m_neg" dataDxfId="462"/>
    <tableColumn id="66" name="A_hts_tst_emergency_4049_f_neg" dataDxfId="461"/>
    <tableColumn id="67" name="A_hts_tst_emergency_4049_m_neg" dataDxfId="460"/>
    <tableColumn id="68" name="A_hts_tst_emergency_o50_f_neg" dataDxfId="459"/>
    <tableColumn id="69" name="A_hts_tst_emergency_o50_m_neg" dataDxfId="458"/>
    <tableColumn id="25" name="D_hts_tst_emergency_u15_fy19" dataDxfId="457"/>
    <tableColumn id="70" name="D_hts_tst_pos_emergency_u15_fy19" dataDxfId="456"/>
    <tableColumn id="71" name="D_hts_tst_neg_emergency_u15_fy19" dataDxfId="455"/>
    <tableColumn id="72" name="D_hts_tst_emergency_o15_fy19" dataDxfId="454"/>
    <tableColumn id="73" name="D_hts_tst_pos_emergency_o15_fy19" dataDxfId="453"/>
    <tableColumn id="74" name="D_hts_tst_neg_emergency_o15_fy19" dataDxfId="452"/>
    <tableColumn id="5" name="hts_tst_emergency_u1_unk_pos" dataDxfId="451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50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49">
      <calculatedColumnFormula>emergency_T[[D_hts_tst_pos_emergency_u15_fy19]:[D_hts_tst_pos_emergency_u15_fy19]]*emergency_T[A_hts_tst_emergency_1014_f_pos]</calculatedColumnFormula>
    </tableColumn>
    <tableColumn id="7" name="hts_tst_emergency_1014_m_pos" dataDxfId="448">
      <calculatedColumnFormula>emergency_T[[D_hts_tst_pos_emergency_u15_fy19]:[D_hts_tst_pos_emergency_u15_fy19]]*emergency_T[A_hts_tst_emergency_1014_m_pos]</calculatedColumnFormula>
    </tableColumn>
    <tableColumn id="8" name="hts_tst_emergency_u1_unk_neg" dataDxfId="447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46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45">
      <calculatedColumnFormula>emergency_T[[D_hts_tst_neg_emergency_u15_fy19]:[D_hts_tst_neg_emergency_u15_fy19]]*emergency_T[A_hts_tst_emergency_1014_f_neg]</calculatedColumnFormula>
    </tableColumn>
    <tableColumn id="11" name="hts_tst_emergency_1014_m_neg" dataDxfId="444">
      <calculatedColumnFormula>emergency_T[[D_hts_tst_neg_emergency_u15_fy19]:[D_hts_tst_neg_emergency_u15_fy19]]*emergency_T[A_hts_tst_emergency_1014_m_neg]</calculatedColumnFormula>
    </tableColumn>
    <tableColumn id="12" name="hts_tst_emergency_1519_f_pos" dataDxfId="443">
      <calculatedColumnFormula>emergency_T[[D_hts_tst_pos_emergency_o15_fy19]:[D_hts_tst_pos_emergency_o15_fy19]]*emergency_T[A_hts_tst_emergency_1519_f_pos]</calculatedColumnFormula>
    </tableColumn>
    <tableColumn id="13" name="hts_tst_emergency_1519_m_pos" dataDxfId="442">
      <calculatedColumnFormula>emergency_T[[D_hts_tst_pos_emergency_o15_fy19]:[D_hts_tst_pos_emergency_o15_fy19]]*emergency_T[A_hts_tst_emergency_1519_m_pos]</calculatedColumnFormula>
    </tableColumn>
    <tableColumn id="54" name="hts_tst_emergency_2024_f_pos" dataDxfId="441">
      <calculatedColumnFormula>emergency_T[[D_hts_tst_pos_emergency_o15_fy19]:[D_hts_tst_pos_emergency_o15_fy19]]*emergency_T[A_hts_tst_emergency_2024_f_pos]</calculatedColumnFormula>
    </tableColumn>
    <tableColumn id="14" name="hts_tst_emergency_2024_m_pos" dataDxfId="440">
      <calculatedColumnFormula>emergency_T[[D_hts_tst_pos_emergency_o15_fy19]:[D_hts_tst_pos_emergency_o15_fy19]]*emergency_T[A_hts_tst_emergency_2024_m_pos]</calculatedColumnFormula>
    </tableColumn>
    <tableColumn id="15" name="hts_tst_emergency_2529_f_pos" dataDxfId="439">
      <calculatedColumnFormula>emergency_T[[D_hts_tst_pos_emergency_o15_fy19]:[D_hts_tst_pos_emergency_o15_fy19]]*emergency_T[A_hts_tst_emergency_2529_f_pos]</calculatedColumnFormula>
    </tableColumn>
    <tableColumn id="16" name="hts_tst_emergency_2529_m_pos" dataDxfId="438">
      <calculatedColumnFormula>emergency_T[[D_hts_tst_pos_emergency_o15_fy19]:[D_hts_tst_pos_emergency_o15_fy19]]*emergency_T[A_hts_tst_emergency_2529_m_pos]</calculatedColumnFormula>
    </tableColumn>
    <tableColumn id="17" name="hts_tst_emergency_3034_f_pos" dataDxfId="437">
      <calculatedColumnFormula>emergency_T[[D_hts_tst_pos_emergency_o15_fy19]:[D_hts_tst_pos_emergency_o15_fy19]]*emergency_T[A_hts_tst_emergency_3034_f_pos]</calculatedColumnFormula>
    </tableColumn>
    <tableColumn id="18" name="hts_tst_emergency_3034_m_pos" dataDxfId="436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35">
      <calculatedColumnFormula>emergency_T[[D_hts_tst_pos_emergency_o15_fy19]:[D_hts_tst_pos_emergency_o15_fy19]]*emergency_T[A_hts_tst_emergency_3539_f_pos]</calculatedColumnFormula>
    </tableColumn>
    <tableColumn id="20" name="hts_tst_emergency_3539_m_pos" dataDxfId="434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33">
      <calculatedColumnFormula>emergency_T[[D_hts_tst_pos_emergency_o15_fy19]:[D_hts_tst_pos_emergency_o15_fy19]]*emergency_T[A_hts_tst_emergency_4049_f_pos]</calculatedColumnFormula>
    </tableColumn>
    <tableColumn id="26" name="hts_tst_emergency_4049_m_pos" dataDxfId="432">
      <calculatedColumnFormula>emergency_T[[D_hts_tst_pos_emergency_o15_fy19]:[D_hts_tst_pos_emergency_o15_fy19]]*emergency_T[A_hts_tst_emergency_4049_m_pos]</calculatedColumnFormula>
    </tableColumn>
    <tableColumn id="28" name="hts_tst_emergency_o50_f_pos" dataDxfId="431">
      <calculatedColumnFormula>emergency_T[[D_hts_tst_pos_emergency_o15_fy19]:[D_hts_tst_pos_emergency_o15_fy19]]*emergency_T[A_hts_tst_emergency_o50_f_pos]</calculatedColumnFormula>
    </tableColumn>
    <tableColumn id="29" name="hts_tst_emergency_o50_m_pos" dataDxfId="430">
      <calculatedColumnFormula>emergency_T[[D_hts_tst_pos_emergency_o15_fy19]:[D_hts_tst_pos_emergency_o15_fy19]]*emergency_T[A_hts_tst_emergency_o50_m_pos]</calculatedColumnFormula>
    </tableColumn>
    <tableColumn id="30" name="hts_tst_emergency_1519_f_neg" dataDxfId="429">
      <calculatedColumnFormula>emergency_T[[D_hts_tst_neg_emergency_o15_fy19]:[D_hts_tst_neg_emergency_o15_fy19]]*emergency_T[A_hts_tst_emergency_1519_f_neg]</calculatedColumnFormula>
    </tableColumn>
    <tableColumn id="52" name="hts_tst_emergency_1519_m_neg" dataDxfId="428">
      <calculatedColumnFormula>emergency_T[[D_hts_tst_neg_emergency_o15_fy19]:[D_hts_tst_neg_emergency_o15_fy19]]*emergency_T[A_hts_tst_emergency_1519_m_neg]</calculatedColumnFormula>
    </tableColumn>
    <tableColumn id="31" name="hts_tst_emergency_2024_f_neg" dataDxfId="427">
      <calculatedColumnFormula>emergency_T[[D_hts_tst_neg_emergency_o15_fy19]:[D_hts_tst_neg_emergency_o15_fy19]]*emergency_T[A_hts_tst_emergency_2024_f_neg]</calculatedColumnFormula>
    </tableColumn>
    <tableColumn id="32" name="hts_tst_emergency_2024_m_neg" dataDxfId="426">
      <calculatedColumnFormula>emergency_T[[D_hts_tst_neg_emergency_o15_fy19]:[D_hts_tst_neg_emergency_o15_fy19]]*emergency_T[A_hts_tst_emergency_2024_m_neg]</calculatedColumnFormula>
    </tableColumn>
    <tableColumn id="33" name="hts_tst_emergency_2529_f_neg" dataDxfId="425">
      <calculatedColumnFormula>emergency_T[[D_hts_tst_neg_emergency_o15_fy19]:[D_hts_tst_neg_emergency_o15_fy19]]*emergency_T[A_hts_tst_emergency_2529_f_neg]</calculatedColumnFormula>
    </tableColumn>
    <tableColumn id="34" name="hts_tst_emergency_2529_m_neg" dataDxfId="424">
      <calculatedColumnFormula>emergency_T[[D_hts_tst_neg_emergency_o15_fy19]:[D_hts_tst_neg_emergency_o15_fy19]]*emergency_T[A_hts_tst_emergency_2529_m_neg]</calculatedColumnFormula>
    </tableColumn>
    <tableColumn id="35" name="hts_tst_emergency_3034_f_neg" dataDxfId="423">
      <calculatedColumnFormula>emergency_T[[D_hts_tst_neg_emergency_o15_fy19]:[D_hts_tst_neg_emergency_o15_fy19]]*emergency_T[A_hts_tst_emergency_3034_f_neg]</calculatedColumnFormula>
    </tableColumn>
    <tableColumn id="36" name="hts_tst_emergency_3034_m_neg" dataDxfId="422">
      <calculatedColumnFormula>emergency_T[[D_hts_tst_neg_emergency_o15_fy19]:[D_hts_tst_neg_emergency_o15_fy19]]*emergency_T[A_hts_tst_emergency_3034_m_neg]</calculatedColumnFormula>
    </tableColumn>
    <tableColumn id="53" name="hts_tst_emergency_3539_f_neg" dataDxfId="421">
      <calculatedColumnFormula>emergency_T[[D_hts_tst_neg_emergency_o15_fy19]:[D_hts_tst_neg_emergency_o15_fy19]]*emergency_T[A_hts_tst_emergency_3539_f_neg]</calculatedColumnFormula>
    </tableColumn>
    <tableColumn id="37" name="hts_tst_emergency_3539_m_neg" dataDxfId="420">
      <calculatedColumnFormula>emergency_T[[D_hts_tst_neg_emergency_o15_fy19]:[D_hts_tst_neg_emergency_o15_fy19]]*emergency_T[A_hts_tst_emergency_3539_m_neg]</calculatedColumnFormula>
    </tableColumn>
    <tableColumn id="38" name="hts_tst_emergency_4049_f_neg" dataDxfId="419">
      <calculatedColumnFormula>emergency_T[[D_hts_tst_neg_emergency_o15_fy19]:[D_hts_tst_neg_emergency_o15_fy19]]*emergency_T[A_hts_tst_emergency_4049_f_neg]</calculatedColumnFormula>
    </tableColumn>
    <tableColumn id="39" name="hts_tst_emergency_4049_m_neg" dataDxfId="418">
      <calculatedColumnFormula>emergency_T[[D_hts_tst_neg_emergency_o15_fy19]:[D_hts_tst_neg_emergency_o15_fy19]]*emergency_T[A_hts_tst_emergency_4049_m_neg]</calculatedColumnFormula>
    </tableColumn>
    <tableColumn id="40" name="hts_tst_emergency_o50_f_neg" dataDxfId="417">
      <calculatedColumnFormula>emergency_T[[D_hts_tst_neg_emergency_o15_fy19]:[D_hts_tst_neg_emergency_o15_fy19]]*emergency_T[A_hts_tst_emergency_o50_f_neg]</calculatedColumnFormula>
    </tableColumn>
    <tableColumn id="41" name="hts_tst_emergency_o50_m_neg" dataDxfId="416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I7" totalsRowShown="0" headerRowDxfId="415" dataDxfId="414">
  <autoFilter ref="C6:CI7"/>
  <tableColumns count="85">
    <tableColumn id="1" name="psnu" dataDxfId="413"/>
    <tableColumn id="46" name="psnuuid" dataDxfId="412"/>
    <tableColumn id="2" name="priority" dataDxfId="411"/>
    <tableColumn id="27" name="mechid" dataDxfId="410"/>
    <tableColumn id="45" name="mechname" dataDxfId="409"/>
    <tableColumn id="4" name="type" dataDxfId="408"/>
    <tableColumn id="47" name="psnu_type" dataDxfId="407"/>
    <tableColumn id="48" name="A_hts_tst_vct_u1_unk_pos" dataDxfId="406"/>
    <tableColumn id="50" name="A_hts_tst_vct_0109_unk_pos" dataDxfId="405"/>
    <tableColumn id="51" name="A_hts_tst_vct_1014_f_pos" dataDxfId="404"/>
    <tableColumn id="55" name="A_hts_tst_vct_1014_m_pos" dataDxfId="403"/>
    <tableColumn id="75" name="A_hts_tst_vct_u1_unk_neg" dataDxfId="402"/>
    <tableColumn id="76" name="A_hts_tst_vct_0109_unk_neg" dataDxfId="401"/>
    <tableColumn id="77" name="A_hts_tst_vct_1014_f_neg" dataDxfId="400"/>
    <tableColumn id="78" name="A_hts_tst_vct_1014_m_neg" dataDxfId="399"/>
    <tableColumn id="79" name="A_hts_tst_vct_1519_f_pos" dataDxfId="398"/>
    <tableColumn id="80" name="A_hts_tst_vct_1519_m_pos" dataDxfId="397"/>
    <tableColumn id="81" name="A_hts_tst_vct_2024_f_pos" dataDxfId="396"/>
    <tableColumn id="82" name="A_hts_tst_vct_2024_m_pos" dataDxfId="395"/>
    <tableColumn id="83" name="A_hts_tst_vct_2529_f_pos" dataDxfId="394"/>
    <tableColumn id="84" name="A_hts_tst_vct_2529_m_pos" dataDxfId="393"/>
    <tableColumn id="85" name="A_hts_tst_vct_3034_f_pos" dataDxfId="392"/>
    <tableColumn id="86" name="A_hts_tst_vct_3034_m__pos" dataDxfId="391"/>
    <tableColumn id="87" name="A_hts_tst_vct_3539_f_pos" dataDxfId="390"/>
    <tableColumn id="88" name="A_hts_tst_vct_3539_m__pos" dataDxfId="389"/>
    <tableColumn id="89" name="A_hts_tst_vct_4049_f_pos" dataDxfId="388"/>
    <tableColumn id="90" name="A_hts_tst_vct_4049_m_pos" dataDxfId="387"/>
    <tableColumn id="91" name="A_hts_tst_vct_o50_f_pos" dataDxfId="386"/>
    <tableColumn id="92" name="A_hts_tst_vct_o50_m_pos" dataDxfId="385"/>
    <tableColumn id="56" name="A_hts_tst_vct_1519_f_neg" dataDxfId="384"/>
    <tableColumn id="57" name="A_hts_tst_vct_1519_m_neg" dataDxfId="383"/>
    <tableColumn id="58" name="A_hts_tst_vct_2024_f_neg" dataDxfId="382"/>
    <tableColumn id="59" name="A_hts_tst_vct_2024_m_neg" dataDxfId="381"/>
    <tableColumn id="60" name="A_hts_tst_vct_2529_f_neg" dataDxfId="380"/>
    <tableColumn id="61" name="A_hts_tst_vct_2529_m_neg" dataDxfId="379"/>
    <tableColumn id="62" name="A_hts_tst_vct_3034_f_neg" dataDxfId="378"/>
    <tableColumn id="63" name="A_hts_tst_vct_3034_m_neg" dataDxfId="377"/>
    <tableColumn id="64" name="A_hts_tst_vct_3539_f_neg" dataDxfId="376"/>
    <tableColumn id="65" name="A_hts_tst_vct_3539_m_neg" dataDxfId="375"/>
    <tableColumn id="66" name="A_hts_tst_vct_4049_f_neg" dataDxfId="374"/>
    <tableColumn id="67" name="A_hts_tst_vct_4049_m_neg" dataDxfId="373"/>
    <tableColumn id="68" name="A_hts_tst_vct_o50_f_neg" dataDxfId="372"/>
    <tableColumn id="69" name="A_hts_tst_vct_o50_m_neg" dataDxfId="371"/>
    <tableColumn id="25" name="D_hts_tst_vct_u15_fy19" dataDxfId="370"/>
    <tableColumn id="70" name="D_hts_tst_pos_vct_u15_fy19" dataDxfId="369"/>
    <tableColumn id="71" name="D_hts_tst_neg_vct_u15_fy19" dataDxfId="368"/>
    <tableColumn id="72" name="D_hts_tst_vct_o15_fy19" dataDxfId="367"/>
    <tableColumn id="73" name="D_hts_tst_pos_vct_o15_fy19" dataDxfId="366"/>
    <tableColumn id="74" name="D_hts_tst_neg_vct_o15_fy19" dataDxfId="365"/>
    <tableColumn id="5" name="hts_tst_vct_u1_unk_pos" dataDxfId="364">
      <calculatedColumnFormula>vct_T[[D_hts_tst_pos_vct_u15_fy19]:[D_hts_tst_pos_vct_u15_fy19]]*vct_T[A_hts_tst_vct_u1_unk_pos]</calculatedColumnFormula>
    </tableColumn>
    <tableColumn id="6" name="hts_tst_vct_0109_unk_pos" dataDxfId="363">
      <calculatedColumnFormula>vct_T[[D_hts_tst_pos_vct_u15_fy19]:[D_hts_tst_pos_vct_u15_fy19]]*vct_T[A_hts_tst_vct_0109_unk_pos]</calculatedColumnFormula>
    </tableColumn>
    <tableColumn id="22" name="hts_tst_vct_1014_f_pos" dataDxfId="362">
      <calculatedColumnFormula>vct_T[[D_hts_tst_pos_vct_u15_fy19]:[D_hts_tst_pos_vct_u15_fy19]]*vct_T[A_hts_tst_vct_1014_f_pos]</calculatedColumnFormula>
    </tableColumn>
    <tableColumn id="7" name="hts_tst_vct_1014_m_pos" dataDxfId="361">
      <calculatedColumnFormula>vct_T[[D_hts_tst_pos_vct_u15_fy19]:[D_hts_tst_pos_vct_u15_fy19]]*vct_T[A_hts_tst_vct_1014_m_pos]</calculatedColumnFormula>
    </tableColumn>
    <tableColumn id="8" name="hts_tst_vct_u1_unk_neg" dataDxfId="360">
      <calculatedColumnFormula>vct_T[[D_hts_tst_neg_vct_u15_fy19]:[D_hts_tst_neg_vct_u15_fy19]]*vct_T[A_hts_tst_vct_u1_unk_neg]</calculatedColumnFormula>
    </tableColumn>
    <tableColumn id="9" name="hts_tst_vct_0109_unk_neg" dataDxfId="359">
      <calculatedColumnFormula>vct_T[[D_hts_tst_neg_vct_u15_fy19]:[D_hts_tst_neg_vct_u15_fy19]]*vct_T[A_hts_tst_vct_0109_unk_neg]</calculatedColumnFormula>
    </tableColumn>
    <tableColumn id="10" name="hts_tst_vct_1014_f_neg" dataDxfId="358">
      <calculatedColumnFormula>vct_T[[D_hts_tst_neg_vct_u15_fy19]:[D_hts_tst_neg_vct_u15_fy19]]*vct_T[A_hts_tst_vct_1014_f_neg]</calculatedColumnFormula>
    </tableColumn>
    <tableColumn id="11" name="hts_tst_vct_1014_m_neg" dataDxfId="357">
      <calculatedColumnFormula>vct_T[[D_hts_tst_neg_vct_u15_fy19]:[D_hts_tst_neg_vct_u15_fy19]]*vct_T[A_hts_tst_vct_1014_m_neg]</calculatedColumnFormula>
    </tableColumn>
    <tableColumn id="12" name="hts_tst_vct_1519_f_pos" dataDxfId="356">
      <calculatedColumnFormula>vct_T[[D_hts_tst_pos_vct_o15_fy19]:[D_hts_tst_pos_vct_o15_fy19]]*vct_T[A_hts_tst_vct_1519_f_pos]</calculatedColumnFormula>
    </tableColumn>
    <tableColumn id="13" name="hts_tst_vct_1519_m_pos" dataDxfId="355">
      <calculatedColumnFormula>vct_T[[D_hts_tst_pos_vct_o15_fy19]:[D_hts_tst_pos_vct_o15_fy19]]*vct_T[A_hts_tst_vct_1519_m_pos]</calculatedColumnFormula>
    </tableColumn>
    <tableColumn id="54" name="hts_tst_vct_2024_f_pos" dataDxfId="354">
      <calculatedColumnFormula>vct_T[[D_hts_tst_pos_vct_o15_fy19]:[D_hts_tst_pos_vct_o15_fy19]]*vct_T[A_hts_tst_vct_2024_f_pos]</calculatedColumnFormula>
    </tableColumn>
    <tableColumn id="14" name="hts_tst_vct_2024_m_pos" dataDxfId="353">
      <calculatedColumnFormula>vct_T[[D_hts_tst_pos_vct_o15_fy19]:[D_hts_tst_pos_vct_o15_fy19]]*vct_T[A_hts_tst_vct_2024_m_pos]</calculatedColumnFormula>
    </tableColumn>
    <tableColumn id="15" name="hts_tst_vct_2529_f_pos" dataDxfId="352">
      <calculatedColumnFormula>vct_T[[D_hts_tst_pos_vct_o15_fy19]:[D_hts_tst_pos_vct_o15_fy19]]*vct_T[A_hts_tst_vct_2529_f_pos]</calculatedColumnFormula>
    </tableColumn>
    <tableColumn id="16" name="hts_tst_vct_2529_m_pos" dataDxfId="351">
      <calculatedColumnFormula>vct_T[[D_hts_tst_pos_vct_o15_fy19]:[D_hts_tst_pos_vct_o15_fy19]]*vct_T[A_hts_tst_vct_2529_m_pos]</calculatedColumnFormula>
    </tableColumn>
    <tableColumn id="17" name="hts_tst_vct_3034_f_pos" dataDxfId="350">
      <calculatedColumnFormula>vct_T[[D_hts_tst_pos_vct_o15_fy19]:[D_hts_tst_pos_vct_o15_fy19]]*vct_T[A_hts_tst_vct_3034_f_pos]</calculatedColumnFormula>
    </tableColumn>
    <tableColumn id="18" name="hts_tst_vct_3034_m_pos" dataDxfId="349">
      <calculatedColumnFormula>vct_T[[D_hts_tst_pos_vct_o15_fy19]:[D_hts_tst_pos_vct_o15_fy19]]*vct_T[A_hts_tst_vct_3034_m__pos]</calculatedColumnFormula>
    </tableColumn>
    <tableColumn id="19" name="hts_tst_vct_3539_f_pos" dataDxfId="348">
      <calculatedColumnFormula>vct_T[[D_hts_tst_pos_vct_o15_fy19]:[D_hts_tst_pos_vct_o15_fy19]]*vct_T[A_hts_tst_vct_3539_f_pos]</calculatedColumnFormula>
    </tableColumn>
    <tableColumn id="20" name="hts_tst_vct_3539_m_pos" dataDxfId="347">
      <calculatedColumnFormula>vct_T[[D_hts_tst_pos_vct_o15_fy19]:[D_hts_tst_pos_vct_o15_fy19]]*vct_T[A_hts_tst_vct_3539_m__pos]</calculatedColumnFormula>
    </tableColumn>
    <tableColumn id="21" name="hts_tst_vct_4049_f_pos" dataDxfId="346">
      <calculatedColumnFormula>vct_T[[D_hts_tst_pos_vct_o15_fy19]:[D_hts_tst_pos_vct_o15_fy19]]*vct_T[A_hts_tst_vct_4049_f_pos]</calculatedColumnFormula>
    </tableColumn>
    <tableColumn id="26" name="hts_tst_vct_4049_m_pos" dataDxfId="345">
      <calculatedColumnFormula>vct_T[[D_hts_tst_pos_vct_o15_fy19]:[D_hts_tst_pos_vct_o15_fy19]]*vct_T[A_hts_tst_vct_4049_m_pos]</calculatedColumnFormula>
    </tableColumn>
    <tableColumn id="28" name="hts_tst_vct_o50_f_pos" dataDxfId="344">
      <calculatedColumnFormula>vct_T[[D_hts_tst_pos_vct_o15_fy19]:[D_hts_tst_pos_vct_o15_fy19]]*vct_T[A_hts_tst_vct_o50_f_pos]</calculatedColumnFormula>
    </tableColumn>
    <tableColumn id="29" name="hts_tst_vct_o50_m_pos" dataDxfId="343">
      <calculatedColumnFormula>vct_T[[D_hts_tst_pos_vct_o15_fy19]:[D_hts_tst_pos_vct_o15_fy19]]*vct_T[A_hts_tst_vct_o50_m_pos]</calculatedColumnFormula>
    </tableColumn>
    <tableColumn id="30" name="hts_tst_vct_1519_f_neg" dataDxfId="342">
      <calculatedColumnFormula>vct_T[[D_hts_tst_neg_vct_o15_fy19]:[D_hts_tst_neg_vct_o15_fy19]]*vct_T[A_hts_tst_vct_1519_f_neg]</calculatedColumnFormula>
    </tableColumn>
    <tableColumn id="52" name="hts_tst_vct_1519_m_neg" dataDxfId="341">
      <calculatedColumnFormula>vct_T[[D_hts_tst_neg_vct_o15_fy19]:[D_hts_tst_neg_vct_o15_fy19]]*vct_T[A_hts_tst_vct_1519_m_neg]</calculatedColumnFormula>
    </tableColumn>
    <tableColumn id="31" name="hts_tst_vct_2024_f_neg" dataDxfId="340">
      <calculatedColumnFormula>vct_T[[D_hts_tst_neg_vct_o15_fy19]:[D_hts_tst_neg_vct_o15_fy19]]*vct_T[A_hts_tst_vct_2024_f_neg]</calculatedColumnFormula>
    </tableColumn>
    <tableColumn id="32" name="hts_tst_vct_2024_m_neg" dataDxfId="339">
      <calculatedColumnFormula>vct_T[[D_hts_tst_neg_vct_o15_fy19]:[D_hts_tst_neg_vct_o15_fy19]]*vct_T[A_hts_tst_vct_2024_m_neg]</calculatedColumnFormula>
    </tableColumn>
    <tableColumn id="33" name="hts_tst_vct_2529_f_neg" dataDxfId="338">
      <calculatedColumnFormula>vct_T[[D_hts_tst_neg_vct_o15_fy19]:[D_hts_tst_neg_vct_o15_fy19]]*vct_T[A_hts_tst_vct_2529_f_neg]</calculatedColumnFormula>
    </tableColumn>
    <tableColumn id="34" name="hts_tst_vct_2529_m_neg" dataDxfId="337">
      <calculatedColumnFormula>vct_T[[D_hts_tst_neg_vct_o15_fy19]:[D_hts_tst_neg_vct_o15_fy19]]*vct_T[A_hts_tst_vct_2529_m_neg]</calculatedColumnFormula>
    </tableColumn>
    <tableColumn id="35" name="hts_tst_vct_3034_f_neg" dataDxfId="336">
      <calculatedColumnFormula>vct_T[[D_hts_tst_neg_vct_o15_fy19]:[D_hts_tst_neg_vct_o15_fy19]]*vct_T[A_hts_tst_vct_3034_f_neg]</calculatedColumnFormula>
    </tableColumn>
    <tableColumn id="36" name="hts_tst_vct_3034_m_neg" dataDxfId="335">
      <calculatedColumnFormula>vct_T[[D_hts_tst_neg_vct_o15_fy19]:[D_hts_tst_neg_vct_o15_fy19]]*vct_T[A_hts_tst_vct_3034_m_neg]</calculatedColumnFormula>
    </tableColumn>
    <tableColumn id="53" name="hts_tst_vct_3539_f_neg" dataDxfId="334">
      <calculatedColumnFormula>vct_T[[D_hts_tst_neg_vct_o15_fy19]:[D_hts_tst_neg_vct_o15_fy19]]*vct_T[A_hts_tst_vct_3539_f_neg]</calculatedColumnFormula>
    </tableColumn>
    <tableColumn id="37" name="hts_tst_vct_3539_m_neg" dataDxfId="333">
      <calculatedColumnFormula>vct_T[[D_hts_tst_neg_vct_o15_fy19]:[D_hts_tst_neg_vct_o15_fy19]]*vct_T[A_hts_tst_vct_3539_m_neg]</calculatedColumnFormula>
    </tableColumn>
    <tableColumn id="38" name="hts_tst_vct_4049_f_neg" dataDxfId="332">
      <calculatedColumnFormula>vct_T[[D_hts_tst_neg_vct_o15_fy19]:[D_hts_tst_neg_vct_o15_fy19]]*vct_T[A_hts_tst_vct_4049_f_neg]</calculatedColumnFormula>
    </tableColumn>
    <tableColumn id="39" name="hts_tst_vct_4049_m_neg" dataDxfId="331">
      <calculatedColumnFormula>vct_T[[D_hts_tst_neg_vct_o15_fy19]:[D_hts_tst_neg_vct_o15_fy19]]*vct_T[A_hts_tst_vct_4049_m_neg]</calculatedColumnFormula>
    </tableColumn>
    <tableColumn id="40" name="hts_tst_vct_o50_f_neg" dataDxfId="330">
      <calculatedColumnFormula>vct_T[[D_hts_tst_neg_vct_o15_fy19]:[D_hts_tst_neg_vct_o15_fy19]]*vct_T[A_hts_tst_vct_o50_f_neg]</calculatedColumnFormula>
    </tableColumn>
    <tableColumn id="41" name="hts_tst_vct_o50_m_neg" dataDxfId="329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AZ7" totalsRowShown="0" headerRowDxfId="328" dataDxfId="327">
  <autoFilter ref="C6:AZ7"/>
  <tableColumns count="50">
    <tableColumn id="1" name="psnu" dataDxfId="326"/>
    <tableColumn id="46" name="psnuuid" dataDxfId="325"/>
    <tableColumn id="2" name="priority" dataDxfId="324"/>
    <tableColumn id="27" name="mechid" dataDxfId="323"/>
    <tableColumn id="45" name="mechname" dataDxfId="322"/>
    <tableColumn id="4" name="type" dataDxfId="321"/>
    <tableColumn id="47" name="psnu_type" dataDxfId="320"/>
    <tableColumn id="48" name="A_hts_tst_vmmc_u1_m_pos" dataDxfId="319"/>
    <tableColumn id="50" name="A_hts_tst_vmmc_0109_m_pos" dataDxfId="318"/>
    <tableColumn id="55" name="A_hts_tst_vmmc_1014_m_pos" dataDxfId="317"/>
    <tableColumn id="80" name="A_hts_tst_vmmc_1519_m_pos" dataDxfId="316"/>
    <tableColumn id="82" name="A_hts_tst_vmmc_2024_m_pos" dataDxfId="315"/>
    <tableColumn id="84" name="A_hts_tst_vmmc_2529_m_pos" dataDxfId="314"/>
    <tableColumn id="86" name="A_hts_tst_vmmc_3034_m__pos" dataDxfId="313"/>
    <tableColumn id="88" name="A_hts_tst_vmmc_3539_m__pos" dataDxfId="312"/>
    <tableColumn id="90" name="A_hts_tst_vmmc_4049_m_pos" dataDxfId="311"/>
    <tableColumn id="92" name="A_hts_tst_vmmc_o50_m_pos" dataDxfId="310"/>
    <tableColumn id="75" name="A_hts_tst_vmmc_u1_m_neg" dataDxfId="309"/>
    <tableColumn id="76" name="A_hts_tst_vmmc_0109_m_neg" dataDxfId="308"/>
    <tableColumn id="78" name="A_hts_tst_vmmc_1014_m_neg" dataDxfId="307"/>
    <tableColumn id="57" name="A_hts_tst_vmmc_1519_m_neg" dataDxfId="306"/>
    <tableColumn id="59" name="A_hts_tst_vmmc_2024_m_neg" dataDxfId="305"/>
    <tableColumn id="61" name="A_hts_tst_vmmc_2529_m_neg" dataDxfId="304"/>
    <tableColumn id="63" name="A_hts_tst_vmmc_3034_m_neg" dataDxfId="303"/>
    <tableColumn id="65" name="A_hts_tst_vmmc_3539_m_neg" dataDxfId="302"/>
    <tableColumn id="67" name="A_hts_tst_vmmc_4049_m_neg" dataDxfId="301"/>
    <tableColumn id="69" name="A_hts_tst_vmmc_o50_m_neg" dataDxfId="300"/>
    <tableColumn id="25" name="D_vmmc_circ_fy19" dataDxfId="299"/>
    <tableColumn id="70" name="D_hts_tst_pos_vmmc_fy19" dataDxfId="298"/>
    <tableColumn id="71" name="D_hts_tst_neg_vmmc_fy19" dataDxfId="297"/>
    <tableColumn id="5" name="hts_tst_vmmc_u1_m_pos" dataDxfId="296">
      <calculatedColumnFormula>vmmc_T[[D_hts_tst_pos_vmmc_fy19]:[D_hts_tst_pos_vmmc_fy19]]*vmmc_T[A_hts_tst_vmmc_u1_m_pos]</calculatedColumnFormula>
    </tableColumn>
    <tableColumn id="6" name="hts_tst_vmmc_0109_m_pos" dataDxfId="295">
      <calculatedColumnFormula>vmmc_T[[D_hts_tst_pos_vmmc_fy19]:[D_hts_tst_pos_vmmc_fy19]]*vmmc_T[A_hts_tst_vmmc_0109_m_pos]</calculatedColumnFormula>
    </tableColumn>
    <tableColumn id="7" name="hts_tst_vmmc_1014_m_pos" dataDxfId="294">
      <calculatedColumnFormula>vmmc_T[[D_hts_tst_pos_vmmc_fy19]:[D_hts_tst_pos_vmmc_fy19]]*vmmc_T[A_hts_tst_vmmc_1014_m_pos]</calculatedColumnFormula>
    </tableColumn>
    <tableColumn id="13" name="hts_tst_vmmc_1519_m_pos" dataDxfId="293">
      <calculatedColumnFormula>vmmc_T[[D_hts_tst_pos_vmmc_fy19]:[D_hts_tst_pos_vmmc_fy19]]*vmmc_T[A_hts_tst_vmmc_1519_m_pos]</calculatedColumnFormula>
    </tableColumn>
    <tableColumn id="14" name="hts_tst_vmmc_2024_m_pos" dataDxfId="292">
      <calculatedColumnFormula>vmmc_T[[D_hts_tst_pos_vmmc_fy19]:[D_hts_tst_pos_vmmc_fy19]]*vmmc_T[A_hts_tst_vmmc_2024_m_pos]</calculatedColumnFormula>
    </tableColumn>
    <tableColumn id="16" name="hts_tst_vmmc_2529_m_pos" dataDxfId="291">
      <calculatedColumnFormula>vmmc_T[[D_hts_tst_pos_vmmc_fy19]:[D_hts_tst_pos_vmmc_fy19]]*vmmc_T[A_hts_tst_vmmc_2529_m_pos]</calculatedColumnFormula>
    </tableColumn>
    <tableColumn id="18" name="hts_tst_vmmc_3034_m_pos" dataDxfId="290">
      <calculatedColumnFormula>vmmc_T[[D_hts_tst_pos_vmmc_fy19]:[D_hts_tst_pos_vmmc_fy19]]*vmmc_T[A_hts_tst_vmmc_3034_m__pos]</calculatedColumnFormula>
    </tableColumn>
    <tableColumn id="20" name="hts_tst_vmmc_3539_m_pos" dataDxfId="289">
      <calculatedColumnFormula>vmmc_T[[D_hts_tst_pos_vmmc_fy19]:[D_hts_tst_pos_vmmc_fy19]]*vmmc_T[A_hts_tst_vmmc_3539_m__pos]</calculatedColumnFormula>
    </tableColumn>
    <tableColumn id="26" name="hts_tst_vmmc_4049_m_pos" dataDxfId="288">
      <calculatedColumnFormula>vmmc_T[[D_hts_tst_pos_vmmc_fy19]:[D_hts_tst_pos_vmmc_fy19]]*vmmc_T[A_hts_tst_vmmc_4049_m_pos]</calculatedColumnFormula>
    </tableColumn>
    <tableColumn id="29" name="hts_tst_vmmc_o50_m_pos" dataDxfId="287">
      <calculatedColumnFormula>vmmc_T[[D_hts_tst_pos_vmmc_fy19]:[D_hts_tst_pos_vmmc_fy19]]*vmmc_T[A_hts_tst_vmmc_o50_m_pos]</calculatedColumnFormula>
    </tableColumn>
    <tableColumn id="8" name="hts_tst_vmmc_u1_m_neg" dataDxfId="286">
      <calculatedColumnFormula>vmmc_T[[D_hts_tst_neg_vmmc_fy19]:[D_hts_tst_neg_vmmc_fy19]]*vmmc_T[A_hts_tst_vmmc_u1_m_neg]</calculatedColumnFormula>
    </tableColumn>
    <tableColumn id="9" name="hts_tst_vmmc_0109_unk_neg" dataDxfId="285">
      <calculatedColumnFormula>vmmc_T[[D_hts_tst_neg_vmmc_fy19]:[D_hts_tst_neg_vmmc_fy19]]*vmmc_T[A_hts_tst_vmmc_0109_m_neg]</calculatedColumnFormula>
    </tableColumn>
    <tableColumn id="11" name="hts_tst_vmmc_1014_m_neg" dataDxfId="284">
      <calculatedColumnFormula>vmmc_T[[D_hts_tst_neg_vmmc_fy19]:[D_hts_tst_neg_vmmc_fy19]]*vmmc_T[A_hts_tst_vmmc_1014_m_neg]</calculatedColumnFormula>
    </tableColumn>
    <tableColumn id="52" name="hts_tst_vmmc_1519_m_neg" dataDxfId="283">
      <calculatedColumnFormula>vmmc_T[[D_hts_tst_neg_vmmc_fy19]:[D_hts_tst_neg_vmmc_fy19]]*vmmc_T[A_hts_tst_vmmc_1519_m_neg]</calculatedColumnFormula>
    </tableColumn>
    <tableColumn id="32" name="hts_tst_vmmc_2024_m_neg" dataDxfId="282">
      <calculatedColumnFormula>vmmc_T[[D_hts_tst_neg_vmmc_fy19]:[D_hts_tst_neg_vmmc_fy19]]*vmmc_T[A_hts_tst_vmmc_2024_m_neg]</calculatedColumnFormula>
    </tableColumn>
    <tableColumn id="34" name="hts_tst_vmmc_2529_m_neg" dataDxfId="281">
      <calculatedColumnFormula>vmmc_T[[D_hts_tst_neg_vmmc_fy19]:[D_hts_tst_neg_vmmc_fy19]]*vmmc_T[A_hts_tst_vmmc_2529_m_neg]</calculatedColumnFormula>
    </tableColumn>
    <tableColumn id="36" name="hts_tst_vmmc_3034_m_neg" dataDxfId="280">
      <calculatedColumnFormula>vmmc_T[[D_hts_tst_neg_vmmc_fy19]:[D_hts_tst_neg_vmmc_fy19]]*vmmc_T[A_hts_tst_vmmc_3034_m_neg]</calculatedColumnFormula>
    </tableColumn>
    <tableColumn id="37" name="hts_tst_vmmc_3539_m_neg" dataDxfId="279">
      <calculatedColumnFormula>vmmc_T[[D_hts_tst_neg_vmmc_fy19]:[D_hts_tst_neg_vmmc_fy19]]*vmmc_T[A_hts_tst_vmmc_3539_m_neg]</calculatedColumnFormula>
    </tableColumn>
    <tableColumn id="39" name="hts_tst_vmmc_4049_m_neg" dataDxfId="278">
      <calculatedColumnFormula>vmmc_T[[D_hts_tst_neg_vmmc_fy19]:[D_hts_tst_neg_vmmc_fy19]]*vmmc_T[A_hts_tst_vmmc_4049_m_neg]</calculatedColumnFormula>
    </tableColumn>
    <tableColumn id="41" name="hts_tst_vmmc_o50_m_neg" dataDxfId="277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F7" totalsRowShown="0" headerRowDxfId="276" dataDxfId="275">
  <autoFilter ref="C6:CF7"/>
  <tableColumns count="82">
    <tableColumn id="1" name="psnu" dataDxfId="274"/>
    <tableColumn id="46" name="psnuuid" dataDxfId="273"/>
    <tableColumn id="2" name="priority" dataDxfId="272"/>
    <tableColumn id="27" name="mechid" dataDxfId="271"/>
    <tableColumn id="45" name="mechname" dataDxfId="270"/>
    <tableColumn id="4" name="type" dataDxfId="269"/>
    <tableColumn id="47" name="psnu_type" dataDxfId="268"/>
    <tableColumn id="48" name="A_hts_tst_tbclinic_u1_unk_pos" dataDxfId="267"/>
    <tableColumn id="50" name="A_hts_tst_tbclinic_0109_unk_pos" dataDxfId="266"/>
    <tableColumn id="51" name="A_hts_tst_tbclinic_1014_f_pos" dataDxfId="265"/>
    <tableColumn id="55" name="A_hts_tst_tbclinic_1014_m_pos" dataDxfId="264"/>
    <tableColumn id="79" name="A_hts_tst_tbclinic_1519_f_pos" dataDxfId="263"/>
    <tableColumn id="80" name="A_hts_tst_tbclinic_1519_m_pos" dataDxfId="262"/>
    <tableColumn id="81" name="A_hts_tst_tbclinic_2024_f_pos" dataDxfId="261"/>
    <tableColumn id="82" name="A_hts_tst_tbclinic_2024_m_pos" dataDxfId="260"/>
    <tableColumn id="83" name="A_hts_tst_tbclinic_2529_f_pos" dataDxfId="259"/>
    <tableColumn id="84" name="A_hts_tst_tbclinic_2529_m_pos" dataDxfId="258"/>
    <tableColumn id="85" name="A_hts_tst_tbclinic_3034_f_pos" dataDxfId="257"/>
    <tableColumn id="86" name="A_hts_tst_tbclinic_3034_m__pos" dataDxfId="256"/>
    <tableColumn id="87" name="A_hts_tst_tbclinic_3539_f_pos" dataDxfId="255"/>
    <tableColumn id="88" name="A_hts_tst_tbclinic_3539_m__pos" dataDxfId="254"/>
    <tableColumn id="89" name="A_hts_tst_tbclinic_4049_f_pos" dataDxfId="253"/>
    <tableColumn id="90" name="A_hts_tst_tbclinic_4049_m_pos" dataDxfId="252"/>
    <tableColumn id="91" name="A_hts_tst_tbclinic_o50_f_pos" dataDxfId="251"/>
    <tableColumn id="92" name="A_hts_tst_tbclinic_o50_m_pos" dataDxfId="250"/>
    <tableColumn id="75" name="A_hts_tst_tbclinic_u1_unk_neg" dataDxfId="249"/>
    <tableColumn id="76" name="A_hts_tst_tbclinic_0109_unk_neg" dataDxfId="248"/>
    <tableColumn id="77" name="A_hts_tst_tbclinic_1014_f_neg" dataDxfId="247"/>
    <tableColumn id="78" name="A_hts_tst_tbclinic_1014_m_neg" dataDxfId="246"/>
    <tableColumn id="56" name="A_hts_tst_tbclinic_1519_f_neg" dataDxfId="245"/>
    <tableColumn id="57" name="A_hts_tst_tbclinic_1519_m_neg" dataDxfId="244"/>
    <tableColumn id="58" name="A_hts_tst_tbclinic_2024_f_neg" dataDxfId="243"/>
    <tableColumn id="59" name="A_hts_tst_tbclinic_2024_m_neg" dataDxfId="242"/>
    <tableColumn id="60" name="A_hts_tst_tbclinic_2529_f_neg" dataDxfId="241"/>
    <tableColumn id="61" name="A_hts_tst_tbclinic_2529_m_neg" dataDxfId="240"/>
    <tableColumn id="62" name="A_hts_tst_tbclinic_3034_f_neg" dataDxfId="239"/>
    <tableColumn id="63" name="A_hts_tst_tbclinic_3034_m_neg" dataDxfId="238"/>
    <tableColumn id="64" name="A_hts_tst_tbclinic_3539_f_neg" dataDxfId="237"/>
    <tableColumn id="65" name="A_hts_tst_tbclinic_3539_m_neg" dataDxfId="236"/>
    <tableColumn id="66" name="A_hts_tst_tbclinic_4049_f_neg" dataDxfId="235"/>
    <tableColumn id="67" name="A_hts_tst_tbclinic_4049_m_neg" dataDxfId="234"/>
    <tableColumn id="68" name="A_hts_tst_tbclinic_o50_f_neg" dataDxfId="233"/>
    <tableColumn id="69" name="A_hts_tst_tbclinic_o50_m_neg" dataDxfId="232"/>
    <tableColumn id="25" name="D_hts_tst_tbclinic_fy19" dataDxfId="231"/>
    <tableColumn id="70" name="D_tb_stat_newpos_fy19" dataDxfId="230"/>
    <tableColumn id="71" name="D_tb_stat_newneg_fy19" dataDxfId="229"/>
    <tableColumn id="5" name="hts_tst_tbclinic_u1_unk_pos" dataDxfId="228">
      <calculatedColumnFormula>tbclinic_T[[D_tb_stat_newpos_fy19]:[D_tb_stat_newpos_fy19]]*tbclinic_T[A_hts_tst_tbclinic_u1_unk_pos]</calculatedColumnFormula>
    </tableColumn>
    <tableColumn id="6" name="hts_tst_tbclinic_0109_unk_pos" dataDxfId="227">
      <calculatedColumnFormula>tbclinic_T[[D_tb_stat_newpos_fy19]:[D_tb_stat_newpos_fy19]]*tbclinic_T[A_hts_tst_tbclinic_0109_unk_pos]</calculatedColumnFormula>
    </tableColumn>
    <tableColumn id="22" name="hts_tst_tbclinic_1014_f_pos" dataDxfId="226">
      <calculatedColumnFormula>tbclinic_T[[D_tb_stat_newpos_fy19]:[D_tb_stat_newpos_fy19]]*tbclinic_T[A_hts_tst_tbclinic_1014_f_pos]</calculatedColumnFormula>
    </tableColumn>
    <tableColumn id="7" name="hts_tst_tbclinic_1014_m_pos" dataDxfId="225">
      <calculatedColumnFormula>tbclinic_T[[D_tb_stat_newpos_fy19]:[D_tb_stat_newpos_fy19]]*tbclinic_T[A_hts_tst_tbclinic_1014_m_pos]</calculatedColumnFormula>
    </tableColumn>
    <tableColumn id="12" name="hts_tst_tbclinic_1519_f_pos" dataDxfId="224">
      <calculatedColumnFormula>tbclinic_T[[D_tb_stat_newpos_fy19]:[D_tb_stat_newpos_fy19]]*tbclinic_T[A_hts_tst_tbclinic_1519_f_pos]</calculatedColumnFormula>
    </tableColumn>
    <tableColumn id="13" name="hts_tst_tbclinic_1519_m_pos" dataDxfId="223">
      <calculatedColumnFormula>tbclinic_T[[D_tb_stat_newpos_fy19]:[D_tb_stat_newpos_fy19]]*tbclinic_T[A_hts_tst_tbclinic_1519_m_pos]</calculatedColumnFormula>
    </tableColumn>
    <tableColumn id="54" name="hts_tst_tbclinic_2024_f_pos" dataDxfId="222">
      <calculatedColumnFormula>tbclinic_T[[D_tb_stat_newpos_fy19]:[D_tb_stat_newpos_fy19]]*tbclinic_T[A_hts_tst_tbclinic_2024_f_pos]</calculatedColumnFormula>
    </tableColumn>
    <tableColumn id="14" name="hts_tst_tbclinic_2024_m_pos" dataDxfId="221">
      <calculatedColumnFormula>tbclinic_T[[D_tb_stat_newpos_fy19]:[D_tb_stat_newpos_fy19]]*tbclinic_T[A_hts_tst_tbclinic_2024_m_pos]</calculatedColumnFormula>
    </tableColumn>
    <tableColumn id="15" name="hts_tst_tbclinic_2529_f_pos" dataDxfId="220">
      <calculatedColumnFormula>tbclinic_T[[D_tb_stat_newpos_fy19]:[D_tb_stat_newpos_fy19]]*tbclinic_T[A_hts_tst_tbclinic_2529_f_pos]</calculatedColumnFormula>
    </tableColumn>
    <tableColumn id="16" name="hts_tst_tbclinic_2529_m_pos" dataDxfId="219">
      <calculatedColumnFormula>tbclinic_T[[D_tb_stat_newpos_fy19]:[D_tb_stat_newpos_fy19]]*tbclinic_T[A_hts_tst_tbclinic_2529_m_pos]</calculatedColumnFormula>
    </tableColumn>
    <tableColumn id="17" name="hts_tst_tbclinic_3034_f_pos" dataDxfId="218">
      <calculatedColumnFormula>tbclinic_T[[D_tb_stat_newpos_fy19]:[D_tb_stat_newpos_fy19]]*tbclinic_T[A_hts_tst_tbclinic_3034_f_pos]</calculatedColumnFormula>
    </tableColumn>
    <tableColumn id="18" name="hts_tst_tbclinic_3034_m_pos" dataDxfId="217">
      <calculatedColumnFormula>tbclinic_T[[D_tb_stat_newpos_fy19]:[D_tb_stat_newpos_fy19]]*tbclinic_T[A_hts_tst_tbclinic_3034_m__pos]</calculatedColumnFormula>
    </tableColumn>
    <tableColumn id="19" name="hts_tst_tbclinic_3539_f_pos" dataDxfId="216">
      <calculatedColumnFormula>tbclinic_T[[D_tb_stat_newpos_fy19]:[D_tb_stat_newpos_fy19]]*tbclinic_T[A_hts_tst_tbclinic_3539_f_pos]</calculatedColumnFormula>
    </tableColumn>
    <tableColumn id="20" name="hts_tst_tbclinic_3539_m_pos" dataDxfId="215">
      <calculatedColumnFormula>tbclinic_T[[D_tb_stat_newpos_fy19]:[D_tb_stat_newpos_fy19]]*tbclinic_T[A_hts_tst_tbclinic_3539_m__pos]</calculatedColumnFormula>
    </tableColumn>
    <tableColumn id="21" name="hts_tst_tbclinic_4049_f_pos" dataDxfId="214">
      <calculatedColumnFormula>tbclinic_T[[D_tb_stat_newpos_fy19]:[D_tb_stat_newpos_fy19]]*tbclinic_T[A_hts_tst_tbclinic_4049_f_pos]</calculatedColumnFormula>
    </tableColumn>
    <tableColumn id="26" name="hts_tst_tbclinic_4049_m_pos" dataDxfId="213">
      <calculatedColumnFormula>tbclinic_T[[D_tb_stat_newpos_fy19]:[D_tb_stat_newpos_fy19]]*tbclinic_T[A_hts_tst_tbclinic_4049_m_pos]</calculatedColumnFormula>
    </tableColumn>
    <tableColumn id="28" name="hts_tst_tbclinic_o50_f_pos" dataDxfId="212">
      <calculatedColumnFormula>tbclinic_T[[D_tb_stat_newpos_fy19]:[D_tb_stat_newpos_fy19]]*tbclinic_T[A_hts_tst_tbclinic_o50_f_pos]</calculatedColumnFormula>
    </tableColumn>
    <tableColumn id="29" name="hts_tst_tbclinic_o50_m_pos" dataDxfId="211">
      <calculatedColumnFormula>tbclinic_T[[D_tb_stat_newpos_fy19]:[D_tb_stat_newpos_fy19]]*tbclinic_T[A_hts_tst_tbclinic_o50_m_pos]</calculatedColumnFormula>
    </tableColumn>
    <tableColumn id="8" name="hts_tst_tbclinic_u1_unk_neg" dataDxfId="210">
      <calculatedColumnFormula>tbclinic_T[[D_tb_stat_newneg_fy19]:[D_tb_stat_newneg_fy19]]*tbclinic_T[A_hts_tst_tbclinic_u1_unk_neg]</calculatedColumnFormula>
    </tableColumn>
    <tableColumn id="9" name="hts_tst_tbclinic_0109_unk_neg" dataDxfId="209">
      <calculatedColumnFormula>tbclinic_T[[D_tb_stat_newneg_fy19]:[D_tb_stat_newneg_fy19]]*tbclinic_T[A_hts_tst_tbclinic_0109_unk_neg]</calculatedColumnFormula>
    </tableColumn>
    <tableColumn id="10" name="hts_tst_tbclinic_1014_f_neg" dataDxfId="208">
      <calculatedColumnFormula>tbclinic_T[[D_tb_stat_newneg_fy19]:[D_tb_stat_newneg_fy19]]*tbclinic_T[A_hts_tst_tbclinic_1014_f_neg]</calculatedColumnFormula>
    </tableColumn>
    <tableColumn id="11" name="hts_tst_tbclinic_1014_m_neg" dataDxfId="207">
      <calculatedColumnFormula>tbclinic_T[[D_tb_stat_newneg_fy19]:[D_tb_stat_newneg_fy19]]*tbclinic_T[A_hts_tst_tbclinic_1014_m_neg]</calculatedColumnFormula>
    </tableColumn>
    <tableColumn id="30" name="hts_tst_tbclinic_1519_f_neg" dataDxfId="206">
      <calculatedColumnFormula>tbclinic_T[[D_tb_stat_newneg_fy19]:[D_tb_stat_newneg_fy19]]*tbclinic_T[A_hts_tst_tbclinic_1519_f_neg]</calculatedColumnFormula>
    </tableColumn>
    <tableColumn id="52" name="hts_tst_tbclinic_1519_m_neg" dataDxfId="205">
      <calculatedColumnFormula>tbclinic_T[[D_tb_stat_newneg_fy19]:[D_tb_stat_newneg_fy19]]*tbclinic_T[A_hts_tst_tbclinic_1519_m_neg]</calculatedColumnFormula>
    </tableColumn>
    <tableColumn id="31" name="hts_tst_tbclinic_2024_f_neg" dataDxfId="204">
      <calculatedColumnFormula>tbclinic_T[[D_tb_stat_newneg_fy19]:[D_tb_stat_newneg_fy19]]*tbclinic_T[A_hts_tst_tbclinic_2024_f_neg]</calculatedColumnFormula>
    </tableColumn>
    <tableColumn id="32" name="hts_tst_tbclinic_2024_m_neg" dataDxfId="203">
      <calculatedColumnFormula>tbclinic_T[[D_tb_stat_newneg_fy19]:[D_tb_stat_newneg_fy19]]*tbclinic_T[A_hts_tst_tbclinic_2024_m_neg]</calculatedColumnFormula>
    </tableColumn>
    <tableColumn id="33" name="hts_tst_tbclinic_2529_f_neg" dataDxfId="202">
      <calculatedColumnFormula>tbclinic_T[[D_tb_stat_newneg_fy19]:[D_tb_stat_newneg_fy19]]*tbclinic_T[A_hts_tst_tbclinic_2529_f_neg]</calculatedColumnFormula>
    </tableColumn>
    <tableColumn id="34" name="hts_tst_tbclinic_2529_m_neg" dataDxfId="201">
      <calculatedColumnFormula>tbclinic_T[[D_tb_stat_newneg_fy19]:[D_tb_stat_newneg_fy19]]*tbclinic_T[A_hts_tst_tbclinic_2529_m_neg]</calculatedColumnFormula>
    </tableColumn>
    <tableColumn id="35" name="hts_tst_tbclinic_3034_f_neg" dataDxfId="200">
      <calculatedColumnFormula>tbclinic_T[[D_tb_stat_newneg_fy19]:[D_tb_stat_newneg_fy19]]*tbclinic_T[A_hts_tst_tbclinic_3034_f_neg]</calculatedColumnFormula>
    </tableColumn>
    <tableColumn id="36" name="hts_tst_tbclinic_3034_m_neg" dataDxfId="199">
      <calculatedColumnFormula>tbclinic_T[[D_tb_stat_newneg_fy19]:[D_tb_stat_newneg_fy19]]*tbclinic_T[A_hts_tst_tbclinic_3034_m_neg]</calculatedColumnFormula>
    </tableColumn>
    <tableColumn id="53" name="hts_tst_tbclinic_3539_f_neg" dataDxfId="198">
      <calculatedColumnFormula>tbclinic_T[[D_tb_stat_newneg_fy19]:[D_tb_stat_newneg_fy19]]*tbclinic_T[A_hts_tst_tbclinic_3539_f_neg]</calculatedColumnFormula>
    </tableColumn>
    <tableColumn id="37" name="hts_tst_tbclinic_3539_m_neg" dataDxfId="197">
      <calculatedColumnFormula>tbclinic_T[[D_tb_stat_newneg_fy19]:[D_tb_stat_newneg_fy19]]*tbclinic_T[A_hts_tst_tbclinic_3539_m_neg]</calculatedColumnFormula>
    </tableColumn>
    <tableColumn id="38" name="hts_tst_tbclinic_4049_f_neg" dataDxfId="196">
      <calculatedColumnFormula>tbclinic_T[[D_tb_stat_newneg_fy19]:[D_tb_stat_newneg_fy19]]*tbclinic_T[A_hts_tst_tbclinic_4049_f_neg]</calculatedColumnFormula>
    </tableColumn>
    <tableColumn id="39" name="hts_tst_tbclinic_4049_m_neg" dataDxfId="195">
      <calculatedColumnFormula>tbclinic_T[[D_tb_stat_newneg_fy19]:[D_tb_stat_newneg_fy19]]*tbclinic_T[A_hts_tst_tbclinic_4049_m_neg]</calculatedColumnFormula>
    </tableColumn>
    <tableColumn id="40" name="hts_tst_tbclinic_o50_f_neg" dataDxfId="194">
      <calculatedColumnFormula>tbclinic_T[[D_tb_stat_newneg_fy19]:[D_tb_stat_newneg_fy19]]*tbclinic_T[A_hts_tst_tbclinic_o50_f_neg]</calculatedColumnFormula>
    </tableColumn>
    <tableColumn id="41" name="hts_tst_tbclinic_o50_m_neg" dataDxfId="19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AZ7" totalsRowShown="0" headerRowDxfId="192" dataDxfId="191">
  <autoFilter ref="C6:AZ7"/>
  <tableColumns count="50">
    <tableColumn id="1" name="psnu" dataDxfId="190"/>
    <tableColumn id="46" name="psnuuid" dataDxfId="189"/>
    <tableColumn id="2" name="priority" dataDxfId="188"/>
    <tableColumn id="27" name="mechid" dataDxfId="187"/>
    <tableColumn id="45" name="mechname" dataDxfId="186"/>
    <tableColumn id="4" name="type" dataDxfId="185"/>
    <tableColumn id="47" name="psnu_type" dataDxfId="184"/>
    <tableColumn id="48" name="A_hts_tst_pmtctanc_u1_f_pos" dataDxfId="183"/>
    <tableColumn id="50" name="A_hts_tst_pmtctanc_0109_f_pos" dataDxfId="182"/>
    <tableColumn id="51" name="A_hts_tst_pmtctanc_1014_f_pos" dataDxfId="181"/>
    <tableColumn id="79" name="A_hts_tst_pmtctanc_1519_f_pos" dataDxfId="180"/>
    <tableColumn id="81" name="A_hts_tst_pmtctanc_2024_f_pos" dataDxfId="179"/>
    <tableColumn id="83" name="A_hts_tst_pmtctanc_2529_f_pos" dataDxfId="178"/>
    <tableColumn id="85" name="A_hts_tst_pmtctanc_3034_f_pos" dataDxfId="177"/>
    <tableColumn id="87" name="A_hts_tst_pmtctanc_3539_f_pos" dataDxfId="176"/>
    <tableColumn id="89" name="A_hts_tst_pmtctanc_4049_f_pos" dataDxfId="175"/>
    <tableColumn id="91" name="A_hts_tst_pmtctanc_o50_f_pos" dataDxfId="174"/>
    <tableColumn id="75" name="A_hts_tst_pmtctanc_u1_f_neg" dataDxfId="173"/>
    <tableColumn id="76" name="A_hts_tst_pmtctanc_0109_f_neg" dataDxfId="172"/>
    <tableColumn id="77" name="A_hts_tst_pmtctanc_1014_f_neg" dataDxfId="171"/>
    <tableColumn id="56" name="A_hts_tst_pmtctanc_1519_f_neg" dataDxfId="170"/>
    <tableColumn id="58" name="A_hts_tst_pmtctanc_2024_f_neg" dataDxfId="169"/>
    <tableColumn id="60" name="A_hts_tst_pmtctanc_2529_f_neg" dataDxfId="168"/>
    <tableColumn id="62" name="A_hts_tst_pmtctanc_3034_f_neg" dataDxfId="167"/>
    <tableColumn id="64" name="A_hts_tst_pmtctanc_3539_f_neg" dataDxfId="166"/>
    <tableColumn id="66" name="A_hts_tst_pmtctanc_4049_f_neg" dataDxfId="165"/>
    <tableColumn id="68" name="A_hts_tst_pmtctanc_o50_f_neg" dataDxfId="164"/>
    <tableColumn id="25" name="D_hts_tst_pmtctanc_fy19" dataDxfId="163"/>
    <tableColumn id="70" name="D_pmtct_stat_newpos_fy19" dataDxfId="162"/>
    <tableColumn id="93" name="D_pmtct_stat_newneg_fy19" dataDxfId="161"/>
    <tableColumn id="5" name="hts_tst_pmtctanc_u1_f_pos" dataDxfId="160">
      <calculatedColumnFormula>pmtct_T[[D_pmtct_stat_newpos_fy19]:[D_pmtct_stat_newpos_fy19]]*pmtct_T[A_hts_tst_pmtctanc_u1_f_pos]</calculatedColumnFormula>
    </tableColumn>
    <tableColumn id="6" name="hts_tst_pmtctanc_0109_f_pos" dataDxfId="159">
      <calculatedColumnFormula>pmtct_T[[D_pmtct_stat_newpos_fy19]:[D_pmtct_stat_newpos_fy19]]*pmtct_T[A_hts_tst_pmtctanc_0109_f_pos]</calculatedColumnFormula>
    </tableColumn>
    <tableColumn id="22" name="hts_tst_pmtctanc_1014_f_pos" dataDxfId="158">
      <calculatedColumnFormula>pmtct_T[[D_pmtct_stat_newpos_fy19]:[D_pmtct_stat_newpos_fy19]]*pmtct_T[A_hts_tst_pmtctanc_1014_f_pos]</calculatedColumnFormula>
    </tableColumn>
    <tableColumn id="12" name="hts_tst_pmtctanc_1519_f_pos" dataDxfId="157">
      <calculatedColumnFormula>pmtct_T[[D_pmtct_stat_newpos_fy19]:[D_pmtct_stat_newpos_fy19]]*pmtct_T[A_hts_tst_pmtctanc_1519_f_pos]</calculatedColumnFormula>
    </tableColumn>
    <tableColumn id="54" name="hts_tst_pmtctanc_2024_f_pos" dataDxfId="156">
      <calculatedColumnFormula>pmtct_T[[D_pmtct_stat_newpos_fy19]:[D_pmtct_stat_newpos_fy19]]*pmtct_T[A_hts_tst_pmtctanc_2024_f_pos]</calculatedColumnFormula>
    </tableColumn>
    <tableColumn id="15" name="hts_tst_pmtctanc_2529_f_pos" dataDxfId="155">
      <calculatedColumnFormula>pmtct_T[[D_pmtct_stat_newpos_fy19]:[D_pmtct_stat_newpos_fy19]]*pmtct_T[A_hts_tst_pmtctanc_2529_f_pos]</calculatedColumnFormula>
    </tableColumn>
    <tableColumn id="17" name="hts_tst_pmtctanc_3034_f_pos" dataDxfId="154">
      <calculatedColumnFormula>pmtct_T[[D_pmtct_stat_newpos_fy19]:[D_pmtct_stat_newpos_fy19]]*pmtct_T[A_hts_tst_pmtctanc_3034_f_pos]</calculatedColumnFormula>
    </tableColumn>
    <tableColumn id="19" name="hts_tst_pmtctanc_3539_f_pos" dataDxfId="153">
      <calculatedColumnFormula>pmtct_T[[D_pmtct_stat_newpos_fy19]:[D_pmtct_stat_newpos_fy19]]*pmtct_T[A_hts_tst_pmtctanc_3539_f_pos]</calculatedColumnFormula>
    </tableColumn>
    <tableColumn id="21" name="hts_tst_pmtctanc_4049_f_pos" dataDxfId="152">
      <calculatedColumnFormula>pmtct_T[[D_pmtct_stat_newpos_fy19]:[D_pmtct_stat_newpos_fy19]]*pmtct_T[A_hts_tst_pmtctanc_4049_f_pos]</calculatedColumnFormula>
    </tableColumn>
    <tableColumn id="28" name="hts_tst_pmtctanc_o50_f_pos" dataDxfId="151">
      <calculatedColumnFormula>pmtct_T[[D_pmtct_stat_newpos_fy19]:[D_pmtct_stat_newpos_fy19]]*pmtct_T[A_hts_tst_pmtctanc_o50_f_pos]</calculatedColumnFormula>
    </tableColumn>
    <tableColumn id="8" name="hts_tst_pmtctanc_u1_f_neg" dataDxfId="150">
      <calculatedColumnFormula>pmtct_T[[D_pmtct_stat_newneg_fy19]:[D_pmtct_stat_newneg_fy19]]*pmtct_T[A_hts_tst_pmtctanc_u1_f_neg]</calculatedColumnFormula>
    </tableColumn>
    <tableColumn id="9" name="hts_tst_pmtctanc_0109_f_neg" dataDxfId="149">
      <calculatedColumnFormula>pmtct_T[[D_pmtct_stat_newneg_fy19]:[D_pmtct_stat_newneg_fy19]]*pmtct_T[A_hts_tst_pmtctanc_0109_f_neg]</calculatedColumnFormula>
    </tableColumn>
    <tableColumn id="10" name="hts_tst_pmtctanc_1014_f_neg" dataDxfId="148">
      <calculatedColumnFormula>pmtct_T[[D_pmtct_stat_newneg_fy19]:[D_pmtct_stat_newneg_fy19]]*pmtct_T[A_hts_tst_pmtctanc_1014_f_neg]</calculatedColumnFormula>
    </tableColumn>
    <tableColumn id="30" name="hts_tst_pmtctanc_1519_f_neg" dataDxfId="147">
      <calculatedColumnFormula>pmtct_T[[D_pmtct_stat_newneg_fy19]:[D_pmtct_stat_newneg_fy19]]*pmtct_T[A_hts_tst_pmtctanc_1519_f_neg]</calculatedColumnFormula>
    </tableColumn>
    <tableColumn id="31" name="hts_tst_pmtctanc_2024_f_neg" dataDxfId="146">
      <calculatedColumnFormula>pmtct_T[[D_pmtct_stat_newneg_fy19]:[D_pmtct_stat_newneg_fy19]]*pmtct_T[A_hts_tst_pmtctanc_2024_f_neg]</calculatedColumnFormula>
    </tableColumn>
    <tableColumn id="33" name="hts_tst_pmtctanc_2529_f_neg" dataDxfId="145">
      <calculatedColumnFormula>pmtct_T[[D_pmtct_stat_newneg_fy19]:[D_pmtct_stat_newneg_fy19]]*pmtct_T[A_hts_tst_pmtctanc_2529_f_neg]</calculatedColumnFormula>
    </tableColumn>
    <tableColumn id="35" name="hts_tst_pmtctanc_3034_f_neg" dataDxfId="144">
      <calculatedColumnFormula>pmtct_T[[D_pmtct_stat_newneg_fy19]:[D_pmtct_stat_newneg_fy19]]*pmtct_T[A_hts_tst_pmtctanc_3034_f_neg]</calculatedColumnFormula>
    </tableColumn>
    <tableColumn id="53" name="hts_tst_pmtctanc_3539_f_neg" dataDxfId="143">
      <calculatedColumnFormula>pmtct_T[[D_pmtct_stat_newneg_fy19]:[D_pmtct_stat_newneg_fy19]]*pmtct_T[A_hts_tst_pmtctanc_3539_f_neg]</calculatedColumnFormula>
    </tableColumn>
    <tableColumn id="38" name="hts_tst_pmtctanc_4049_f_neg" dataDxfId="142">
      <calculatedColumnFormula>pmtct_T[[D_pmtct_stat_newneg_fy19]:[D_pmtct_stat_newneg_fy19]]*pmtct_T[A_hts_tst_pmtctanc_4049_f_neg]</calculatedColumnFormula>
    </tableColumn>
    <tableColumn id="40" name="hts_tst_pmtctanc_o50_f_neg" dataDxfId="141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0" dataDxfId="139">
  <autoFilter ref="C6:L7"/>
  <tableColumns count="10">
    <tableColumn id="1" name="psnu" dataDxfId="138"/>
    <tableColumn id="46" name="psnuuid" dataDxfId="137"/>
    <tableColumn id="2" name="priority" dataDxfId="136"/>
    <tableColumn id="27" name="mechid" dataDxfId="135"/>
    <tableColumn id="45" name="mechname" dataDxfId="134"/>
    <tableColumn id="4" name="type" dataDxfId="133"/>
    <tableColumn id="47" name="psnu_type" dataDxfId="132"/>
    <tableColumn id="25" name="D_hts_tst_pediatric_u15_fy19" dataDxfId="131"/>
    <tableColumn id="70" name="D_hts_tst_pos_pediatric_u15_fy19" dataDxfId="130"/>
    <tableColumn id="71" name="D_hts_tst_neg_pediatric_u15_fy19" dataDxfId="129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28" dataDxfId="127">
  <autoFilter ref="C6:L7"/>
  <tableColumns count="10">
    <tableColumn id="1" name="psnu" dataDxfId="126"/>
    <tableColumn id="46" name="psnuuid" dataDxfId="125"/>
    <tableColumn id="2" name="priority" dataDxfId="124"/>
    <tableColumn id="27" name="mechid" dataDxfId="123"/>
    <tableColumn id="45" name="mechname" dataDxfId="122"/>
    <tableColumn id="4" name="type" dataDxfId="121"/>
    <tableColumn id="47" name="psnu_type" dataDxfId="120"/>
    <tableColumn id="25" name="D_hts_tst_malnutrition_u15_fy19" dataDxfId="119"/>
    <tableColumn id="70" name="D_hts_tst_pos_malnutrition_u15_fy19" dataDxfId="118"/>
    <tableColumn id="71" name="D_hts_tst_neg_malnutrition_u15_fy19" dataDxfId="117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I7" totalsRowShown="0" headerRowDxfId="116" dataDxfId="115">
  <autoFilter ref="C6:CI7"/>
  <tableColumns count="85">
    <tableColumn id="1" name="psnu" dataDxfId="114"/>
    <tableColumn id="46" name="psnuuid" dataDxfId="113"/>
    <tableColumn id="2" name="priority" dataDxfId="112"/>
    <tableColumn id="27" name="mechid" dataDxfId="111"/>
    <tableColumn id="45" name="mechname" dataDxfId="110"/>
    <tableColumn id="4" name="type" dataDxfId="109"/>
    <tableColumn id="47" name="psnu_type" dataDxfId="108"/>
    <tableColumn id="48" name="A_hts_tst_otherpitc_u1_unk_pos" dataDxfId="107"/>
    <tableColumn id="50" name="A_hts_tst_otherpitc_0109_unk_pos" dataDxfId="106"/>
    <tableColumn id="51" name="A_hts_tst_otherpitc_1014_f_pos" dataDxfId="105"/>
    <tableColumn id="55" name="A_hts_tst_otherpitc_1014_m_pos" dataDxfId="104"/>
    <tableColumn id="75" name="A_hts_tst_otherpitc_u1_unk_neg" dataDxfId="103"/>
    <tableColumn id="76" name="A_hts_tst_otherpitc_0109_unk_neg" dataDxfId="102"/>
    <tableColumn id="77" name="A_hts_tst_otherpitc_1014_f_neg" dataDxfId="101"/>
    <tableColumn id="78" name="A_hts_tst_otherpitc_1014_m_neg" dataDxfId="100"/>
    <tableColumn id="79" name="A_hts_tst_otherpitc_1519_f_pos" dataDxfId="99"/>
    <tableColumn id="80" name="A_hts_tst_otherpitc_1519_m_pos" dataDxfId="98"/>
    <tableColumn id="81" name="A_hts_tst_otherpitc_2024_f_pos" dataDxfId="97"/>
    <tableColumn id="82" name="A_hts_tst_otherpitc_2024_m_pos" dataDxfId="96"/>
    <tableColumn id="83" name="A_hts_tst_otherpitc_2529_f_pos" dataDxfId="95"/>
    <tableColumn id="84" name="A_hts_tst_otherpitc_2529_m_pos" dataDxfId="94"/>
    <tableColumn id="85" name="A_hts_tst_otherpitc_3034_f_pos" dataDxfId="93"/>
    <tableColumn id="86" name="A_hts_tst_otherpitc_3034_m__pos" dataDxfId="92"/>
    <tableColumn id="87" name="A_hts_tst_otherpitc_3539_f_pos" dataDxfId="91"/>
    <tableColumn id="88" name="A_hts_tst_otherpitc_3539_m__pos" dataDxfId="90"/>
    <tableColumn id="89" name="A_hts_tst_otherpitc_4049_f_pos" dataDxfId="89"/>
    <tableColumn id="90" name="A_hts_tst_otherpitc_4049_m_pos" dataDxfId="88"/>
    <tableColumn id="91" name="A_hts_tst_otherpitc_o50_f_pos" dataDxfId="87"/>
    <tableColumn id="92" name="A_hts_tst_otherpitc_o50_m_pos" dataDxfId="86"/>
    <tableColumn id="56" name="A_hts_tst_otherpitc_1519_f_neg" dataDxfId="85"/>
    <tableColumn id="57" name="A_hts_tst_otherpitc_1519_m_neg" dataDxfId="84"/>
    <tableColumn id="58" name="A_hts_tst_otherpitc_2024_f_neg" dataDxfId="83"/>
    <tableColumn id="59" name="A_hts_tst_otherpitc_2024_m_neg" dataDxfId="82"/>
    <tableColumn id="60" name="A_hts_tst_otherpitc_2529_f_neg" dataDxfId="81"/>
    <tableColumn id="61" name="A_hts_tst_otherpitc_2529_m_neg" dataDxfId="80"/>
    <tableColumn id="62" name="A_hts_tst_otherpitc_3034_f_neg" dataDxfId="79"/>
    <tableColumn id="63" name="A_hts_tst_otherpitc_3034_m_neg" dataDxfId="78"/>
    <tableColumn id="64" name="A_hts_tst_otherpitc_3539_f_neg" dataDxfId="77"/>
    <tableColumn id="65" name="A_hts_tst_otherpitc_3539_m_neg" dataDxfId="76"/>
    <tableColumn id="66" name="A_hts_tst_otherpitc_4049_f_neg" dataDxfId="75"/>
    <tableColumn id="67" name="A_hts_tst_otherpitc_4049_m_neg" dataDxfId="74"/>
    <tableColumn id="68" name="A_hts_tst_otherpitc_o50_f_neg" dataDxfId="73"/>
    <tableColumn id="69" name="A_hts_tst_otherpitc_o50_m_neg" dataDxfId="72"/>
    <tableColumn id="25" name="D_hts_tst_otherpitc_u15_fy19" dataDxfId="71"/>
    <tableColumn id="70" name="D_hts_tst_pos_otherpitc_u15_fy19" dataDxfId="70"/>
    <tableColumn id="71" name="D_hts_tst_neg_otherpitc_u15_fy19" dataDxfId="69"/>
    <tableColumn id="72" name="D_hts_tst_otherpitc_o15_fy19" dataDxfId="68"/>
    <tableColumn id="73" name="D_hts_tst_pos_otherpitc_o15_fy19" dataDxfId="67"/>
    <tableColumn id="74" name="D_hts_tst_neg_otherpitc_o15_fy19" dataDxfId="66"/>
    <tableColumn id="5" name="hts_tst_otherpitc_u1_unk_pos" dataDxfId="65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4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3">
      <calculatedColumnFormula>otherpitc_T[[D_hts_tst_pos_otherpitc_u15_fy19]:[D_hts_tst_pos_otherpitc_u15_fy19]]*otherpitc_T[A_hts_tst_otherpitc_1014_f_pos]</calculatedColumnFormula>
    </tableColumn>
    <tableColumn id="7" name="hts_tst_otherpitc_1014_m_pos" dataDxfId="62">
      <calculatedColumnFormula>otherpitc_T[[D_hts_tst_pos_otherpitc_u15_fy19]:[D_hts_tst_pos_otherpitc_u15_fy19]]*otherpitc_T[A_hts_tst_otherpitc_1014_m_pos]</calculatedColumnFormula>
    </tableColumn>
    <tableColumn id="8" name="hts_tst_otherpitc_u1_unk_neg" dataDxfId="61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0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59">
      <calculatedColumnFormula>otherpitc_T[[D_hts_tst_neg_otherpitc_u15_fy19]:[D_hts_tst_neg_otherpitc_u15_fy19]]*otherpitc_T[A_hts_tst_otherpitc_1014_f_neg]</calculatedColumnFormula>
    </tableColumn>
    <tableColumn id="11" name="hts_tst_otherpitc_1014_m_neg" dataDxfId="58">
      <calculatedColumnFormula>otherpitc_T[[D_hts_tst_neg_otherpitc_u15_fy19]:[D_hts_tst_neg_otherpitc_u15_fy19]]*otherpitc_T[A_hts_tst_otherpitc_1014_m_neg]</calculatedColumnFormula>
    </tableColumn>
    <tableColumn id="12" name="hts_tst_otherpitc_1519_f_pos" dataDxfId="57">
      <calculatedColumnFormula>otherpitc_T[[D_hts_tst_pos_otherpitc_o15_fy19]:[D_hts_tst_pos_otherpitc_o15_fy19]]*otherpitc_T[A_hts_tst_otherpitc_1519_f_pos]</calculatedColumnFormula>
    </tableColumn>
    <tableColumn id="13" name="hts_tst_otherpitc_1519_m_pos" dataDxfId="56">
      <calculatedColumnFormula>otherpitc_T[[D_hts_tst_pos_otherpitc_o15_fy19]:[D_hts_tst_pos_otherpitc_o15_fy19]]*otherpitc_T[A_hts_tst_otherpitc_1519_m_pos]</calculatedColumnFormula>
    </tableColumn>
    <tableColumn id="54" name="hts_tst_otherpitc_2024_f_pos" dataDxfId="55">
      <calculatedColumnFormula>otherpitc_T[[D_hts_tst_pos_otherpitc_o15_fy19]:[D_hts_tst_pos_otherpitc_o15_fy19]]*otherpitc_T[A_hts_tst_otherpitc_2024_f_pos]</calculatedColumnFormula>
    </tableColumn>
    <tableColumn id="14" name="hts_tst_otherpitc_2024_m_pos" dataDxfId="54">
      <calculatedColumnFormula>otherpitc_T[[D_hts_tst_pos_otherpitc_o15_fy19]:[D_hts_tst_pos_otherpitc_o15_fy19]]*otherpitc_T[A_hts_tst_otherpitc_2024_m_pos]</calculatedColumnFormula>
    </tableColumn>
    <tableColumn id="15" name="hts_tst_otherpitc_2529_f_pos" dataDxfId="53">
      <calculatedColumnFormula>otherpitc_T[[D_hts_tst_pos_otherpitc_o15_fy19]:[D_hts_tst_pos_otherpitc_o15_fy19]]*otherpitc_T[A_hts_tst_otherpitc_2529_f_pos]</calculatedColumnFormula>
    </tableColumn>
    <tableColumn id="16" name="hts_tst_otherpitc_2529_m_pos" dataDxfId="52">
      <calculatedColumnFormula>otherpitc_T[[D_hts_tst_pos_otherpitc_o15_fy19]:[D_hts_tst_pos_otherpitc_o15_fy19]]*otherpitc_T[A_hts_tst_otherpitc_2529_m_pos]</calculatedColumnFormula>
    </tableColumn>
    <tableColumn id="17" name="hts_tst_otherpitc_3034_f_pos" dataDxfId="51">
      <calculatedColumnFormula>otherpitc_T[[D_hts_tst_pos_otherpitc_o15_fy19]:[D_hts_tst_pos_otherpitc_o15_fy19]]*otherpitc_T[A_hts_tst_otherpitc_3034_f_pos]</calculatedColumnFormula>
    </tableColumn>
    <tableColumn id="18" name="hts_tst_otherpitc_3034_m_pos" dataDxfId="50">
      <calculatedColumnFormula>otherpitc_T[[D_hts_tst_pos_otherpitc_o15_fy19]:[D_hts_tst_pos_otherpitc_o15_fy19]]*otherpitc_T[A_hts_tst_otherpitc_3034_m__pos]</calculatedColumnFormula>
    </tableColumn>
    <tableColumn id="19" name="hts_tst_otherpitc_3539_f_pos" dataDxfId="49">
      <calculatedColumnFormula>otherpitc_T[[D_hts_tst_pos_otherpitc_o15_fy19]:[D_hts_tst_pos_otherpitc_o15_fy19]]*otherpitc_T[A_hts_tst_otherpitc_3539_f_pos]</calculatedColumnFormula>
    </tableColumn>
    <tableColumn id="20" name="hts_tst_otherpitc_3539_m_pos" dataDxfId="48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7">
      <calculatedColumnFormula>otherpitc_T[[D_hts_tst_pos_otherpitc_o15_fy19]:[D_hts_tst_pos_otherpitc_o15_fy19]]*otherpitc_T[A_hts_tst_otherpitc_4049_f_pos]</calculatedColumnFormula>
    </tableColumn>
    <tableColumn id="26" name="hts_tst_otherpitc_4049_m_pos" dataDxfId="46">
      <calculatedColumnFormula>otherpitc_T[[D_hts_tst_pos_otherpitc_o15_fy19]:[D_hts_tst_pos_otherpitc_o15_fy19]]*otherpitc_T[A_hts_tst_otherpitc_4049_m_pos]</calculatedColumnFormula>
    </tableColumn>
    <tableColumn id="28" name="hts_tst_otherpitc_o50_f_pos" dataDxfId="45">
      <calculatedColumnFormula>otherpitc_T[[D_hts_tst_pos_otherpitc_o15_fy19]:[D_hts_tst_pos_otherpitc_o15_fy19]]*otherpitc_T[A_hts_tst_otherpitc_o50_f_pos]</calculatedColumnFormula>
    </tableColumn>
    <tableColumn id="29" name="hts_tst_otherpitc_o50_m_pos" dataDxfId="44">
      <calculatedColumnFormula>otherpitc_T[[D_hts_tst_pos_otherpitc_o15_fy19]:[D_hts_tst_pos_otherpitc_o15_fy19]]*otherpitc_T[A_hts_tst_otherpitc_o50_m_pos]</calculatedColumnFormula>
    </tableColumn>
    <tableColumn id="30" name="hts_tst_otherpitc_1519_f_neg" dataDxfId="43">
      <calculatedColumnFormula>otherpitc_T[[D_hts_tst_neg_otherpitc_o15_fy19]:[D_hts_tst_neg_otherpitc_o15_fy19]]*otherpitc_T[A_hts_tst_otherpitc_1519_f_neg]</calculatedColumnFormula>
    </tableColumn>
    <tableColumn id="52" name="hts_tst_otherpitc_1519_m_neg" dataDxfId="42">
      <calculatedColumnFormula>otherpitc_T[[D_hts_tst_neg_otherpitc_o15_fy19]:[D_hts_tst_neg_otherpitc_o15_fy19]]*otherpitc_T[A_hts_tst_otherpitc_1519_m_neg]</calculatedColumnFormula>
    </tableColumn>
    <tableColumn id="31" name="hts_tst_otherpitc_2024_f_neg" dataDxfId="41">
      <calculatedColumnFormula>otherpitc_T[[D_hts_tst_neg_otherpitc_o15_fy19]:[D_hts_tst_neg_otherpitc_o15_fy19]]*otherpitc_T[A_hts_tst_otherpitc_2024_f_neg]</calculatedColumnFormula>
    </tableColumn>
    <tableColumn id="32" name="hts_tst_otherpitc_2024_m_neg" dataDxfId="40">
      <calculatedColumnFormula>otherpitc_T[[D_hts_tst_neg_otherpitc_o15_fy19]:[D_hts_tst_neg_otherpitc_o15_fy19]]*otherpitc_T[A_hts_tst_otherpitc_2024_m_neg]</calculatedColumnFormula>
    </tableColumn>
    <tableColumn id="33" name="hts_tst_otherpitc_2529_f_neg" dataDxfId="39">
      <calculatedColumnFormula>otherpitc_T[[D_hts_tst_neg_otherpitc_o15_fy19]:[D_hts_tst_neg_otherpitc_o15_fy19]]*otherpitc_T[A_hts_tst_otherpitc_2529_f_neg]</calculatedColumnFormula>
    </tableColumn>
    <tableColumn id="34" name="hts_tst_otherpitc_2529_m_neg" dataDxfId="38">
      <calculatedColumnFormula>otherpitc_T[[D_hts_tst_neg_otherpitc_o15_fy19]:[D_hts_tst_neg_otherpitc_o15_fy19]]*otherpitc_T[A_hts_tst_otherpitc_2529_m_neg]</calculatedColumnFormula>
    </tableColumn>
    <tableColumn id="35" name="hts_tst_otherpitc_3034_f_neg" dataDxfId="37">
      <calculatedColumnFormula>otherpitc_T[[D_hts_tst_neg_otherpitc_o15_fy19]:[D_hts_tst_neg_otherpitc_o15_fy19]]*otherpitc_T[A_hts_tst_otherpitc_3034_f_neg]</calculatedColumnFormula>
    </tableColumn>
    <tableColumn id="36" name="hts_tst_otherpitc_3034_m_neg" dataDxfId="36">
      <calculatedColumnFormula>otherpitc_T[[D_hts_tst_neg_otherpitc_o15_fy19]:[D_hts_tst_neg_otherpitc_o15_fy19]]*otherpitc_T[A_hts_tst_otherpitc_3034_m_neg]</calculatedColumnFormula>
    </tableColumn>
    <tableColumn id="53" name="hts_tst_otherpitc_3539_f_neg" dataDxfId="35">
      <calculatedColumnFormula>otherpitc_T[[D_hts_tst_neg_otherpitc_o15_fy19]:[D_hts_tst_neg_otherpitc_o15_fy19]]*otherpitc_T[A_hts_tst_otherpitc_3539_f_neg]</calculatedColumnFormula>
    </tableColumn>
    <tableColumn id="37" name="hts_tst_otherpitc_3539_m_neg" dataDxfId="34">
      <calculatedColumnFormula>otherpitc_T[[D_hts_tst_neg_otherpitc_o15_fy19]:[D_hts_tst_neg_otherpitc_o15_fy19]]*otherpitc_T[A_hts_tst_otherpitc_3539_m_neg]</calculatedColumnFormula>
    </tableColumn>
    <tableColumn id="38" name="hts_tst_otherpitc_4049_f_neg" dataDxfId="33">
      <calculatedColumnFormula>otherpitc_T[[D_hts_tst_neg_otherpitc_o15_fy19]:[D_hts_tst_neg_otherpitc_o15_fy19]]*otherpitc_T[A_hts_tst_otherpitc_4049_f_neg]</calculatedColumnFormula>
    </tableColumn>
    <tableColumn id="39" name="hts_tst_otherpitc_4049_m_neg" dataDxfId="32">
      <calculatedColumnFormula>otherpitc_T[[D_hts_tst_neg_otherpitc_o15_fy19]:[D_hts_tst_neg_otherpitc_o15_fy19]]*otherpitc_T[A_hts_tst_otherpitc_4049_m_neg]</calculatedColumnFormula>
    </tableColumn>
    <tableColumn id="40" name="hts_tst_otherpitc_o50_f_neg" dataDxfId="31">
      <calculatedColumnFormula>otherpitc_T[[D_hts_tst_neg_otherpitc_o15_fy19]:[D_hts_tst_neg_otherpitc_o15_fy19]]*otherpitc_T[A_hts_tst_otherpitc_o50_f_neg]</calculatedColumnFormula>
    </tableColumn>
    <tableColumn id="41" name="hts_tst_otherpitc_o50_m_neg" dataDxfId="30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D7" totalsRowShown="0" headerRowDxfId="29" dataDxfId="28">
  <autoFilter ref="C6:AD7"/>
  <tableColumns count="28">
    <tableColumn id="1" name="psnu" dataDxfId="27"/>
    <tableColumn id="26" name="psnuuid" dataDxfId="26"/>
    <tableColumn id="2" name="priority" dataDxfId="25"/>
    <tableColumn id="3" name="mechid" dataDxfId="24"/>
    <tableColumn id="21" name="mechname" dataDxfId="23"/>
    <tableColumn id="4" name="type" dataDxfId="22"/>
    <tableColumn id="25" name="psnu_type" dataDxfId="21"/>
    <tableColumn id="5" name="A_hts_tst_keypop_fsw_pos" dataDxfId="20"/>
    <tableColumn id="6" name="A_hts_tst_keypop_msm_pos" dataDxfId="19"/>
    <tableColumn id="7" name="A_hts_tst_keypop_prison_pos" dataDxfId="18"/>
    <tableColumn id="10" name="A_hts_tst_keypop_pwid_pos" dataDxfId="17"/>
    <tableColumn id="13" name="A_hts_tst_keypop_tg_pos" dataDxfId="16"/>
    <tableColumn id="14" name="A_hts_tst_keypop_fsw_neg" dataDxfId="15"/>
    <tableColumn id="16" name="A_hts_tst_keypop_msm_neg" dataDxfId="14"/>
    <tableColumn id="18" name="A_hts_tst_keypop_prison_neg" dataDxfId="13"/>
    <tableColumn id="20" name="A_hts_tst_keypop_pwid_neg" dataDxfId="12"/>
    <tableColumn id="24" name="A_hts_tst_keypop_tg_neg" dataDxfId="11"/>
    <tableColumn id="27" name="D_hts_tst_keypop_fy19" dataDxfId="10"/>
    <tableColumn id="23" name="hts_tst_keypop_fsw_pos" dataDxfId="9"/>
    <tableColumn id="8" name="hts_tst_keypop_msm_pos" dataDxfId="8"/>
    <tableColumn id="11" name="hts_tst_keypop_prison_pos" dataDxfId="7"/>
    <tableColumn id="22" name="hts_tst_keypop_pwid_pos" dataDxfId="6"/>
    <tableColumn id="9" name="hts_tst_keypop_tg_pos" dataDxfId="5"/>
    <tableColumn id="12" name="hts_tst_keypop_fsw_neg" dataDxfId="4"/>
    <tableColumn id="54" name="hts_tst_keypop_msm_neg" dataDxfId="3"/>
    <tableColumn id="15" name="hts_tst_keypop_prison_neg" dataDxfId="2"/>
    <tableColumn id="17" name="hts_tst_keypop_pwid_neg" dataDxfId="1"/>
    <tableColumn id="19" name="hts_tst_keypop_tg_neg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N41" sqref="N4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85" zoomScaleNormal="85" workbookViewId="0">
      <pane ySplit="1" topLeftCell="A2" activePane="bottomLeft" state="frozen"/>
      <selection activeCell="F38" sqref="F38"/>
      <selection pane="bottomLeft" activeCell="I276" sqref="I276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28</v>
      </c>
      <c r="B1" s="20" t="s">
        <v>131</v>
      </c>
      <c r="C1" s="20" t="s">
        <v>27</v>
      </c>
      <c r="D1" s="54" t="s">
        <v>26</v>
      </c>
      <c r="E1" s="20" t="s">
        <v>25</v>
      </c>
      <c r="F1" s="20" t="s">
        <v>24</v>
      </c>
      <c r="G1" s="20" t="s">
        <v>127</v>
      </c>
      <c r="H1" s="20" t="s">
        <v>132</v>
      </c>
      <c r="I1" s="4" t="s">
        <v>130</v>
      </c>
      <c r="J1" s="4" t="s">
        <v>128</v>
      </c>
      <c r="K1" s="20" t="s">
        <v>129</v>
      </c>
    </row>
    <row r="2" spans="1:11" x14ac:dyDescent="0.25">
      <c r="A2" t="s">
        <v>1573</v>
      </c>
      <c r="B2" t="s">
        <v>1574</v>
      </c>
      <c r="D2" s="57" t="s">
        <v>6</v>
      </c>
      <c r="E2" t="s">
        <v>79</v>
      </c>
      <c r="G2" t="s">
        <v>1520</v>
      </c>
      <c r="H2" t="s">
        <v>23</v>
      </c>
      <c r="I2" s="80" t="s">
        <v>1583</v>
      </c>
      <c r="J2" t="s">
        <v>1584</v>
      </c>
      <c r="K2" t="s">
        <v>610</v>
      </c>
    </row>
    <row r="3" spans="1:11" x14ac:dyDescent="0.25">
      <c r="A3" s="56" t="s">
        <v>1573</v>
      </c>
      <c r="B3" s="56" t="s">
        <v>1574</v>
      </c>
      <c r="C3" s="56"/>
      <c r="D3" s="57" t="s">
        <v>7</v>
      </c>
      <c r="E3" s="56" t="s">
        <v>79</v>
      </c>
      <c r="G3" t="s">
        <v>1520</v>
      </c>
      <c r="H3" t="s">
        <v>23</v>
      </c>
      <c r="I3" s="80" t="s">
        <v>1583</v>
      </c>
      <c r="J3" s="56" t="s">
        <v>1584</v>
      </c>
      <c r="K3" t="s">
        <v>611</v>
      </c>
    </row>
    <row r="4" spans="1:11" x14ac:dyDescent="0.25">
      <c r="A4" s="56" t="s">
        <v>1573</v>
      </c>
      <c r="B4" t="s">
        <v>1575</v>
      </c>
      <c r="C4" t="s">
        <v>11</v>
      </c>
      <c r="D4" s="57" t="s">
        <v>8</v>
      </c>
      <c r="E4" s="56" t="s">
        <v>79</v>
      </c>
      <c r="G4" t="s">
        <v>1520</v>
      </c>
      <c r="H4" t="s">
        <v>23</v>
      </c>
      <c r="I4" s="80" t="s">
        <v>1583</v>
      </c>
      <c r="J4" s="56" t="s">
        <v>1584</v>
      </c>
      <c r="K4" t="s">
        <v>612</v>
      </c>
    </row>
    <row r="5" spans="1:11" x14ac:dyDescent="0.25">
      <c r="A5" s="56" t="s">
        <v>1573</v>
      </c>
      <c r="B5" s="56" t="s">
        <v>1575</v>
      </c>
      <c r="C5" t="s">
        <v>12</v>
      </c>
      <c r="D5" s="57" t="s">
        <v>8</v>
      </c>
      <c r="E5" s="56" t="s">
        <v>79</v>
      </c>
      <c r="G5" t="s">
        <v>1520</v>
      </c>
      <c r="H5" t="s">
        <v>23</v>
      </c>
      <c r="I5" s="80" t="s">
        <v>1583</v>
      </c>
      <c r="J5" s="56" t="s">
        <v>1584</v>
      </c>
      <c r="K5" t="s">
        <v>613</v>
      </c>
    </row>
    <row r="6" spans="1:11" x14ac:dyDescent="0.25">
      <c r="A6" s="56" t="s">
        <v>1573</v>
      </c>
      <c r="B6" s="56" t="s">
        <v>1574</v>
      </c>
      <c r="C6" s="56"/>
      <c r="D6" s="57" t="s">
        <v>6</v>
      </c>
      <c r="E6" t="s">
        <v>126</v>
      </c>
      <c r="G6" t="s">
        <v>1520</v>
      </c>
      <c r="H6" s="56" t="s">
        <v>23</v>
      </c>
      <c r="I6" s="80" t="s">
        <v>1585</v>
      </c>
      <c r="J6" s="56" t="s">
        <v>1584</v>
      </c>
      <c r="K6" t="s">
        <v>614</v>
      </c>
    </row>
    <row r="7" spans="1:11" x14ac:dyDescent="0.25">
      <c r="A7" s="56" t="s">
        <v>1573</v>
      </c>
      <c r="B7" s="56" t="s">
        <v>1574</v>
      </c>
      <c r="C7" s="56"/>
      <c r="D7" s="57" t="s">
        <v>7</v>
      </c>
      <c r="E7" s="56" t="s">
        <v>126</v>
      </c>
      <c r="G7" t="s">
        <v>1520</v>
      </c>
      <c r="H7" s="56" t="s">
        <v>23</v>
      </c>
      <c r="I7" s="80" t="s">
        <v>1585</v>
      </c>
      <c r="J7" s="56" t="s">
        <v>1584</v>
      </c>
      <c r="K7" t="s">
        <v>615</v>
      </c>
    </row>
    <row r="8" spans="1:11" x14ac:dyDescent="0.25">
      <c r="A8" s="56" t="s">
        <v>1573</v>
      </c>
      <c r="B8" s="56" t="s">
        <v>1575</v>
      </c>
      <c r="C8" s="56" t="s">
        <v>11</v>
      </c>
      <c r="D8" s="57" t="s">
        <v>8</v>
      </c>
      <c r="E8" s="56" t="s">
        <v>126</v>
      </c>
      <c r="G8" t="s">
        <v>1520</v>
      </c>
      <c r="H8" s="56" t="s">
        <v>23</v>
      </c>
      <c r="I8" s="80" t="s">
        <v>1585</v>
      </c>
      <c r="J8" s="56" t="s">
        <v>1584</v>
      </c>
      <c r="K8" t="s">
        <v>616</v>
      </c>
    </row>
    <row r="9" spans="1:11" x14ac:dyDescent="0.25">
      <c r="A9" s="56" t="s">
        <v>1573</v>
      </c>
      <c r="B9" s="56" t="s">
        <v>1575</v>
      </c>
      <c r="C9" s="56" t="s">
        <v>12</v>
      </c>
      <c r="D9" s="57" t="s">
        <v>8</v>
      </c>
      <c r="E9" s="56" t="s">
        <v>126</v>
      </c>
      <c r="G9" t="s">
        <v>1520</v>
      </c>
      <c r="H9" s="56" t="s">
        <v>23</v>
      </c>
      <c r="I9" s="80" t="s">
        <v>1585</v>
      </c>
      <c r="J9" s="56" t="s">
        <v>1584</v>
      </c>
      <c r="K9" t="s">
        <v>617</v>
      </c>
    </row>
    <row r="10" spans="1:11" x14ac:dyDescent="0.25">
      <c r="A10" s="56" t="s">
        <v>1573</v>
      </c>
      <c r="B10" s="56" t="s">
        <v>1575</v>
      </c>
      <c r="C10" s="56" t="s">
        <v>11</v>
      </c>
      <c r="D10" s="57" t="s">
        <v>9</v>
      </c>
      <c r="E10" s="56" t="s">
        <v>79</v>
      </c>
      <c r="G10" t="s">
        <v>1520</v>
      </c>
      <c r="H10" s="56" t="s">
        <v>23</v>
      </c>
      <c r="I10" s="80" t="s">
        <v>1586</v>
      </c>
      <c r="J10" s="56" t="s">
        <v>1584</v>
      </c>
      <c r="K10" t="s">
        <v>618</v>
      </c>
    </row>
    <row r="11" spans="1:11" x14ac:dyDescent="0.25">
      <c r="A11" s="56" t="s">
        <v>1573</v>
      </c>
      <c r="B11" s="56" t="s">
        <v>1575</v>
      </c>
      <c r="C11" s="56" t="s">
        <v>12</v>
      </c>
      <c r="D11" s="57" t="s">
        <v>9</v>
      </c>
      <c r="E11" s="56" t="s">
        <v>79</v>
      </c>
      <c r="G11" t="s">
        <v>1520</v>
      </c>
      <c r="H11" s="56" t="s">
        <v>23</v>
      </c>
      <c r="I11" s="80" t="s">
        <v>1586</v>
      </c>
      <c r="J11" s="56" t="s">
        <v>1584</v>
      </c>
      <c r="K11" t="s">
        <v>619</v>
      </c>
    </row>
    <row r="12" spans="1:11" x14ac:dyDescent="0.25">
      <c r="A12" s="56" t="s">
        <v>1573</v>
      </c>
      <c r="B12" s="56" t="s">
        <v>1575</v>
      </c>
      <c r="C12" s="56" t="s">
        <v>11</v>
      </c>
      <c r="D12" s="57" t="s">
        <v>16</v>
      </c>
      <c r="E12" s="56" t="s">
        <v>79</v>
      </c>
      <c r="G12" t="s">
        <v>1520</v>
      </c>
      <c r="H12" s="56" t="s">
        <v>23</v>
      </c>
      <c r="I12" s="80" t="s">
        <v>1586</v>
      </c>
      <c r="J12" s="56" t="s">
        <v>1584</v>
      </c>
      <c r="K12" t="s">
        <v>620</v>
      </c>
    </row>
    <row r="13" spans="1:11" x14ac:dyDescent="0.25">
      <c r="A13" s="56" t="s">
        <v>1573</v>
      </c>
      <c r="B13" s="56" t="s">
        <v>1575</v>
      </c>
      <c r="C13" s="56" t="s">
        <v>12</v>
      </c>
      <c r="D13" s="57" t="s">
        <v>16</v>
      </c>
      <c r="E13" s="56" t="s">
        <v>79</v>
      </c>
      <c r="G13" t="s">
        <v>1520</v>
      </c>
      <c r="H13" s="56" t="s">
        <v>23</v>
      </c>
      <c r="I13" s="80" t="s">
        <v>1586</v>
      </c>
      <c r="J13" s="56" t="s">
        <v>1584</v>
      </c>
      <c r="K13" t="s">
        <v>621</v>
      </c>
    </row>
    <row r="14" spans="1:11" x14ac:dyDescent="0.25">
      <c r="A14" s="56" t="s">
        <v>1573</v>
      </c>
      <c r="B14" s="56"/>
      <c r="C14" s="56"/>
      <c r="D14" s="57"/>
      <c r="E14" s="56"/>
      <c r="G14"/>
      <c r="H14" s="56"/>
      <c r="J14" s="56" t="s">
        <v>1587</v>
      </c>
      <c r="K14" t="s">
        <v>622</v>
      </c>
    </row>
    <row r="15" spans="1:11" x14ac:dyDescent="0.25">
      <c r="A15" s="56" t="s">
        <v>1573</v>
      </c>
      <c r="B15" s="56"/>
      <c r="C15" s="56"/>
      <c r="D15" s="57"/>
      <c r="E15" s="56"/>
      <c r="G15"/>
      <c r="H15" s="56"/>
      <c r="J15" s="56" t="s">
        <v>1587</v>
      </c>
      <c r="K15" t="s">
        <v>623</v>
      </c>
    </row>
    <row r="16" spans="1:11" x14ac:dyDescent="0.25">
      <c r="A16" s="56" t="s">
        <v>1573</v>
      </c>
      <c r="B16" s="56"/>
      <c r="C16" s="56"/>
      <c r="D16" s="57"/>
      <c r="E16" s="56"/>
      <c r="G16"/>
      <c r="H16" s="56"/>
      <c r="J16" s="56" t="s">
        <v>1587</v>
      </c>
      <c r="K16" t="s">
        <v>624</v>
      </c>
    </row>
    <row r="17" spans="1:11" x14ac:dyDescent="0.25">
      <c r="A17" s="56" t="s">
        <v>1573</v>
      </c>
      <c r="B17" s="56"/>
      <c r="C17" s="56"/>
      <c r="D17" s="57"/>
      <c r="E17" s="56"/>
      <c r="G17"/>
      <c r="H17" s="56"/>
      <c r="J17" s="56" t="s">
        <v>1587</v>
      </c>
      <c r="K17" t="s">
        <v>625</v>
      </c>
    </row>
    <row r="18" spans="1:11" x14ac:dyDescent="0.25">
      <c r="A18" s="56" t="s">
        <v>1573</v>
      </c>
      <c r="B18" s="56"/>
      <c r="C18" s="56"/>
      <c r="D18" s="57"/>
      <c r="E18" s="56"/>
      <c r="G18"/>
      <c r="H18" s="56"/>
      <c r="J18" s="56" t="s">
        <v>1587</v>
      </c>
      <c r="K18" t="s">
        <v>626</v>
      </c>
    </row>
    <row r="19" spans="1:11" x14ac:dyDescent="0.25">
      <c r="A19" s="56" t="s">
        <v>1573</v>
      </c>
      <c r="B19" s="56"/>
      <c r="C19" s="56"/>
      <c r="D19" s="57"/>
      <c r="E19" s="56"/>
      <c r="G19"/>
      <c r="H19" s="56"/>
      <c r="J19" s="56" t="s">
        <v>1587</v>
      </c>
      <c r="K19" t="s">
        <v>627</v>
      </c>
    </row>
    <row r="20" spans="1:11" x14ac:dyDescent="0.25">
      <c r="A20" s="56" t="s">
        <v>1573</v>
      </c>
      <c r="B20" s="56"/>
      <c r="C20" s="56"/>
      <c r="D20" s="57"/>
      <c r="E20" s="56"/>
      <c r="G20"/>
      <c r="H20" s="56"/>
      <c r="J20" s="56" t="s">
        <v>1587</v>
      </c>
      <c r="K20" t="s">
        <v>628</v>
      </c>
    </row>
    <row r="21" spans="1:11" x14ac:dyDescent="0.25">
      <c r="A21" s="56" t="s">
        <v>1573</v>
      </c>
      <c r="B21" s="56"/>
      <c r="C21" s="56"/>
      <c r="D21" s="57"/>
      <c r="E21" s="56"/>
      <c r="G21"/>
      <c r="H21" s="56"/>
      <c r="J21" s="56" t="s">
        <v>1587</v>
      </c>
      <c r="K21" t="s">
        <v>629</v>
      </c>
    </row>
    <row r="22" spans="1:11" x14ac:dyDescent="0.25">
      <c r="A22" s="56" t="s">
        <v>1573</v>
      </c>
      <c r="B22" s="56" t="s">
        <v>1575</v>
      </c>
      <c r="C22" s="56" t="s">
        <v>11</v>
      </c>
      <c r="D22" s="57" t="s">
        <v>17</v>
      </c>
      <c r="E22" s="56" t="s">
        <v>79</v>
      </c>
      <c r="G22" t="s">
        <v>1520</v>
      </c>
      <c r="H22" s="56" t="s">
        <v>23</v>
      </c>
      <c r="I22" s="80" t="s">
        <v>1586</v>
      </c>
      <c r="J22" s="56" t="s">
        <v>1584</v>
      </c>
      <c r="K22" t="s">
        <v>630</v>
      </c>
    </row>
    <row r="23" spans="1:11" x14ac:dyDescent="0.25">
      <c r="A23" s="56" t="s">
        <v>1573</v>
      </c>
      <c r="B23" s="56" t="s">
        <v>1575</v>
      </c>
      <c r="C23" s="56" t="s">
        <v>12</v>
      </c>
      <c r="D23" s="57" t="s">
        <v>17</v>
      </c>
      <c r="E23" s="56" t="s">
        <v>79</v>
      </c>
      <c r="G23" t="s">
        <v>1520</v>
      </c>
      <c r="H23" s="56" t="s">
        <v>23</v>
      </c>
      <c r="I23" s="80" t="s">
        <v>1586</v>
      </c>
      <c r="J23" s="56" t="s">
        <v>1584</v>
      </c>
      <c r="K23" t="s">
        <v>631</v>
      </c>
    </row>
    <row r="24" spans="1:11" x14ac:dyDescent="0.25">
      <c r="A24" s="56" t="s">
        <v>1573</v>
      </c>
      <c r="B24" s="56" t="s">
        <v>1575</v>
      </c>
      <c r="C24" s="56" t="s">
        <v>11</v>
      </c>
      <c r="D24" s="57" t="s">
        <v>9</v>
      </c>
      <c r="E24" s="56" t="s">
        <v>126</v>
      </c>
      <c r="G24" t="s">
        <v>1520</v>
      </c>
      <c r="H24" s="56" t="s">
        <v>23</v>
      </c>
      <c r="I24" s="80" t="s">
        <v>1588</v>
      </c>
      <c r="J24" s="56" t="s">
        <v>1584</v>
      </c>
      <c r="K24" t="s">
        <v>632</v>
      </c>
    </row>
    <row r="25" spans="1:11" x14ac:dyDescent="0.25">
      <c r="A25" s="56" t="s">
        <v>1573</v>
      </c>
      <c r="B25" s="56" t="s">
        <v>1575</v>
      </c>
      <c r="C25" s="56" t="s">
        <v>12</v>
      </c>
      <c r="D25" s="57" t="s">
        <v>9</v>
      </c>
      <c r="E25" s="56" t="s">
        <v>126</v>
      </c>
      <c r="G25" t="s">
        <v>1520</v>
      </c>
      <c r="H25" s="56" t="s">
        <v>23</v>
      </c>
      <c r="I25" s="80" t="s">
        <v>1588</v>
      </c>
      <c r="J25" s="56" t="s">
        <v>1584</v>
      </c>
      <c r="K25" t="s">
        <v>633</v>
      </c>
    </row>
    <row r="26" spans="1:11" x14ac:dyDescent="0.25">
      <c r="A26" s="56" t="s">
        <v>1573</v>
      </c>
      <c r="B26" s="56" t="s">
        <v>1575</v>
      </c>
      <c r="C26" s="56" t="s">
        <v>11</v>
      </c>
      <c r="D26" s="57" t="s">
        <v>16</v>
      </c>
      <c r="E26" s="56" t="s">
        <v>126</v>
      </c>
      <c r="G26" t="s">
        <v>1520</v>
      </c>
      <c r="H26" s="56" t="s">
        <v>23</v>
      </c>
      <c r="I26" s="80" t="s">
        <v>1588</v>
      </c>
      <c r="J26" s="56" t="s">
        <v>1584</v>
      </c>
      <c r="K26" t="s">
        <v>634</v>
      </c>
    </row>
    <row r="27" spans="1:11" x14ac:dyDescent="0.25">
      <c r="A27" s="56" t="s">
        <v>1573</v>
      </c>
      <c r="B27" s="56" t="s">
        <v>1575</v>
      </c>
      <c r="C27" s="56" t="s">
        <v>12</v>
      </c>
      <c r="D27" s="57" t="s">
        <v>16</v>
      </c>
      <c r="E27" s="56" t="s">
        <v>126</v>
      </c>
      <c r="G27" t="s">
        <v>1520</v>
      </c>
      <c r="H27" s="56" t="s">
        <v>23</v>
      </c>
      <c r="I27" s="80" t="s">
        <v>1588</v>
      </c>
      <c r="J27" s="56" t="s">
        <v>1584</v>
      </c>
      <c r="K27" t="s">
        <v>635</v>
      </c>
    </row>
    <row r="28" spans="1:11" x14ac:dyDescent="0.25">
      <c r="A28" s="56" t="s">
        <v>1573</v>
      </c>
      <c r="C28" s="56"/>
      <c r="D28" s="57"/>
      <c r="E28" s="56"/>
      <c r="G28"/>
      <c r="H28" s="56"/>
      <c r="J28" s="56" t="s">
        <v>1587</v>
      </c>
      <c r="K28" t="s">
        <v>636</v>
      </c>
    </row>
    <row r="29" spans="1:11" x14ac:dyDescent="0.25">
      <c r="A29" s="56" t="s">
        <v>1573</v>
      </c>
      <c r="C29" s="56"/>
      <c r="D29" s="57"/>
      <c r="E29" s="56"/>
      <c r="G29"/>
      <c r="H29" s="56"/>
      <c r="J29" s="56" t="s">
        <v>1587</v>
      </c>
      <c r="K29" t="s">
        <v>637</v>
      </c>
    </row>
    <row r="30" spans="1:11" x14ac:dyDescent="0.25">
      <c r="A30" s="56" t="s">
        <v>1573</v>
      </c>
      <c r="C30" s="56"/>
      <c r="D30" s="57"/>
      <c r="E30" s="56"/>
      <c r="G30"/>
      <c r="H30" s="56"/>
      <c r="J30" s="56" t="s">
        <v>1587</v>
      </c>
      <c r="K30" t="s">
        <v>638</v>
      </c>
    </row>
    <row r="31" spans="1:11" x14ac:dyDescent="0.25">
      <c r="A31" s="56" t="s">
        <v>1573</v>
      </c>
      <c r="C31" s="56"/>
      <c r="D31" s="57"/>
      <c r="E31" s="56"/>
      <c r="G31"/>
      <c r="H31" s="56"/>
      <c r="J31" s="56" t="s">
        <v>1587</v>
      </c>
      <c r="K31" t="s">
        <v>639</v>
      </c>
    </row>
    <row r="32" spans="1:11" x14ac:dyDescent="0.25">
      <c r="A32" s="56" t="s">
        <v>1573</v>
      </c>
      <c r="C32" s="56"/>
      <c r="D32" s="57"/>
      <c r="E32" s="56"/>
      <c r="G32"/>
      <c r="H32" s="56"/>
      <c r="J32" s="56" t="s">
        <v>1587</v>
      </c>
      <c r="K32" t="s">
        <v>640</v>
      </c>
    </row>
    <row r="33" spans="1:11" x14ac:dyDescent="0.25">
      <c r="A33" s="56" t="s">
        <v>1573</v>
      </c>
      <c r="C33" s="56"/>
      <c r="D33" s="57"/>
      <c r="E33" s="56"/>
      <c r="G33"/>
      <c r="H33" s="56"/>
      <c r="J33" s="56" t="s">
        <v>1587</v>
      </c>
      <c r="K33" t="s">
        <v>641</v>
      </c>
    </row>
    <row r="34" spans="1:11" x14ac:dyDescent="0.25">
      <c r="A34" s="56" t="s">
        <v>1573</v>
      </c>
      <c r="C34" s="56"/>
      <c r="D34" s="57"/>
      <c r="E34" s="56"/>
      <c r="G34"/>
      <c r="H34" s="56"/>
      <c r="J34" s="56" t="s">
        <v>1587</v>
      </c>
      <c r="K34" t="s">
        <v>642</v>
      </c>
    </row>
    <row r="35" spans="1:11" x14ac:dyDescent="0.25">
      <c r="A35" s="56" t="s">
        <v>1573</v>
      </c>
      <c r="C35" s="56"/>
      <c r="D35" s="57"/>
      <c r="E35" s="56"/>
      <c r="G35"/>
      <c r="H35" s="56"/>
      <c r="J35" s="56" t="s">
        <v>1587</v>
      </c>
      <c r="K35" t="s">
        <v>643</v>
      </c>
    </row>
    <row r="36" spans="1:11" x14ac:dyDescent="0.25">
      <c r="A36" s="56" t="s">
        <v>1573</v>
      </c>
      <c r="B36" s="56" t="s">
        <v>1575</v>
      </c>
      <c r="C36" s="56" t="s">
        <v>11</v>
      </c>
      <c r="D36" s="57" t="s">
        <v>17</v>
      </c>
      <c r="E36" s="56" t="s">
        <v>126</v>
      </c>
      <c r="G36" t="s">
        <v>1520</v>
      </c>
      <c r="H36" s="56" t="s">
        <v>23</v>
      </c>
      <c r="I36" s="80" t="s">
        <v>1588</v>
      </c>
      <c r="J36" s="56" t="s">
        <v>1584</v>
      </c>
      <c r="K36" t="s">
        <v>644</v>
      </c>
    </row>
    <row r="37" spans="1:11" x14ac:dyDescent="0.25">
      <c r="A37" s="56" t="s">
        <v>1573</v>
      </c>
      <c r="B37" s="56" t="s">
        <v>1575</v>
      </c>
      <c r="C37" s="56" t="s">
        <v>12</v>
      </c>
      <c r="D37" s="57" t="s">
        <v>17</v>
      </c>
      <c r="E37" s="56" t="s">
        <v>126</v>
      </c>
      <c r="G37" t="s">
        <v>1520</v>
      </c>
      <c r="H37" s="56" t="s">
        <v>23</v>
      </c>
      <c r="I37" s="80" t="s">
        <v>1588</v>
      </c>
      <c r="J37" s="56" t="s">
        <v>1584</v>
      </c>
      <c r="K37" t="s">
        <v>645</v>
      </c>
    </row>
    <row r="38" spans="1:11" x14ac:dyDescent="0.25">
      <c r="A38" s="56" t="s">
        <v>1573</v>
      </c>
      <c r="B38" s="56" t="s">
        <v>1574</v>
      </c>
      <c r="C38" s="56"/>
      <c r="D38" s="57" t="s">
        <v>6</v>
      </c>
      <c r="E38" s="56" t="s">
        <v>79</v>
      </c>
      <c r="G38" t="s">
        <v>1521</v>
      </c>
      <c r="H38" s="56" t="s">
        <v>23</v>
      </c>
      <c r="I38" s="80" t="s">
        <v>1589</v>
      </c>
      <c r="J38" s="56" t="s">
        <v>1584</v>
      </c>
      <c r="K38" t="s">
        <v>683</v>
      </c>
    </row>
    <row r="39" spans="1:11" x14ac:dyDescent="0.25">
      <c r="A39" s="56" t="s">
        <v>1573</v>
      </c>
      <c r="B39" s="56" t="s">
        <v>1574</v>
      </c>
      <c r="C39" s="56"/>
      <c r="D39" s="57" t="s">
        <v>7</v>
      </c>
      <c r="E39" s="56" t="s">
        <v>79</v>
      </c>
      <c r="G39" t="s">
        <v>1521</v>
      </c>
      <c r="H39" s="56" t="s">
        <v>23</v>
      </c>
      <c r="I39" s="80" t="s">
        <v>1589</v>
      </c>
      <c r="J39" s="56" t="s">
        <v>1584</v>
      </c>
      <c r="K39" t="s">
        <v>684</v>
      </c>
    </row>
    <row r="40" spans="1:11" x14ac:dyDescent="0.25">
      <c r="A40" s="56" t="s">
        <v>1573</v>
      </c>
      <c r="B40" s="56" t="s">
        <v>1575</v>
      </c>
      <c r="C40" s="56" t="s">
        <v>11</v>
      </c>
      <c r="D40" s="57" t="s">
        <v>8</v>
      </c>
      <c r="E40" s="56" t="s">
        <v>79</v>
      </c>
      <c r="G40" t="s">
        <v>1521</v>
      </c>
      <c r="H40" s="56" t="s">
        <v>23</v>
      </c>
      <c r="I40" s="80" t="s">
        <v>1589</v>
      </c>
      <c r="J40" s="56" t="s">
        <v>1584</v>
      </c>
      <c r="K40" t="s">
        <v>685</v>
      </c>
    </row>
    <row r="41" spans="1:11" x14ac:dyDescent="0.25">
      <c r="A41" s="56" t="s">
        <v>1573</v>
      </c>
      <c r="B41" s="56" t="s">
        <v>1575</v>
      </c>
      <c r="C41" s="56" t="s">
        <v>12</v>
      </c>
      <c r="D41" s="57" t="s">
        <v>8</v>
      </c>
      <c r="E41" s="56" t="s">
        <v>79</v>
      </c>
      <c r="G41" t="s">
        <v>1521</v>
      </c>
      <c r="H41" s="56" t="s">
        <v>23</v>
      </c>
      <c r="I41" s="80" t="s">
        <v>1589</v>
      </c>
      <c r="J41" s="56" t="s">
        <v>1584</v>
      </c>
      <c r="K41" t="s">
        <v>686</v>
      </c>
    </row>
    <row r="42" spans="1:11" x14ac:dyDescent="0.25">
      <c r="A42" s="56" t="s">
        <v>1573</v>
      </c>
      <c r="B42" s="56" t="s">
        <v>1574</v>
      </c>
      <c r="C42" s="56"/>
      <c r="D42" s="57" t="s">
        <v>6</v>
      </c>
      <c r="E42" s="56" t="s">
        <v>126</v>
      </c>
      <c r="G42" t="s">
        <v>1521</v>
      </c>
      <c r="H42" s="56" t="s">
        <v>23</v>
      </c>
      <c r="I42" s="80" t="s">
        <v>1590</v>
      </c>
      <c r="J42" s="56" t="s">
        <v>1584</v>
      </c>
      <c r="K42" t="s">
        <v>687</v>
      </c>
    </row>
    <row r="43" spans="1:11" x14ac:dyDescent="0.25">
      <c r="A43" s="56" t="s">
        <v>1573</v>
      </c>
      <c r="B43" s="56" t="s">
        <v>1574</v>
      </c>
      <c r="C43" s="56"/>
      <c r="D43" s="57" t="s">
        <v>7</v>
      </c>
      <c r="E43" s="56" t="s">
        <v>126</v>
      </c>
      <c r="G43" t="s">
        <v>1521</v>
      </c>
      <c r="H43" s="56" t="s">
        <v>23</v>
      </c>
      <c r="I43" s="80" t="s">
        <v>1590</v>
      </c>
      <c r="J43" s="56" t="s">
        <v>1584</v>
      </c>
      <c r="K43" t="s">
        <v>688</v>
      </c>
    </row>
    <row r="44" spans="1:11" x14ac:dyDescent="0.25">
      <c r="A44" s="56" t="s">
        <v>1573</v>
      </c>
      <c r="B44" s="56" t="s">
        <v>1575</v>
      </c>
      <c r="C44" s="56" t="s">
        <v>11</v>
      </c>
      <c r="D44" s="57" t="s">
        <v>8</v>
      </c>
      <c r="E44" s="56" t="s">
        <v>126</v>
      </c>
      <c r="G44" t="s">
        <v>1521</v>
      </c>
      <c r="H44" s="56" t="s">
        <v>23</v>
      </c>
      <c r="I44" s="80" t="s">
        <v>1590</v>
      </c>
      <c r="J44" s="56" t="s">
        <v>1584</v>
      </c>
      <c r="K44" t="s">
        <v>689</v>
      </c>
    </row>
    <row r="45" spans="1:11" x14ac:dyDescent="0.25">
      <c r="A45" s="56" t="s">
        <v>1573</v>
      </c>
      <c r="B45" s="56" t="s">
        <v>1575</v>
      </c>
      <c r="C45" s="56" t="s">
        <v>12</v>
      </c>
      <c r="D45" s="57" t="s">
        <v>8</v>
      </c>
      <c r="E45" s="56" t="s">
        <v>126</v>
      </c>
      <c r="G45" t="s">
        <v>1521</v>
      </c>
      <c r="H45" s="56" t="s">
        <v>23</v>
      </c>
      <c r="I45" s="80" t="s">
        <v>1590</v>
      </c>
      <c r="J45" s="56" t="s">
        <v>1584</v>
      </c>
      <c r="K45" t="s">
        <v>690</v>
      </c>
    </row>
    <row r="46" spans="1:11" x14ac:dyDescent="0.25">
      <c r="A46" s="56" t="s">
        <v>1573</v>
      </c>
      <c r="B46" s="56" t="s">
        <v>1575</v>
      </c>
      <c r="C46" s="56" t="s">
        <v>11</v>
      </c>
      <c r="D46" s="57" t="s">
        <v>9</v>
      </c>
      <c r="E46" s="56" t="s">
        <v>79</v>
      </c>
      <c r="G46" t="s">
        <v>1521</v>
      </c>
      <c r="H46" s="56" t="s">
        <v>23</v>
      </c>
      <c r="I46" s="80" t="s">
        <v>1591</v>
      </c>
      <c r="J46" s="56" t="s">
        <v>1584</v>
      </c>
      <c r="K46" t="s">
        <v>691</v>
      </c>
    </row>
    <row r="47" spans="1:11" x14ac:dyDescent="0.25">
      <c r="A47" s="56" t="s">
        <v>1573</v>
      </c>
      <c r="B47" s="56" t="s">
        <v>1575</v>
      </c>
      <c r="C47" s="56" t="s">
        <v>12</v>
      </c>
      <c r="D47" s="57" t="s">
        <v>9</v>
      </c>
      <c r="E47" s="56" t="s">
        <v>79</v>
      </c>
      <c r="G47" t="s">
        <v>1521</v>
      </c>
      <c r="H47" s="56" t="s">
        <v>23</v>
      </c>
      <c r="I47" s="80" t="s">
        <v>1591</v>
      </c>
      <c r="J47" s="56" t="s">
        <v>1584</v>
      </c>
      <c r="K47" t="s">
        <v>692</v>
      </c>
    </row>
    <row r="48" spans="1:11" x14ac:dyDescent="0.25">
      <c r="A48" s="56" t="s">
        <v>1573</v>
      </c>
      <c r="B48" s="56" t="s">
        <v>1575</v>
      </c>
      <c r="C48" s="56" t="s">
        <v>11</v>
      </c>
      <c r="D48" s="57" t="s">
        <v>16</v>
      </c>
      <c r="E48" s="56" t="s">
        <v>79</v>
      </c>
      <c r="G48" t="s">
        <v>1521</v>
      </c>
      <c r="H48" s="56" t="s">
        <v>23</v>
      </c>
      <c r="I48" s="80" t="s">
        <v>1591</v>
      </c>
      <c r="J48" s="56" t="s">
        <v>1584</v>
      </c>
      <c r="K48" t="s">
        <v>693</v>
      </c>
    </row>
    <row r="49" spans="1:11" x14ac:dyDescent="0.25">
      <c r="A49" s="56" t="s">
        <v>1573</v>
      </c>
      <c r="B49" s="56" t="s">
        <v>1575</v>
      </c>
      <c r="C49" s="56" t="s">
        <v>12</v>
      </c>
      <c r="D49" s="57" t="s">
        <v>16</v>
      </c>
      <c r="E49" s="56" t="s">
        <v>79</v>
      </c>
      <c r="G49" t="s">
        <v>1521</v>
      </c>
      <c r="H49" s="56" t="s">
        <v>23</v>
      </c>
      <c r="I49" s="80" t="s">
        <v>1591</v>
      </c>
      <c r="J49" s="56" t="s">
        <v>1584</v>
      </c>
      <c r="K49" t="s">
        <v>694</v>
      </c>
    </row>
    <row r="50" spans="1:11" x14ac:dyDescent="0.25">
      <c r="A50" s="56" t="s">
        <v>1573</v>
      </c>
      <c r="B50" s="56"/>
      <c r="C50" s="56"/>
      <c r="D50" s="57"/>
      <c r="E50" s="56"/>
      <c r="G50"/>
      <c r="H50" s="56"/>
      <c r="I50" s="56"/>
      <c r="J50" s="56" t="s">
        <v>1587</v>
      </c>
      <c r="K50" t="s">
        <v>695</v>
      </c>
    </row>
    <row r="51" spans="1:11" x14ac:dyDescent="0.25">
      <c r="A51" s="56" t="s">
        <v>1573</v>
      </c>
      <c r="B51" s="56"/>
      <c r="C51" s="56"/>
      <c r="D51" s="57"/>
      <c r="E51" s="56"/>
      <c r="G51"/>
      <c r="H51" s="56"/>
      <c r="I51" s="56"/>
      <c r="J51" s="56" t="s">
        <v>1587</v>
      </c>
      <c r="K51" t="s">
        <v>696</v>
      </c>
    </row>
    <row r="52" spans="1:11" x14ac:dyDescent="0.25">
      <c r="A52" s="56" t="s">
        <v>1573</v>
      </c>
      <c r="B52" s="56"/>
      <c r="C52" s="56"/>
      <c r="D52" s="57"/>
      <c r="E52" s="56"/>
      <c r="G52"/>
      <c r="H52" s="56"/>
      <c r="I52" s="56"/>
      <c r="J52" s="56" t="s">
        <v>1587</v>
      </c>
      <c r="K52" t="s">
        <v>697</v>
      </c>
    </row>
    <row r="53" spans="1:11" x14ac:dyDescent="0.25">
      <c r="A53" s="56" t="s">
        <v>1573</v>
      </c>
      <c r="B53" s="56"/>
      <c r="C53" s="56"/>
      <c r="D53" s="57"/>
      <c r="E53" s="56"/>
      <c r="G53"/>
      <c r="H53" s="56"/>
      <c r="I53" s="56"/>
      <c r="J53" s="56" t="s">
        <v>1587</v>
      </c>
      <c r="K53" t="s">
        <v>698</v>
      </c>
    </row>
    <row r="54" spans="1:11" x14ac:dyDescent="0.25">
      <c r="A54" s="56" t="s">
        <v>1573</v>
      </c>
      <c r="B54" s="56"/>
      <c r="C54" s="56"/>
      <c r="D54" s="57"/>
      <c r="E54" s="56"/>
      <c r="G54"/>
      <c r="H54" s="56"/>
      <c r="I54" s="56"/>
      <c r="J54" s="56" t="s">
        <v>1587</v>
      </c>
      <c r="K54" t="s">
        <v>699</v>
      </c>
    </row>
    <row r="55" spans="1:11" x14ac:dyDescent="0.25">
      <c r="A55" s="56" t="s">
        <v>1573</v>
      </c>
      <c r="B55" s="56"/>
      <c r="C55" s="56"/>
      <c r="D55" s="57"/>
      <c r="E55" s="56"/>
      <c r="G55"/>
      <c r="H55" s="56"/>
      <c r="I55" s="56"/>
      <c r="J55" s="56" t="s">
        <v>1587</v>
      </c>
      <c r="K55" t="s">
        <v>700</v>
      </c>
    </row>
    <row r="56" spans="1:11" x14ac:dyDescent="0.25">
      <c r="A56" s="56" t="s">
        <v>1573</v>
      </c>
      <c r="B56" s="56"/>
      <c r="C56" s="56"/>
      <c r="D56" s="57"/>
      <c r="E56" s="56"/>
      <c r="G56"/>
      <c r="H56" s="56"/>
      <c r="I56" s="56"/>
      <c r="J56" s="56" t="s">
        <v>1587</v>
      </c>
      <c r="K56" t="s">
        <v>701</v>
      </c>
    </row>
    <row r="57" spans="1:11" x14ac:dyDescent="0.25">
      <c r="A57" s="56" t="s">
        <v>1573</v>
      </c>
      <c r="B57" s="56"/>
      <c r="C57" s="56"/>
      <c r="D57" s="57"/>
      <c r="E57" s="56"/>
      <c r="G57"/>
      <c r="H57" s="56"/>
      <c r="I57" s="56"/>
      <c r="J57" s="56" t="s">
        <v>1587</v>
      </c>
      <c r="K57" t="s">
        <v>702</v>
      </c>
    </row>
    <row r="58" spans="1:11" x14ac:dyDescent="0.25">
      <c r="A58" s="56" t="s">
        <v>1573</v>
      </c>
      <c r="B58" s="56" t="s">
        <v>1575</v>
      </c>
      <c r="C58" s="56" t="s">
        <v>11</v>
      </c>
      <c r="D58" s="57" t="s">
        <v>17</v>
      </c>
      <c r="E58" s="56" t="s">
        <v>79</v>
      </c>
      <c r="G58" t="s">
        <v>1521</v>
      </c>
      <c r="H58" s="56" t="s">
        <v>23</v>
      </c>
      <c r="I58" s="80" t="s">
        <v>1591</v>
      </c>
      <c r="J58" s="56" t="s">
        <v>1584</v>
      </c>
      <c r="K58" t="s">
        <v>703</v>
      </c>
    </row>
    <row r="59" spans="1:11" x14ac:dyDescent="0.25">
      <c r="A59" s="56" t="s">
        <v>1573</v>
      </c>
      <c r="B59" s="56" t="s">
        <v>1575</v>
      </c>
      <c r="C59" s="56" t="s">
        <v>12</v>
      </c>
      <c r="D59" s="57" t="s">
        <v>17</v>
      </c>
      <c r="E59" s="56" t="s">
        <v>79</v>
      </c>
      <c r="G59" t="s">
        <v>1521</v>
      </c>
      <c r="H59" s="56" t="s">
        <v>23</v>
      </c>
      <c r="I59" s="80" t="s">
        <v>1591</v>
      </c>
      <c r="J59" s="56" t="s">
        <v>1584</v>
      </c>
      <c r="K59" t="s">
        <v>704</v>
      </c>
    </row>
    <row r="60" spans="1:11" x14ac:dyDescent="0.25">
      <c r="A60" s="56" t="s">
        <v>1573</v>
      </c>
      <c r="B60" s="56" t="s">
        <v>1575</v>
      </c>
      <c r="C60" s="56" t="s">
        <v>11</v>
      </c>
      <c r="D60" s="57" t="s">
        <v>9</v>
      </c>
      <c r="E60" s="56" t="s">
        <v>126</v>
      </c>
      <c r="G60" t="s">
        <v>1521</v>
      </c>
      <c r="H60" s="56" t="s">
        <v>23</v>
      </c>
      <c r="I60" s="80" t="s">
        <v>1592</v>
      </c>
      <c r="J60" s="56" t="s">
        <v>1584</v>
      </c>
      <c r="K60" t="s">
        <v>705</v>
      </c>
    </row>
    <row r="61" spans="1:11" x14ac:dyDescent="0.25">
      <c r="A61" s="56" t="s">
        <v>1573</v>
      </c>
      <c r="B61" s="56" t="s">
        <v>1575</v>
      </c>
      <c r="C61" s="56" t="s">
        <v>12</v>
      </c>
      <c r="D61" s="57" t="s">
        <v>9</v>
      </c>
      <c r="E61" s="56" t="s">
        <v>126</v>
      </c>
      <c r="G61" t="s">
        <v>1521</v>
      </c>
      <c r="H61" s="56" t="s">
        <v>23</v>
      </c>
      <c r="I61" s="80" t="s">
        <v>1592</v>
      </c>
      <c r="J61" s="56" t="s">
        <v>1584</v>
      </c>
      <c r="K61" t="s">
        <v>706</v>
      </c>
    </row>
    <row r="62" spans="1:11" x14ac:dyDescent="0.25">
      <c r="A62" s="56" t="s">
        <v>1573</v>
      </c>
      <c r="B62" s="56" t="s">
        <v>1575</v>
      </c>
      <c r="C62" s="56" t="s">
        <v>11</v>
      </c>
      <c r="D62" s="57" t="s">
        <v>16</v>
      </c>
      <c r="E62" s="56" t="s">
        <v>126</v>
      </c>
      <c r="G62" t="s">
        <v>1521</v>
      </c>
      <c r="H62" s="56" t="s">
        <v>23</v>
      </c>
      <c r="I62" s="80" t="s">
        <v>1592</v>
      </c>
      <c r="J62" s="56" t="s">
        <v>1584</v>
      </c>
      <c r="K62" t="s">
        <v>707</v>
      </c>
    </row>
    <row r="63" spans="1:11" x14ac:dyDescent="0.25">
      <c r="A63" s="56" t="s">
        <v>1573</v>
      </c>
      <c r="B63" s="56" t="s">
        <v>1575</v>
      </c>
      <c r="C63" s="56" t="s">
        <v>12</v>
      </c>
      <c r="D63" s="57" t="s">
        <v>16</v>
      </c>
      <c r="E63" s="56" t="s">
        <v>126</v>
      </c>
      <c r="G63" t="s">
        <v>1521</v>
      </c>
      <c r="H63" s="56" t="s">
        <v>23</v>
      </c>
      <c r="I63" s="80" t="s">
        <v>1592</v>
      </c>
      <c r="J63" s="56" t="s">
        <v>1584</v>
      </c>
      <c r="K63" t="s">
        <v>708</v>
      </c>
    </row>
    <row r="64" spans="1:11" x14ac:dyDescent="0.25">
      <c r="A64" s="56" t="s">
        <v>1573</v>
      </c>
      <c r="B64" s="56"/>
      <c r="C64" s="56"/>
      <c r="D64" s="57"/>
      <c r="E64" s="56"/>
      <c r="G64"/>
      <c r="H64" s="56"/>
      <c r="I64" s="56"/>
      <c r="J64" s="56" t="s">
        <v>1587</v>
      </c>
      <c r="K64" t="s">
        <v>709</v>
      </c>
    </row>
    <row r="65" spans="1:11" x14ac:dyDescent="0.25">
      <c r="A65" s="56" t="s">
        <v>1573</v>
      </c>
      <c r="B65" s="56"/>
      <c r="C65" s="56"/>
      <c r="D65" s="57"/>
      <c r="E65" s="56"/>
      <c r="G65"/>
      <c r="H65" s="56"/>
      <c r="I65" s="56"/>
      <c r="J65" s="56" t="s">
        <v>1587</v>
      </c>
      <c r="K65" t="s">
        <v>710</v>
      </c>
    </row>
    <row r="66" spans="1:11" x14ac:dyDescent="0.25">
      <c r="A66" s="56" t="s">
        <v>1573</v>
      </c>
      <c r="B66" s="56"/>
      <c r="C66" s="56"/>
      <c r="D66" s="57"/>
      <c r="E66" s="56"/>
      <c r="G66"/>
      <c r="H66" s="56"/>
      <c r="I66" s="56"/>
      <c r="J66" s="56" t="s">
        <v>1587</v>
      </c>
      <c r="K66" t="s">
        <v>711</v>
      </c>
    </row>
    <row r="67" spans="1:11" x14ac:dyDescent="0.25">
      <c r="A67" s="56" t="s">
        <v>1573</v>
      </c>
      <c r="B67" s="56"/>
      <c r="C67" s="56"/>
      <c r="D67" s="57"/>
      <c r="E67" s="56"/>
      <c r="G67"/>
      <c r="H67" s="56"/>
      <c r="I67" s="56"/>
      <c r="J67" s="56" t="s">
        <v>1587</v>
      </c>
      <c r="K67" t="s">
        <v>712</v>
      </c>
    </row>
    <row r="68" spans="1:11" x14ac:dyDescent="0.25">
      <c r="A68" s="56" t="s">
        <v>1573</v>
      </c>
      <c r="B68" s="56"/>
      <c r="C68" s="56"/>
      <c r="D68" s="57"/>
      <c r="E68" s="56"/>
      <c r="G68"/>
      <c r="H68" s="56"/>
      <c r="I68" s="56"/>
      <c r="J68" s="56" t="s">
        <v>1587</v>
      </c>
      <c r="K68" t="s">
        <v>713</v>
      </c>
    </row>
    <row r="69" spans="1:11" x14ac:dyDescent="0.25">
      <c r="A69" s="56" t="s">
        <v>1573</v>
      </c>
      <c r="B69" s="56"/>
      <c r="C69" s="56"/>
      <c r="D69" s="57"/>
      <c r="E69" s="56"/>
      <c r="G69"/>
      <c r="H69" s="56"/>
      <c r="I69" s="56"/>
      <c r="J69" s="56" t="s">
        <v>1587</v>
      </c>
      <c r="K69" t="s">
        <v>714</v>
      </c>
    </row>
    <row r="70" spans="1:11" x14ac:dyDescent="0.25">
      <c r="A70" s="56" t="s">
        <v>1573</v>
      </c>
      <c r="B70" s="56"/>
      <c r="C70" s="56"/>
      <c r="D70" s="57"/>
      <c r="E70" s="56"/>
      <c r="G70"/>
      <c r="H70" s="56"/>
      <c r="I70" s="56"/>
      <c r="J70" s="56" t="s">
        <v>1587</v>
      </c>
      <c r="K70" t="s">
        <v>715</v>
      </c>
    </row>
    <row r="71" spans="1:11" x14ac:dyDescent="0.25">
      <c r="A71" s="56" t="s">
        <v>1573</v>
      </c>
      <c r="B71" s="56"/>
      <c r="C71" s="56"/>
      <c r="D71" s="57"/>
      <c r="E71" s="56"/>
      <c r="G71"/>
      <c r="H71" s="56"/>
      <c r="I71" s="56"/>
      <c r="J71" s="56" t="s">
        <v>1587</v>
      </c>
      <c r="K71" t="s">
        <v>716</v>
      </c>
    </row>
    <row r="72" spans="1:11" x14ac:dyDescent="0.25">
      <c r="A72" s="56" t="s">
        <v>1573</v>
      </c>
      <c r="B72" s="56" t="s">
        <v>1575</v>
      </c>
      <c r="C72" s="56" t="s">
        <v>11</v>
      </c>
      <c r="D72" s="57" t="s">
        <v>17</v>
      </c>
      <c r="E72" s="56" t="s">
        <v>126</v>
      </c>
      <c r="G72" t="s">
        <v>1521</v>
      </c>
      <c r="H72" s="56" t="s">
        <v>23</v>
      </c>
      <c r="I72" s="80" t="s">
        <v>1592</v>
      </c>
      <c r="J72" s="56" t="s">
        <v>1584</v>
      </c>
      <c r="K72" t="s">
        <v>717</v>
      </c>
    </row>
    <row r="73" spans="1:11" x14ac:dyDescent="0.25">
      <c r="A73" s="56" t="s">
        <v>1573</v>
      </c>
      <c r="B73" s="56" t="s">
        <v>1575</v>
      </c>
      <c r="C73" s="56" t="s">
        <v>12</v>
      </c>
      <c r="D73" s="57" t="s">
        <v>17</v>
      </c>
      <c r="E73" s="56" t="s">
        <v>126</v>
      </c>
      <c r="G73" t="s">
        <v>1521</v>
      </c>
      <c r="H73" s="56" t="s">
        <v>23</v>
      </c>
      <c r="I73" s="80" t="s">
        <v>1592</v>
      </c>
      <c r="J73" s="56" t="s">
        <v>1584</v>
      </c>
      <c r="K73" t="s">
        <v>718</v>
      </c>
    </row>
    <row r="74" spans="1:11" x14ac:dyDescent="0.25">
      <c r="A74" s="56" t="s">
        <v>1573</v>
      </c>
      <c r="B74" s="56" t="s">
        <v>1574</v>
      </c>
      <c r="C74" s="56"/>
      <c r="D74" s="57" t="s">
        <v>6</v>
      </c>
      <c r="E74" s="56" t="s">
        <v>79</v>
      </c>
      <c r="G74" t="s">
        <v>1522</v>
      </c>
      <c r="H74" s="56" t="s">
        <v>23</v>
      </c>
      <c r="I74" s="80" t="s">
        <v>1593</v>
      </c>
      <c r="J74" s="56" t="s">
        <v>1584</v>
      </c>
      <c r="K74" t="s">
        <v>758</v>
      </c>
    </row>
    <row r="75" spans="1:11" x14ac:dyDescent="0.25">
      <c r="A75" s="56" t="s">
        <v>1573</v>
      </c>
      <c r="B75" s="56" t="s">
        <v>1574</v>
      </c>
      <c r="C75" s="56"/>
      <c r="D75" s="57" t="s">
        <v>7</v>
      </c>
      <c r="E75" s="56" t="s">
        <v>79</v>
      </c>
      <c r="G75" t="s">
        <v>1522</v>
      </c>
      <c r="H75" s="56" t="s">
        <v>23</v>
      </c>
      <c r="I75" s="80" t="s">
        <v>1593</v>
      </c>
      <c r="J75" s="56" t="s">
        <v>1584</v>
      </c>
      <c r="K75" t="s">
        <v>759</v>
      </c>
    </row>
    <row r="76" spans="1:11" x14ac:dyDescent="0.25">
      <c r="A76" s="56" t="s">
        <v>1573</v>
      </c>
      <c r="B76" s="56" t="s">
        <v>1575</v>
      </c>
      <c r="C76" s="56" t="s">
        <v>11</v>
      </c>
      <c r="D76" s="57" t="s">
        <v>8</v>
      </c>
      <c r="E76" s="56" t="s">
        <v>79</v>
      </c>
      <c r="G76" t="s">
        <v>1522</v>
      </c>
      <c r="H76" s="56" t="s">
        <v>23</v>
      </c>
      <c r="I76" s="80" t="s">
        <v>1593</v>
      </c>
      <c r="J76" s="56" t="s">
        <v>1584</v>
      </c>
      <c r="K76" t="s">
        <v>760</v>
      </c>
    </row>
    <row r="77" spans="1:11" x14ac:dyDescent="0.25">
      <c r="A77" s="56" t="s">
        <v>1573</v>
      </c>
      <c r="B77" s="56" t="s">
        <v>1575</v>
      </c>
      <c r="C77" s="56" t="s">
        <v>12</v>
      </c>
      <c r="D77" s="57" t="s">
        <v>8</v>
      </c>
      <c r="E77" s="56" t="s">
        <v>79</v>
      </c>
      <c r="G77" t="s">
        <v>1522</v>
      </c>
      <c r="H77" s="56" t="s">
        <v>23</v>
      </c>
      <c r="I77" s="80" t="s">
        <v>1593</v>
      </c>
      <c r="J77" s="56" t="s">
        <v>1584</v>
      </c>
      <c r="K77" t="s">
        <v>761</v>
      </c>
    </row>
    <row r="78" spans="1:11" x14ac:dyDescent="0.25">
      <c r="A78" s="56" t="s">
        <v>1573</v>
      </c>
      <c r="B78" s="56" t="s">
        <v>1574</v>
      </c>
      <c r="C78" s="56"/>
      <c r="D78" s="57" t="s">
        <v>6</v>
      </c>
      <c r="E78" s="56" t="s">
        <v>126</v>
      </c>
      <c r="G78" t="s">
        <v>1522</v>
      </c>
      <c r="H78" s="56" t="s">
        <v>23</v>
      </c>
      <c r="I78" s="80" t="s">
        <v>1594</v>
      </c>
      <c r="J78" s="56" t="s">
        <v>1584</v>
      </c>
      <c r="K78" t="s">
        <v>762</v>
      </c>
    </row>
    <row r="79" spans="1:11" x14ac:dyDescent="0.25">
      <c r="A79" s="56" t="s">
        <v>1573</v>
      </c>
      <c r="B79" s="56" t="s">
        <v>1574</v>
      </c>
      <c r="C79" s="56"/>
      <c r="D79" s="57" t="s">
        <v>7</v>
      </c>
      <c r="E79" s="56" t="s">
        <v>126</v>
      </c>
      <c r="G79" t="s">
        <v>1522</v>
      </c>
      <c r="H79" s="56" t="s">
        <v>23</v>
      </c>
      <c r="I79" s="80" t="s">
        <v>1594</v>
      </c>
      <c r="J79" s="56" t="s">
        <v>1584</v>
      </c>
      <c r="K79" t="s">
        <v>763</v>
      </c>
    </row>
    <row r="80" spans="1:11" x14ac:dyDescent="0.25">
      <c r="A80" s="56" t="s">
        <v>1573</v>
      </c>
      <c r="B80" s="56" t="s">
        <v>1575</v>
      </c>
      <c r="C80" s="56" t="s">
        <v>11</v>
      </c>
      <c r="D80" s="57" t="s">
        <v>8</v>
      </c>
      <c r="E80" s="56" t="s">
        <v>126</v>
      </c>
      <c r="G80" t="s">
        <v>1522</v>
      </c>
      <c r="H80" s="56" t="s">
        <v>23</v>
      </c>
      <c r="I80" s="80" t="s">
        <v>1594</v>
      </c>
      <c r="J80" s="56" t="s">
        <v>1584</v>
      </c>
      <c r="K80" t="s">
        <v>764</v>
      </c>
    </row>
    <row r="81" spans="1:11" x14ac:dyDescent="0.25">
      <c r="A81" s="56" t="s">
        <v>1573</v>
      </c>
      <c r="B81" s="56" t="s">
        <v>1575</v>
      </c>
      <c r="C81" s="56" t="s">
        <v>12</v>
      </c>
      <c r="D81" s="57" t="s">
        <v>8</v>
      </c>
      <c r="E81" s="56" t="s">
        <v>126</v>
      </c>
      <c r="G81" t="s">
        <v>1522</v>
      </c>
      <c r="H81" s="56" t="s">
        <v>23</v>
      </c>
      <c r="I81" s="80" t="s">
        <v>1594</v>
      </c>
      <c r="J81" s="56" t="s">
        <v>1584</v>
      </c>
      <c r="K81" t="s">
        <v>765</v>
      </c>
    </row>
    <row r="82" spans="1:11" x14ac:dyDescent="0.25">
      <c r="A82" s="56" t="s">
        <v>1573</v>
      </c>
      <c r="B82" s="56" t="s">
        <v>1575</v>
      </c>
      <c r="C82" s="56" t="s">
        <v>11</v>
      </c>
      <c r="D82" s="57" t="s">
        <v>9</v>
      </c>
      <c r="E82" s="56" t="s">
        <v>79</v>
      </c>
      <c r="G82" t="s">
        <v>1522</v>
      </c>
      <c r="H82" s="56" t="s">
        <v>23</v>
      </c>
      <c r="I82" s="80" t="s">
        <v>1595</v>
      </c>
      <c r="J82" s="56" t="s">
        <v>1584</v>
      </c>
      <c r="K82" t="s">
        <v>766</v>
      </c>
    </row>
    <row r="83" spans="1:11" x14ac:dyDescent="0.25">
      <c r="A83" s="56" t="s">
        <v>1573</v>
      </c>
      <c r="B83" s="56" t="s">
        <v>1575</v>
      </c>
      <c r="C83" s="56" t="s">
        <v>12</v>
      </c>
      <c r="D83" s="57" t="s">
        <v>9</v>
      </c>
      <c r="E83" s="56" t="s">
        <v>79</v>
      </c>
      <c r="G83" t="s">
        <v>1522</v>
      </c>
      <c r="H83" s="56" t="s">
        <v>23</v>
      </c>
      <c r="I83" s="80" t="s">
        <v>1595</v>
      </c>
      <c r="J83" s="56" t="s">
        <v>1584</v>
      </c>
      <c r="K83" t="s">
        <v>767</v>
      </c>
    </row>
    <row r="84" spans="1:11" x14ac:dyDescent="0.25">
      <c r="A84" s="56" t="s">
        <v>1573</v>
      </c>
      <c r="B84" s="56" t="s">
        <v>1575</v>
      </c>
      <c r="C84" s="56" t="s">
        <v>11</v>
      </c>
      <c r="D84" s="57" t="s">
        <v>16</v>
      </c>
      <c r="E84" s="56" t="s">
        <v>79</v>
      </c>
      <c r="G84" t="s">
        <v>1522</v>
      </c>
      <c r="H84" s="56" t="s">
        <v>23</v>
      </c>
      <c r="I84" s="80" t="s">
        <v>1595</v>
      </c>
      <c r="J84" s="56" t="s">
        <v>1584</v>
      </c>
      <c r="K84" t="s">
        <v>768</v>
      </c>
    </row>
    <row r="85" spans="1:11" x14ac:dyDescent="0.25">
      <c r="A85" s="56" t="s">
        <v>1573</v>
      </c>
      <c r="B85" s="56" t="s">
        <v>1575</v>
      </c>
      <c r="C85" s="56" t="s">
        <v>12</v>
      </c>
      <c r="D85" s="57" t="s">
        <v>16</v>
      </c>
      <c r="E85" s="56" t="s">
        <v>79</v>
      </c>
      <c r="G85" t="s">
        <v>1522</v>
      </c>
      <c r="H85" s="56" t="s">
        <v>23</v>
      </c>
      <c r="I85" s="80" t="s">
        <v>1595</v>
      </c>
      <c r="J85" s="56" t="s">
        <v>1584</v>
      </c>
      <c r="K85" t="s">
        <v>769</v>
      </c>
    </row>
    <row r="86" spans="1:11" x14ac:dyDescent="0.25">
      <c r="A86" s="56" t="s">
        <v>1573</v>
      </c>
      <c r="B86" s="56"/>
      <c r="C86" s="56"/>
      <c r="D86" s="57"/>
      <c r="E86" s="56"/>
      <c r="G86"/>
      <c r="H86" s="56"/>
      <c r="I86" s="56"/>
      <c r="J86" s="56" t="s">
        <v>1587</v>
      </c>
      <c r="K86" t="s">
        <v>770</v>
      </c>
    </row>
    <row r="87" spans="1:11" x14ac:dyDescent="0.25">
      <c r="A87" s="56" t="s">
        <v>1573</v>
      </c>
      <c r="B87" s="56"/>
      <c r="C87" s="56"/>
      <c r="D87" s="57"/>
      <c r="E87" s="56"/>
      <c r="G87"/>
      <c r="H87" s="56"/>
      <c r="I87" s="56"/>
      <c r="J87" s="56" t="s">
        <v>1587</v>
      </c>
      <c r="K87" t="s">
        <v>771</v>
      </c>
    </row>
    <row r="88" spans="1:11" x14ac:dyDescent="0.25">
      <c r="A88" s="56" t="s">
        <v>1573</v>
      </c>
      <c r="B88" s="56"/>
      <c r="C88" s="56"/>
      <c r="D88" s="57"/>
      <c r="E88" s="56"/>
      <c r="G88"/>
      <c r="H88" s="56"/>
      <c r="I88" s="56"/>
      <c r="J88" s="56" t="s">
        <v>1587</v>
      </c>
      <c r="K88" t="s">
        <v>772</v>
      </c>
    </row>
    <row r="89" spans="1:11" x14ac:dyDescent="0.25">
      <c r="A89" s="56" t="s">
        <v>1573</v>
      </c>
      <c r="B89" s="56"/>
      <c r="C89" s="56"/>
      <c r="D89" s="57"/>
      <c r="E89" s="56"/>
      <c r="G89"/>
      <c r="H89" s="56"/>
      <c r="I89" s="56"/>
      <c r="J89" s="56" t="s">
        <v>1587</v>
      </c>
      <c r="K89" t="s">
        <v>773</v>
      </c>
    </row>
    <row r="90" spans="1:11" x14ac:dyDescent="0.25">
      <c r="A90" s="56" t="s">
        <v>1573</v>
      </c>
      <c r="B90" s="56"/>
      <c r="C90" s="56"/>
      <c r="D90" s="57"/>
      <c r="E90" s="56"/>
      <c r="G90"/>
      <c r="H90" s="56"/>
      <c r="I90" s="56"/>
      <c r="J90" s="56" t="s">
        <v>1587</v>
      </c>
      <c r="K90" t="s">
        <v>774</v>
      </c>
    </row>
    <row r="91" spans="1:11" x14ac:dyDescent="0.25">
      <c r="A91" s="56" t="s">
        <v>1573</v>
      </c>
      <c r="B91" s="56"/>
      <c r="C91" s="56"/>
      <c r="D91" s="57"/>
      <c r="E91" s="56"/>
      <c r="G91"/>
      <c r="H91" s="56"/>
      <c r="I91" s="56"/>
      <c r="J91" s="56" t="s">
        <v>1587</v>
      </c>
      <c r="K91" t="s">
        <v>775</v>
      </c>
    </row>
    <row r="92" spans="1:11" x14ac:dyDescent="0.25">
      <c r="A92" s="56" t="s">
        <v>1573</v>
      </c>
      <c r="B92" s="56"/>
      <c r="C92" s="56"/>
      <c r="D92" s="57"/>
      <c r="E92" s="56"/>
      <c r="G92"/>
      <c r="H92" s="56"/>
      <c r="I92" s="56"/>
      <c r="J92" s="56" t="s">
        <v>1587</v>
      </c>
      <c r="K92" t="s">
        <v>776</v>
      </c>
    </row>
    <row r="93" spans="1:11" x14ac:dyDescent="0.25">
      <c r="A93" s="56" t="s">
        <v>1573</v>
      </c>
      <c r="B93" s="56"/>
      <c r="C93" s="56"/>
      <c r="D93" s="57"/>
      <c r="E93" s="56"/>
      <c r="G93"/>
      <c r="H93" s="56"/>
      <c r="I93" s="56"/>
      <c r="J93" s="56" t="s">
        <v>1587</v>
      </c>
      <c r="K93" t="s">
        <v>777</v>
      </c>
    </row>
    <row r="94" spans="1:11" x14ac:dyDescent="0.25">
      <c r="A94" s="56" t="s">
        <v>1573</v>
      </c>
      <c r="B94" s="56" t="s">
        <v>1575</v>
      </c>
      <c r="C94" s="56" t="s">
        <v>11</v>
      </c>
      <c r="D94" s="57" t="s">
        <v>17</v>
      </c>
      <c r="E94" s="56" t="s">
        <v>79</v>
      </c>
      <c r="G94" t="s">
        <v>1522</v>
      </c>
      <c r="H94" s="56" t="s">
        <v>23</v>
      </c>
      <c r="I94" s="80" t="s">
        <v>1595</v>
      </c>
      <c r="J94" s="56" t="s">
        <v>1584</v>
      </c>
      <c r="K94" t="s">
        <v>778</v>
      </c>
    </row>
    <row r="95" spans="1:11" x14ac:dyDescent="0.25">
      <c r="A95" s="56" t="s">
        <v>1573</v>
      </c>
      <c r="B95" s="56" t="s">
        <v>1575</v>
      </c>
      <c r="C95" s="56" t="s">
        <v>12</v>
      </c>
      <c r="D95" s="57" t="s">
        <v>17</v>
      </c>
      <c r="E95" s="56" t="s">
        <v>79</v>
      </c>
      <c r="G95" t="s">
        <v>1522</v>
      </c>
      <c r="H95" s="56" t="s">
        <v>23</v>
      </c>
      <c r="I95" s="80" t="s">
        <v>1595</v>
      </c>
      <c r="J95" s="56" t="s">
        <v>1584</v>
      </c>
      <c r="K95" t="s">
        <v>779</v>
      </c>
    </row>
    <row r="96" spans="1:11" x14ac:dyDescent="0.25">
      <c r="A96" s="56" t="s">
        <v>1573</v>
      </c>
      <c r="B96" s="56" t="s">
        <v>1575</v>
      </c>
      <c r="C96" s="56" t="s">
        <v>11</v>
      </c>
      <c r="D96" s="57" t="s">
        <v>9</v>
      </c>
      <c r="E96" s="56" t="s">
        <v>126</v>
      </c>
      <c r="G96" t="s">
        <v>1522</v>
      </c>
      <c r="H96" s="56" t="s">
        <v>23</v>
      </c>
      <c r="I96" s="80" t="s">
        <v>1596</v>
      </c>
      <c r="J96" s="56" t="s">
        <v>1584</v>
      </c>
      <c r="K96" t="s">
        <v>780</v>
      </c>
    </row>
    <row r="97" spans="1:11" x14ac:dyDescent="0.25">
      <c r="A97" s="56" t="s">
        <v>1573</v>
      </c>
      <c r="B97" s="56" t="s">
        <v>1575</v>
      </c>
      <c r="C97" s="56" t="s">
        <v>12</v>
      </c>
      <c r="D97" s="57" t="s">
        <v>9</v>
      </c>
      <c r="E97" s="56" t="s">
        <v>126</v>
      </c>
      <c r="G97" t="s">
        <v>1522</v>
      </c>
      <c r="H97" s="56" t="s">
        <v>23</v>
      </c>
      <c r="I97" s="80" t="s">
        <v>1596</v>
      </c>
      <c r="J97" s="56" t="s">
        <v>1584</v>
      </c>
      <c r="K97" t="s">
        <v>781</v>
      </c>
    </row>
    <row r="98" spans="1:11" x14ac:dyDescent="0.25">
      <c r="A98" s="56" t="s">
        <v>1573</v>
      </c>
      <c r="B98" s="56" t="s">
        <v>1575</v>
      </c>
      <c r="C98" s="56" t="s">
        <v>11</v>
      </c>
      <c r="D98" s="57" t="s">
        <v>16</v>
      </c>
      <c r="E98" s="56" t="s">
        <v>126</v>
      </c>
      <c r="G98" t="s">
        <v>1522</v>
      </c>
      <c r="H98" s="56" t="s">
        <v>23</v>
      </c>
      <c r="I98" s="80" t="s">
        <v>1596</v>
      </c>
      <c r="J98" s="56" t="s">
        <v>1584</v>
      </c>
      <c r="K98" t="s">
        <v>782</v>
      </c>
    </row>
    <row r="99" spans="1:11" x14ac:dyDescent="0.25">
      <c r="A99" s="56" t="s">
        <v>1573</v>
      </c>
      <c r="B99" s="56" t="s">
        <v>1575</v>
      </c>
      <c r="C99" s="56" t="s">
        <v>12</v>
      </c>
      <c r="D99" s="57" t="s">
        <v>16</v>
      </c>
      <c r="E99" s="56" t="s">
        <v>126</v>
      </c>
      <c r="G99" t="s">
        <v>1522</v>
      </c>
      <c r="H99" s="56" t="s">
        <v>23</v>
      </c>
      <c r="I99" s="80" t="s">
        <v>1596</v>
      </c>
      <c r="J99" s="56" t="s">
        <v>1584</v>
      </c>
      <c r="K99" t="s">
        <v>783</v>
      </c>
    </row>
    <row r="100" spans="1:11" x14ac:dyDescent="0.25">
      <c r="A100" s="56" t="s">
        <v>1573</v>
      </c>
      <c r="B100" s="56"/>
      <c r="C100" s="56"/>
      <c r="D100" s="57"/>
      <c r="E100" s="56"/>
      <c r="G100"/>
      <c r="H100" s="56"/>
      <c r="I100" s="56"/>
      <c r="J100" s="56" t="s">
        <v>1587</v>
      </c>
      <c r="K100" t="s">
        <v>784</v>
      </c>
    </row>
    <row r="101" spans="1:11" x14ac:dyDescent="0.25">
      <c r="A101" s="56" t="s">
        <v>1573</v>
      </c>
      <c r="B101" s="56"/>
      <c r="C101" s="56"/>
      <c r="D101" s="57"/>
      <c r="E101" s="56"/>
      <c r="G101"/>
      <c r="H101" s="56"/>
      <c r="I101" s="56"/>
      <c r="J101" s="56" t="s">
        <v>1587</v>
      </c>
      <c r="K101" t="s">
        <v>785</v>
      </c>
    </row>
    <row r="102" spans="1:11" x14ac:dyDescent="0.25">
      <c r="A102" s="56" t="s">
        <v>1573</v>
      </c>
      <c r="B102" s="56"/>
      <c r="C102" s="56"/>
      <c r="D102" s="57"/>
      <c r="E102" s="56"/>
      <c r="G102"/>
      <c r="H102" s="56"/>
      <c r="I102" s="56"/>
      <c r="J102" s="56" t="s">
        <v>1587</v>
      </c>
      <c r="K102" t="s">
        <v>786</v>
      </c>
    </row>
    <row r="103" spans="1:11" x14ac:dyDescent="0.25">
      <c r="A103" s="56" t="s">
        <v>1573</v>
      </c>
      <c r="B103" s="56"/>
      <c r="C103" s="56"/>
      <c r="D103" s="57"/>
      <c r="E103" s="56"/>
      <c r="G103"/>
      <c r="H103" s="56"/>
      <c r="I103" s="56"/>
      <c r="J103" s="56" t="s">
        <v>1587</v>
      </c>
      <c r="K103" t="s">
        <v>787</v>
      </c>
    </row>
    <row r="104" spans="1:11" x14ac:dyDescent="0.25">
      <c r="A104" s="56" t="s">
        <v>1573</v>
      </c>
      <c r="B104" s="56"/>
      <c r="C104" s="56"/>
      <c r="D104" s="57"/>
      <c r="E104" s="56"/>
      <c r="G104"/>
      <c r="H104" s="56"/>
      <c r="I104" s="56"/>
      <c r="J104" s="56" t="s">
        <v>1587</v>
      </c>
      <c r="K104" t="s">
        <v>788</v>
      </c>
    </row>
    <row r="105" spans="1:11" x14ac:dyDescent="0.25">
      <c r="A105" s="56" t="s">
        <v>1573</v>
      </c>
      <c r="B105" s="56"/>
      <c r="C105" s="56"/>
      <c r="D105" s="57"/>
      <c r="E105" s="56"/>
      <c r="G105"/>
      <c r="H105" s="56"/>
      <c r="I105" s="56"/>
      <c r="J105" s="56" t="s">
        <v>1587</v>
      </c>
      <c r="K105" t="s">
        <v>789</v>
      </c>
    </row>
    <row r="106" spans="1:11" x14ac:dyDescent="0.25">
      <c r="A106" s="56" t="s">
        <v>1573</v>
      </c>
      <c r="B106" s="56"/>
      <c r="C106" s="56"/>
      <c r="D106" s="57"/>
      <c r="E106" s="56"/>
      <c r="G106"/>
      <c r="H106" s="56"/>
      <c r="I106" s="56"/>
      <c r="J106" s="56" t="s">
        <v>1587</v>
      </c>
      <c r="K106" t="s">
        <v>790</v>
      </c>
    </row>
    <row r="107" spans="1:11" x14ac:dyDescent="0.25">
      <c r="A107" s="56" t="s">
        <v>1573</v>
      </c>
      <c r="B107" s="56"/>
      <c r="C107" s="56"/>
      <c r="D107" s="57"/>
      <c r="E107" s="56"/>
      <c r="G107"/>
      <c r="H107" s="56"/>
      <c r="I107" s="56"/>
      <c r="J107" s="56" t="s">
        <v>1587</v>
      </c>
      <c r="K107" t="s">
        <v>791</v>
      </c>
    </row>
    <row r="108" spans="1:11" x14ac:dyDescent="0.25">
      <c r="A108" s="56" t="s">
        <v>1573</v>
      </c>
      <c r="B108" s="56" t="s">
        <v>1575</v>
      </c>
      <c r="C108" s="56" t="s">
        <v>11</v>
      </c>
      <c r="D108" s="57" t="s">
        <v>17</v>
      </c>
      <c r="E108" s="56" t="s">
        <v>126</v>
      </c>
      <c r="G108" t="s">
        <v>1522</v>
      </c>
      <c r="H108" s="56" t="s">
        <v>23</v>
      </c>
      <c r="I108" s="80" t="s">
        <v>1596</v>
      </c>
      <c r="J108" s="56" t="s">
        <v>1584</v>
      </c>
      <c r="K108" t="s">
        <v>792</v>
      </c>
    </row>
    <row r="109" spans="1:11" x14ac:dyDescent="0.25">
      <c r="A109" s="56" t="s">
        <v>1573</v>
      </c>
      <c r="B109" s="56" t="s">
        <v>1575</v>
      </c>
      <c r="C109" s="56" t="s">
        <v>12</v>
      </c>
      <c r="D109" s="57" t="s">
        <v>17</v>
      </c>
      <c r="E109" s="56" t="s">
        <v>126</v>
      </c>
      <c r="G109" t="s">
        <v>1522</v>
      </c>
      <c r="H109" s="56" t="s">
        <v>23</v>
      </c>
      <c r="I109" s="80" t="s">
        <v>1596</v>
      </c>
      <c r="J109" s="56" t="s">
        <v>1584</v>
      </c>
      <c r="K109" t="s">
        <v>793</v>
      </c>
    </row>
    <row r="110" spans="1:11" x14ac:dyDescent="0.25">
      <c r="A110" s="56" t="s">
        <v>1573</v>
      </c>
      <c r="B110" s="56" t="s">
        <v>1574</v>
      </c>
      <c r="C110" s="56"/>
      <c r="D110" s="57" t="s">
        <v>6</v>
      </c>
      <c r="E110" s="56" t="s">
        <v>79</v>
      </c>
      <c r="G110" t="s">
        <v>1523</v>
      </c>
      <c r="H110" s="56" t="s">
        <v>23</v>
      </c>
      <c r="I110" s="80" t="s">
        <v>1597</v>
      </c>
      <c r="J110" s="56" t="s">
        <v>1584</v>
      </c>
      <c r="K110" t="s">
        <v>833</v>
      </c>
    </row>
    <row r="111" spans="1:11" x14ac:dyDescent="0.25">
      <c r="A111" s="56" t="s">
        <v>1573</v>
      </c>
      <c r="B111" s="56" t="s">
        <v>1574</v>
      </c>
      <c r="C111" s="56"/>
      <c r="D111" s="57" t="s">
        <v>7</v>
      </c>
      <c r="E111" s="56" t="s">
        <v>79</v>
      </c>
      <c r="G111" t="s">
        <v>1523</v>
      </c>
      <c r="H111" s="56" t="s">
        <v>23</v>
      </c>
      <c r="I111" s="80" t="s">
        <v>1597</v>
      </c>
      <c r="J111" s="56" t="s">
        <v>1584</v>
      </c>
      <c r="K111" t="s">
        <v>834</v>
      </c>
    </row>
    <row r="112" spans="1:11" x14ac:dyDescent="0.25">
      <c r="A112" s="56" t="s">
        <v>1573</v>
      </c>
      <c r="B112" s="56" t="s">
        <v>1575</v>
      </c>
      <c r="C112" s="56" t="s">
        <v>11</v>
      </c>
      <c r="D112" s="57" t="s">
        <v>8</v>
      </c>
      <c r="E112" s="56" t="s">
        <v>79</v>
      </c>
      <c r="G112" t="s">
        <v>1523</v>
      </c>
      <c r="H112" s="56" t="s">
        <v>23</v>
      </c>
      <c r="I112" s="80" t="s">
        <v>1597</v>
      </c>
      <c r="J112" s="56" t="s">
        <v>1584</v>
      </c>
      <c r="K112" t="s">
        <v>835</v>
      </c>
    </row>
    <row r="113" spans="1:11" x14ac:dyDescent="0.25">
      <c r="A113" s="56" t="s">
        <v>1573</v>
      </c>
      <c r="B113" s="56" t="s">
        <v>1575</v>
      </c>
      <c r="C113" s="56" t="s">
        <v>12</v>
      </c>
      <c r="D113" s="57" t="s">
        <v>8</v>
      </c>
      <c r="E113" s="56" t="s">
        <v>79</v>
      </c>
      <c r="G113" t="s">
        <v>1523</v>
      </c>
      <c r="H113" s="56" t="s">
        <v>23</v>
      </c>
      <c r="I113" s="80" t="s">
        <v>1597</v>
      </c>
      <c r="J113" s="56" t="s">
        <v>1584</v>
      </c>
      <c r="K113" t="s">
        <v>836</v>
      </c>
    </row>
    <row r="114" spans="1:11" x14ac:dyDescent="0.25">
      <c r="A114" s="56" t="s">
        <v>1573</v>
      </c>
      <c r="B114" s="56" t="s">
        <v>1574</v>
      </c>
      <c r="C114" s="56"/>
      <c r="D114" s="57" t="s">
        <v>6</v>
      </c>
      <c r="E114" s="56" t="s">
        <v>126</v>
      </c>
      <c r="G114" t="s">
        <v>1523</v>
      </c>
      <c r="H114" s="56" t="s">
        <v>23</v>
      </c>
      <c r="I114" s="80" t="s">
        <v>1598</v>
      </c>
      <c r="J114" s="56" t="s">
        <v>1584</v>
      </c>
      <c r="K114" t="s">
        <v>837</v>
      </c>
    </row>
    <row r="115" spans="1:11" x14ac:dyDescent="0.25">
      <c r="A115" s="56" t="s">
        <v>1573</v>
      </c>
      <c r="B115" s="56" t="s">
        <v>1574</v>
      </c>
      <c r="C115" s="56"/>
      <c r="D115" s="57" t="s">
        <v>7</v>
      </c>
      <c r="E115" s="56" t="s">
        <v>126</v>
      </c>
      <c r="G115" t="s">
        <v>1523</v>
      </c>
      <c r="H115" s="56" t="s">
        <v>23</v>
      </c>
      <c r="I115" s="80" t="s">
        <v>1598</v>
      </c>
      <c r="J115" s="56" t="s">
        <v>1584</v>
      </c>
      <c r="K115" t="s">
        <v>838</v>
      </c>
    </row>
    <row r="116" spans="1:11" x14ac:dyDescent="0.25">
      <c r="A116" s="56" t="s">
        <v>1573</v>
      </c>
      <c r="B116" s="56" t="s">
        <v>1575</v>
      </c>
      <c r="C116" s="56" t="s">
        <v>11</v>
      </c>
      <c r="D116" s="57" t="s">
        <v>8</v>
      </c>
      <c r="E116" s="56" t="s">
        <v>126</v>
      </c>
      <c r="G116" t="s">
        <v>1523</v>
      </c>
      <c r="H116" s="56" t="s">
        <v>23</v>
      </c>
      <c r="I116" s="80" t="s">
        <v>1598</v>
      </c>
      <c r="J116" s="56" t="s">
        <v>1584</v>
      </c>
      <c r="K116" t="s">
        <v>839</v>
      </c>
    </row>
    <row r="117" spans="1:11" x14ac:dyDescent="0.25">
      <c r="A117" s="56" t="s">
        <v>1573</v>
      </c>
      <c r="B117" s="56" t="s">
        <v>1575</v>
      </c>
      <c r="C117" s="56" t="s">
        <v>12</v>
      </c>
      <c r="D117" s="57" t="s">
        <v>8</v>
      </c>
      <c r="E117" s="56" t="s">
        <v>126</v>
      </c>
      <c r="G117" t="s">
        <v>1523</v>
      </c>
      <c r="H117" s="56" t="s">
        <v>23</v>
      </c>
      <c r="I117" s="80" t="s">
        <v>1598</v>
      </c>
      <c r="J117" s="56" t="s">
        <v>1584</v>
      </c>
      <c r="K117" t="s">
        <v>840</v>
      </c>
    </row>
    <row r="118" spans="1:11" x14ac:dyDescent="0.25">
      <c r="A118" s="56" t="s">
        <v>1573</v>
      </c>
      <c r="B118" s="56" t="s">
        <v>1575</v>
      </c>
      <c r="C118" s="56" t="s">
        <v>11</v>
      </c>
      <c r="D118" s="57" t="s">
        <v>9</v>
      </c>
      <c r="E118" s="56" t="s">
        <v>79</v>
      </c>
      <c r="G118" t="s">
        <v>1523</v>
      </c>
      <c r="H118" s="56" t="s">
        <v>23</v>
      </c>
      <c r="I118" s="80" t="s">
        <v>1599</v>
      </c>
      <c r="J118" s="56" t="s">
        <v>1584</v>
      </c>
      <c r="K118" t="s">
        <v>841</v>
      </c>
    </row>
    <row r="119" spans="1:11" x14ac:dyDescent="0.25">
      <c r="A119" s="56" t="s">
        <v>1573</v>
      </c>
      <c r="B119" s="56" t="s">
        <v>1575</v>
      </c>
      <c r="C119" s="56" t="s">
        <v>12</v>
      </c>
      <c r="D119" s="57" t="s">
        <v>9</v>
      </c>
      <c r="E119" s="56" t="s">
        <v>79</v>
      </c>
      <c r="G119" t="s">
        <v>1523</v>
      </c>
      <c r="H119" s="56" t="s">
        <v>23</v>
      </c>
      <c r="I119" s="80" t="s">
        <v>1599</v>
      </c>
      <c r="J119" s="56" t="s">
        <v>1584</v>
      </c>
      <c r="K119" t="s">
        <v>842</v>
      </c>
    </row>
    <row r="120" spans="1:11" x14ac:dyDescent="0.25">
      <c r="A120" s="56" t="s">
        <v>1573</v>
      </c>
      <c r="B120" s="56" t="s">
        <v>1575</v>
      </c>
      <c r="C120" s="56" t="s">
        <v>11</v>
      </c>
      <c r="D120" s="57" t="s">
        <v>16</v>
      </c>
      <c r="E120" s="56" t="s">
        <v>79</v>
      </c>
      <c r="G120" t="s">
        <v>1523</v>
      </c>
      <c r="H120" s="56" t="s">
        <v>23</v>
      </c>
      <c r="I120" s="80" t="s">
        <v>1599</v>
      </c>
      <c r="J120" s="56" t="s">
        <v>1584</v>
      </c>
      <c r="K120" t="s">
        <v>843</v>
      </c>
    </row>
    <row r="121" spans="1:11" x14ac:dyDescent="0.25">
      <c r="A121" s="56" t="s">
        <v>1573</v>
      </c>
      <c r="B121" s="56" t="s">
        <v>1575</v>
      </c>
      <c r="C121" s="56" t="s">
        <v>12</v>
      </c>
      <c r="D121" s="57" t="s">
        <v>16</v>
      </c>
      <c r="E121" s="56" t="s">
        <v>79</v>
      </c>
      <c r="G121" t="s">
        <v>1523</v>
      </c>
      <c r="H121" s="56" t="s">
        <v>23</v>
      </c>
      <c r="I121" s="80" t="s">
        <v>1599</v>
      </c>
      <c r="J121" s="56" t="s">
        <v>1584</v>
      </c>
      <c r="K121" t="s">
        <v>844</v>
      </c>
    </row>
    <row r="122" spans="1:11" x14ac:dyDescent="0.25">
      <c r="A122" s="56" t="s">
        <v>1573</v>
      </c>
      <c r="B122" s="56"/>
      <c r="C122" s="56"/>
      <c r="D122" s="57"/>
      <c r="E122" s="56"/>
      <c r="G122"/>
      <c r="H122" s="56"/>
      <c r="I122" s="56"/>
      <c r="J122" s="56" t="s">
        <v>1587</v>
      </c>
      <c r="K122" t="s">
        <v>845</v>
      </c>
    </row>
    <row r="123" spans="1:11" x14ac:dyDescent="0.25">
      <c r="A123" s="56" t="s">
        <v>1573</v>
      </c>
      <c r="B123" s="56"/>
      <c r="C123" s="56"/>
      <c r="D123" s="57"/>
      <c r="E123" s="56"/>
      <c r="G123"/>
      <c r="H123" s="56"/>
      <c r="I123" s="56"/>
      <c r="J123" s="56" t="s">
        <v>1587</v>
      </c>
      <c r="K123" t="s">
        <v>846</v>
      </c>
    </row>
    <row r="124" spans="1:11" x14ac:dyDescent="0.25">
      <c r="A124" s="56" t="s">
        <v>1573</v>
      </c>
      <c r="B124" s="56"/>
      <c r="C124" s="56"/>
      <c r="D124" s="57"/>
      <c r="E124" s="56"/>
      <c r="G124"/>
      <c r="H124" s="56"/>
      <c r="I124" s="56"/>
      <c r="J124" s="56" t="s">
        <v>1587</v>
      </c>
      <c r="K124" t="s">
        <v>847</v>
      </c>
    </row>
    <row r="125" spans="1:11" x14ac:dyDescent="0.25">
      <c r="A125" s="56" t="s">
        <v>1573</v>
      </c>
      <c r="B125" s="56"/>
      <c r="C125" s="56"/>
      <c r="D125" s="57"/>
      <c r="E125" s="56"/>
      <c r="G125"/>
      <c r="H125" s="56"/>
      <c r="I125" s="56"/>
      <c r="J125" s="56" t="s">
        <v>1587</v>
      </c>
      <c r="K125" t="s">
        <v>848</v>
      </c>
    </row>
    <row r="126" spans="1:11" x14ac:dyDescent="0.25">
      <c r="A126" s="56" t="s">
        <v>1573</v>
      </c>
      <c r="B126" s="56"/>
      <c r="C126" s="56"/>
      <c r="D126" s="57"/>
      <c r="E126" s="56"/>
      <c r="G126"/>
      <c r="H126" s="56"/>
      <c r="I126" s="56"/>
      <c r="J126" s="56" t="s">
        <v>1587</v>
      </c>
      <c r="K126" t="s">
        <v>849</v>
      </c>
    </row>
    <row r="127" spans="1:11" x14ac:dyDescent="0.25">
      <c r="A127" s="56" t="s">
        <v>1573</v>
      </c>
      <c r="B127" s="56"/>
      <c r="C127" s="56"/>
      <c r="D127" s="57"/>
      <c r="E127" s="56"/>
      <c r="G127"/>
      <c r="H127" s="56"/>
      <c r="I127" s="56"/>
      <c r="J127" s="56" t="s">
        <v>1587</v>
      </c>
      <c r="K127" t="s">
        <v>850</v>
      </c>
    </row>
    <row r="128" spans="1:11" x14ac:dyDescent="0.25">
      <c r="A128" s="56" t="s">
        <v>1573</v>
      </c>
      <c r="B128" s="56"/>
      <c r="C128" s="56"/>
      <c r="D128" s="57"/>
      <c r="E128" s="56"/>
      <c r="G128"/>
      <c r="H128" s="56"/>
      <c r="I128" s="56"/>
      <c r="J128" s="56" t="s">
        <v>1587</v>
      </c>
      <c r="K128" t="s">
        <v>851</v>
      </c>
    </row>
    <row r="129" spans="1:11" x14ac:dyDescent="0.25">
      <c r="A129" s="56" t="s">
        <v>1573</v>
      </c>
      <c r="B129" s="56"/>
      <c r="C129" s="56"/>
      <c r="D129" s="57"/>
      <c r="E129" s="56"/>
      <c r="G129"/>
      <c r="H129" s="56"/>
      <c r="I129" s="56"/>
      <c r="J129" s="56" t="s">
        <v>1587</v>
      </c>
      <c r="K129" t="s">
        <v>852</v>
      </c>
    </row>
    <row r="130" spans="1:11" x14ac:dyDescent="0.25">
      <c r="A130" s="56" t="s">
        <v>1573</v>
      </c>
      <c r="B130" s="56" t="s">
        <v>1575</v>
      </c>
      <c r="C130" s="56" t="s">
        <v>11</v>
      </c>
      <c r="D130" s="57" t="s">
        <v>17</v>
      </c>
      <c r="E130" s="56" t="s">
        <v>79</v>
      </c>
      <c r="G130" t="s">
        <v>1523</v>
      </c>
      <c r="H130" s="56" t="s">
        <v>23</v>
      </c>
      <c r="I130" s="80" t="s">
        <v>1599</v>
      </c>
      <c r="J130" s="56" t="s">
        <v>1584</v>
      </c>
      <c r="K130" t="s">
        <v>853</v>
      </c>
    </row>
    <row r="131" spans="1:11" x14ac:dyDescent="0.25">
      <c r="A131" s="56" t="s">
        <v>1573</v>
      </c>
      <c r="B131" s="56" t="s">
        <v>1575</v>
      </c>
      <c r="C131" s="56" t="s">
        <v>12</v>
      </c>
      <c r="D131" s="57" t="s">
        <v>17</v>
      </c>
      <c r="E131" s="56" t="s">
        <v>79</v>
      </c>
      <c r="G131" t="s">
        <v>1523</v>
      </c>
      <c r="H131" s="56" t="s">
        <v>23</v>
      </c>
      <c r="I131" s="80" t="s">
        <v>1599</v>
      </c>
      <c r="J131" s="56" t="s">
        <v>1584</v>
      </c>
      <c r="K131" t="s">
        <v>854</v>
      </c>
    </row>
    <row r="132" spans="1:11" x14ac:dyDescent="0.25">
      <c r="A132" s="56" t="s">
        <v>1573</v>
      </c>
      <c r="B132" s="56" t="s">
        <v>1575</v>
      </c>
      <c r="C132" s="56" t="s">
        <v>11</v>
      </c>
      <c r="D132" s="57" t="s">
        <v>9</v>
      </c>
      <c r="E132" s="56" t="s">
        <v>126</v>
      </c>
      <c r="G132" t="s">
        <v>1523</v>
      </c>
      <c r="H132" s="56" t="s">
        <v>23</v>
      </c>
      <c r="I132" s="80" t="s">
        <v>1600</v>
      </c>
      <c r="J132" s="56" t="s">
        <v>1584</v>
      </c>
      <c r="K132" t="s">
        <v>855</v>
      </c>
    </row>
    <row r="133" spans="1:11" x14ac:dyDescent="0.25">
      <c r="A133" s="56" t="s">
        <v>1573</v>
      </c>
      <c r="B133" s="56" t="s">
        <v>1575</v>
      </c>
      <c r="C133" s="56" t="s">
        <v>12</v>
      </c>
      <c r="D133" s="57" t="s">
        <v>9</v>
      </c>
      <c r="E133" s="56" t="s">
        <v>126</v>
      </c>
      <c r="G133" t="s">
        <v>1523</v>
      </c>
      <c r="H133" s="56" t="s">
        <v>23</v>
      </c>
      <c r="I133" s="80" t="s">
        <v>1600</v>
      </c>
      <c r="J133" s="56" t="s">
        <v>1584</v>
      </c>
      <c r="K133" t="s">
        <v>856</v>
      </c>
    </row>
    <row r="134" spans="1:11" x14ac:dyDescent="0.25">
      <c r="A134" s="56" t="s">
        <v>1573</v>
      </c>
      <c r="B134" s="56" t="s">
        <v>1575</v>
      </c>
      <c r="C134" s="56" t="s">
        <v>11</v>
      </c>
      <c r="D134" s="57" t="s">
        <v>16</v>
      </c>
      <c r="E134" s="56" t="s">
        <v>126</v>
      </c>
      <c r="G134" t="s">
        <v>1523</v>
      </c>
      <c r="H134" s="56" t="s">
        <v>23</v>
      </c>
      <c r="I134" s="80" t="s">
        <v>1600</v>
      </c>
      <c r="J134" s="56" t="s">
        <v>1584</v>
      </c>
      <c r="K134" t="s">
        <v>857</v>
      </c>
    </row>
    <row r="135" spans="1:11" x14ac:dyDescent="0.25">
      <c r="A135" s="56" t="s">
        <v>1573</v>
      </c>
      <c r="B135" s="56" t="s">
        <v>1575</v>
      </c>
      <c r="C135" s="56" t="s">
        <v>12</v>
      </c>
      <c r="D135" s="57" t="s">
        <v>16</v>
      </c>
      <c r="E135" s="56" t="s">
        <v>126</v>
      </c>
      <c r="G135" t="s">
        <v>1523</v>
      </c>
      <c r="H135" s="56" t="s">
        <v>23</v>
      </c>
      <c r="I135" s="80" t="s">
        <v>1600</v>
      </c>
      <c r="J135" s="56" t="s">
        <v>1584</v>
      </c>
      <c r="K135" t="s">
        <v>858</v>
      </c>
    </row>
    <row r="136" spans="1:11" x14ac:dyDescent="0.25">
      <c r="A136" s="56" t="s">
        <v>1573</v>
      </c>
      <c r="B136" s="56"/>
      <c r="C136" s="56"/>
      <c r="D136" s="57"/>
      <c r="E136" s="56"/>
      <c r="G136"/>
      <c r="H136" s="56"/>
      <c r="I136" s="56"/>
      <c r="J136" s="56" t="s">
        <v>1587</v>
      </c>
      <c r="K136" t="s">
        <v>859</v>
      </c>
    </row>
    <row r="137" spans="1:11" x14ac:dyDescent="0.25">
      <c r="A137" s="56" t="s">
        <v>1573</v>
      </c>
      <c r="B137" s="56"/>
      <c r="C137" s="56"/>
      <c r="D137" s="57"/>
      <c r="E137" s="56"/>
      <c r="G137"/>
      <c r="H137" s="56"/>
      <c r="I137" s="56"/>
      <c r="J137" s="56" t="s">
        <v>1587</v>
      </c>
      <c r="K137" t="s">
        <v>860</v>
      </c>
    </row>
    <row r="138" spans="1:11" x14ac:dyDescent="0.25">
      <c r="A138" s="56" t="s">
        <v>1573</v>
      </c>
      <c r="B138" s="56"/>
      <c r="C138" s="56"/>
      <c r="D138" s="57"/>
      <c r="E138" s="56"/>
      <c r="G138"/>
      <c r="H138" s="56"/>
      <c r="I138" s="56"/>
      <c r="J138" s="56" t="s">
        <v>1587</v>
      </c>
      <c r="K138" t="s">
        <v>861</v>
      </c>
    </row>
    <row r="139" spans="1:11" x14ac:dyDescent="0.25">
      <c r="A139" s="56" t="s">
        <v>1573</v>
      </c>
      <c r="B139" s="56"/>
      <c r="C139" s="56"/>
      <c r="D139" s="57"/>
      <c r="E139" s="56"/>
      <c r="G139"/>
      <c r="H139" s="56"/>
      <c r="I139" s="56"/>
      <c r="J139" s="56" t="s">
        <v>1587</v>
      </c>
      <c r="K139" t="s">
        <v>862</v>
      </c>
    </row>
    <row r="140" spans="1:11" x14ac:dyDescent="0.25">
      <c r="A140" s="56" t="s">
        <v>1573</v>
      </c>
      <c r="B140" s="56"/>
      <c r="C140" s="56"/>
      <c r="D140" s="57"/>
      <c r="E140" s="56"/>
      <c r="G140"/>
      <c r="H140" s="56"/>
      <c r="I140" s="56"/>
      <c r="J140" s="56" t="s">
        <v>1587</v>
      </c>
      <c r="K140" t="s">
        <v>863</v>
      </c>
    </row>
    <row r="141" spans="1:11" x14ac:dyDescent="0.25">
      <c r="A141" s="56" t="s">
        <v>1573</v>
      </c>
      <c r="B141" s="56"/>
      <c r="C141" s="56"/>
      <c r="D141" s="57"/>
      <c r="E141" s="56"/>
      <c r="G141"/>
      <c r="H141" s="56"/>
      <c r="I141" s="56"/>
      <c r="J141" s="56" t="s">
        <v>1587</v>
      </c>
      <c r="K141" t="s">
        <v>864</v>
      </c>
    </row>
    <row r="142" spans="1:11" x14ac:dyDescent="0.25">
      <c r="A142" s="56" t="s">
        <v>1573</v>
      </c>
      <c r="B142" s="56"/>
      <c r="C142" s="56"/>
      <c r="D142" s="57"/>
      <c r="E142" s="56"/>
      <c r="G142"/>
      <c r="H142" s="56"/>
      <c r="I142" s="56"/>
      <c r="J142" s="56" t="s">
        <v>1587</v>
      </c>
      <c r="K142" t="s">
        <v>865</v>
      </c>
    </row>
    <row r="143" spans="1:11" x14ac:dyDescent="0.25">
      <c r="A143" s="56" t="s">
        <v>1573</v>
      </c>
      <c r="B143" s="56"/>
      <c r="C143" s="56"/>
      <c r="D143" s="57"/>
      <c r="E143" s="56"/>
      <c r="G143"/>
      <c r="H143" s="56"/>
      <c r="I143" s="56"/>
      <c r="J143" s="56" t="s">
        <v>1587</v>
      </c>
      <c r="K143" t="s">
        <v>866</v>
      </c>
    </row>
    <row r="144" spans="1:11" x14ac:dyDescent="0.25">
      <c r="A144" s="56" t="s">
        <v>1573</v>
      </c>
      <c r="B144" s="56" t="s">
        <v>1575</v>
      </c>
      <c r="C144" s="56" t="s">
        <v>11</v>
      </c>
      <c r="D144" s="57" t="s">
        <v>17</v>
      </c>
      <c r="E144" s="56" t="s">
        <v>126</v>
      </c>
      <c r="G144" t="s">
        <v>1523</v>
      </c>
      <c r="H144" s="56" t="s">
        <v>23</v>
      </c>
      <c r="I144" s="80" t="s">
        <v>1600</v>
      </c>
      <c r="J144" s="56" t="s">
        <v>1584</v>
      </c>
      <c r="K144" t="s">
        <v>867</v>
      </c>
    </row>
    <row r="145" spans="1:11" x14ac:dyDescent="0.25">
      <c r="A145" s="56" t="s">
        <v>1573</v>
      </c>
      <c r="B145" s="56" t="s">
        <v>1575</v>
      </c>
      <c r="C145" s="56" t="s">
        <v>12</v>
      </c>
      <c r="D145" s="57" t="s">
        <v>17</v>
      </c>
      <c r="E145" s="56" t="s">
        <v>126</v>
      </c>
      <c r="G145" t="s">
        <v>1523</v>
      </c>
      <c r="H145" s="56" t="s">
        <v>23</v>
      </c>
      <c r="I145" s="80" t="s">
        <v>1600</v>
      </c>
      <c r="J145" s="56" t="s">
        <v>1584</v>
      </c>
      <c r="K145" t="s">
        <v>868</v>
      </c>
    </row>
    <row r="146" spans="1:11" x14ac:dyDescent="0.25">
      <c r="A146" s="56" t="s">
        <v>1573</v>
      </c>
      <c r="B146" s="56" t="s">
        <v>1574</v>
      </c>
      <c r="C146" s="56"/>
      <c r="D146" s="57" t="s">
        <v>6</v>
      </c>
      <c r="E146" s="56" t="s">
        <v>79</v>
      </c>
      <c r="G146" t="s">
        <v>1524</v>
      </c>
      <c r="H146" s="56" t="s">
        <v>23</v>
      </c>
      <c r="I146" s="80" t="s">
        <v>1601</v>
      </c>
      <c r="J146" s="56" t="s">
        <v>1584</v>
      </c>
      <c r="K146" t="s">
        <v>908</v>
      </c>
    </row>
    <row r="147" spans="1:11" x14ac:dyDescent="0.25">
      <c r="A147" s="56" t="s">
        <v>1573</v>
      </c>
      <c r="B147" s="56" t="s">
        <v>1574</v>
      </c>
      <c r="C147" s="56"/>
      <c r="D147" s="57" t="s">
        <v>7</v>
      </c>
      <c r="E147" s="56" t="s">
        <v>79</v>
      </c>
      <c r="G147" t="s">
        <v>1524</v>
      </c>
      <c r="H147" s="56" t="s">
        <v>23</v>
      </c>
      <c r="I147" s="80" t="s">
        <v>1601</v>
      </c>
      <c r="J147" s="56" t="s">
        <v>1584</v>
      </c>
      <c r="K147" t="s">
        <v>909</v>
      </c>
    </row>
    <row r="148" spans="1:11" x14ac:dyDescent="0.25">
      <c r="A148" s="56" t="s">
        <v>1573</v>
      </c>
      <c r="B148" s="56" t="s">
        <v>1575</v>
      </c>
      <c r="C148" s="56" t="s">
        <v>11</v>
      </c>
      <c r="D148" s="57" t="s">
        <v>8</v>
      </c>
      <c r="E148" s="56" t="s">
        <v>79</v>
      </c>
      <c r="G148" t="s">
        <v>1524</v>
      </c>
      <c r="H148" s="56" t="s">
        <v>23</v>
      </c>
      <c r="I148" s="80" t="s">
        <v>1601</v>
      </c>
      <c r="J148" s="56" t="s">
        <v>1584</v>
      </c>
      <c r="K148" t="s">
        <v>910</v>
      </c>
    </row>
    <row r="149" spans="1:11" x14ac:dyDescent="0.25">
      <c r="A149" s="56" t="s">
        <v>1573</v>
      </c>
      <c r="B149" s="56" t="s">
        <v>1575</v>
      </c>
      <c r="C149" s="56" t="s">
        <v>12</v>
      </c>
      <c r="D149" s="57" t="s">
        <v>8</v>
      </c>
      <c r="E149" s="56" t="s">
        <v>79</v>
      </c>
      <c r="G149" t="s">
        <v>1524</v>
      </c>
      <c r="H149" s="56" t="s">
        <v>23</v>
      </c>
      <c r="I149" s="80" t="s">
        <v>1601</v>
      </c>
      <c r="J149" s="56" t="s">
        <v>1584</v>
      </c>
      <c r="K149" t="s">
        <v>911</v>
      </c>
    </row>
    <row r="150" spans="1:11" x14ac:dyDescent="0.25">
      <c r="A150" s="56" t="s">
        <v>1573</v>
      </c>
      <c r="B150" s="56" t="s">
        <v>1574</v>
      </c>
      <c r="C150" s="56"/>
      <c r="D150" s="57" t="s">
        <v>6</v>
      </c>
      <c r="E150" s="56" t="s">
        <v>126</v>
      </c>
      <c r="G150" t="s">
        <v>1524</v>
      </c>
      <c r="H150" s="56" t="s">
        <v>23</v>
      </c>
      <c r="I150" s="80" t="s">
        <v>1602</v>
      </c>
      <c r="J150" s="56" t="s">
        <v>1584</v>
      </c>
      <c r="K150" t="s">
        <v>912</v>
      </c>
    </row>
    <row r="151" spans="1:11" x14ac:dyDescent="0.25">
      <c r="A151" s="56" t="s">
        <v>1573</v>
      </c>
      <c r="B151" s="56" t="s">
        <v>1574</v>
      </c>
      <c r="C151" s="56"/>
      <c r="D151" s="57" t="s">
        <v>7</v>
      </c>
      <c r="E151" s="56" t="s">
        <v>126</v>
      </c>
      <c r="G151" t="s">
        <v>1524</v>
      </c>
      <c r="H151" s="56" t="s">
        <v>23</v>
      </c>
      <c r="I151" s="80" t="s">
        <v>1602</v>
      </c>
      <c r="J151" s="56" t="s">
        <v>1584</v>
      </c>
      <c r="K151" t="s">
        <v>913</v>
      </c>
    </row>
    <row r="152" spans="1:11" x14ac:dyDescent="0.25">
      <c r="A152" s="56" t="s">
        <v>1573</v>
      </c>
      <c r="B152" s="56" t="s">
        <v>1575</v>
      </c>
      <c r="C152" s="56" t="s">
        <v>11</v>
      </c>
      <c r="D152" s="57" t="s">
        <v>8</v>
      </c>
      <c r="E152" s="56" t="s">
        <v>126</v>
      </c>
      <c r="G152" t="s">
        <v>1524</v>
      </c>
      <c r="H152" s="56" t="s">
        <v>23</v>
      </c>
      <c r="I152" s="80" t="s">
        <v>1602</v>
      </c>
      <c r="J152" s="56" t="s">
        <v>1584</v>
      </c>
      <c r="K152" t="s">
        <v>914</v>
      </c>
    </row>
    <row r="153" spans="1:11" x14ac:dyDescent="0.25">
      <c r="A153" s="56" t="s">
        <v>1573</v>
      </c>
      <c r="B153" s="56" t="s">
        <v>1575</v>
      </c>
      <c r="C153" s="56" t="s">
        <v>12</v>
      </c>
      <c r="D153" s="57" t="s">
        <v>8</v>
      </c>
      <c r="E153" s="56" t="s">
        <v>126</v>
      </c>
      <c r="G153" t="s">
        <v>1524</v>
      </c>
      <c r="H153" s="56" t="s">
        <v>23</v>
      </c>
      <c r="I153" s="80" t="s">
        <v>1602</v>
      </c>
      <c r="J153" s="56" t="s">
        <v>1584</v>
      </c>
      <c r="K153" t="s">
        <v>915</v>
      </c>
    </row>
    <row r="154" spans="1:11" s="56" customFormat="1" x14ac:dyDescent="0.25">
      <c r="A154" s="56" t="s">
        <v>1573</v>
      </c>
      <c r="B154" s="56" t="s">
        <v>1575</v>
      </c>
      <c r="C154" s="56" t="s">
        <v>11</v>
      </c>
      <c r="D154" s="57" t="s">
        <v>9</v>
      </c>
      <c r="E154" s="56" t="s">
        <v>79</v>
      </c>
      <c r="G154" s="56" t="s">
        <v>1524</v>
      </c>
      <c r="H154" s="56" t="s">
        <v>23</v>
      </c>
      <c r="I154" s="80" t="s">
        <v>1603</v>
      </c>
      <c r="J154" s="56" t="s">
        <v>1584</v>
      </c>
      <c r="K154" s="56" t="s">
        <v>916</v>
      </c>
    </row>
    <row r="155" spans="1:11" s="56" customFormat="1" x14ac:dyDescent="0.25">
      <c r="A155" s="56" t="s">
        <v>1573</v>
      </c>
      <c r="B155" s="56" t="s">
        <v>1575</v>
      </c>
      <c r="C155" s="56" t="s">
        <v>12</v>
      </c>
      <c r="D155" s="57" t="s">
        <v>9</v>
      </c>
      <c r="E155" s="56" t="s">
        <v>79</v>
      </c>
      <c r="G155" s="56" t="s">
        <v>1524</v>
      </c>
      <c r="H155" s="56" t="s">
        <v>23</v>
      </c>
      <c r="I155" s="80" t="s">
        <v>1603</v>
      </c>
      <c r="J155" s="56" t="s">
        <v>1584</v>
      </c>
      <c r="K155" s="56" t="s">
        <v>917</v>
      </c>
    </row>
    <row r="156" spans="1:11" s="56" customFormat="1" x14ac:dyDescent="0.25">
      <c r="A156" s="56" t="s">
        <v>1573</v>
      </c>
      <c r="B156" s="56" t="s">
        <v>1575</v>
      </c>
      <c r="C156" s="56" t="s">
        <v>11</v>
      </c>
      <c r="D156" s="57" t="s">
        <v>16</v>
      </c>
      <c r="E156" s="56" t="s">
        <v>79</v>
      </c>
      <c r="G156" s="56" t="s">
        <v>1524</v>
      </c>
      <c r="H156" s="56" t="s">
        <v>23</v>
      </c>
      <c r="I156" s="80" t="s">
        <v>1603</v>
      </c>
      <c r="J156" s="56" t="s">
        <v>1584</v>
      </c>
      <c r="K156" s="56" t="s">
        <v>918</v>
      </c>
    </row>
    <row r="157" spans="1:11" s="56" customFormat="1" x14ac:dyDescent="0.25">
      <c r="A157" s="56" t="s">
        <v>1573</v>
      </c>
      <c r="B157" s="56" t="s">
        <v>1575</v>
      </c>
      <c r="C157" s="56" t="s">
        <v>12</v>
      </c>
      <c r="D157" s="57" t="s">
        <v>16</v>
      </c>
      <c r="E157" s="56" t="s">
        <v>79</v>
      </c>
      <c r="G157" s="56" t="s">
        <v>1524</v>
      </c>
      <c r="H157" s="56" t="s">
        <v>23</v>
      </c>
      <c r="I157" s="80" t="s">
        <v>1603</v>
      </c>
      <c r="J157" s="56" t="s">
        <v>1584</v>
      </c>
      <c r="K157" s="56" t="s">
        <v>919</v>
      </c>
    </row>
    <row r="158" spans="1:11" x14ac:dyDescent="0.25">
      <c r="A158" s="56" t="s">
        <v>1573</v>
      </c>
      <c r="B158" s="56"/>
      <c r="C158" s="56"/>
      <c r="D158" s="57"/>
      <c r="E158" s="56"/>
      <c r="G158"/>
      <c r="H158" s="56"/>
      <c r="I158" s="56"/>
      <c r="J158" s="56" t="s">
        <v>1587</v>
      </c>
      <c r="K158" t="s">
        <v>920</v>
      </c>
    </row>
    <row r="159" spans="1:11" x14ac:dyDescent="0.25">
      <c r="A159" s="56" t="s">
        <v>1573</v>
      </c>
      <c r="B159" s="56"/>
      <c r="C159" s="56"/>
      <c r="D159" s="57"/>
      <c r="E159" s="56"/>
      <c r="G159"/>
      <c r="H159" s="56"/>
      <c r="I159" s="56"/>
      <c r="J159" s="56" t="s">
        <v>1587</v>
      </c>
      <c r="K159" t="s">
        <v>921</v>
      </c>
    </row>
    <row r="160" spans="1:11" x14ac:dyDescent="0.25">
      <c r="A160" s="56" t="s">
        <v>1573</v>
      </c>
      <c r="B160" s="56"/>
      <c r="C160" s="56"/>
      <c r="D160" s="57"/>
      <c r="E160" s="56"/>
      <c r="G160"/>
      <c r="H160" s="56"/>
      <c r="I160" s="56"/>
      <c r="J160" s="56" t="s">
        <v>1587</v>
      </c>
      <c r="K160" t="s">
        <v>922</v>
      </c>
    </row>
    <row r="161" spans="1:11" x14ac:dyDescent="0.25">
      <c r="A161" s="56" t="s">
        <v>1573</v>
      </c>
      <c r="B161" s="56"/>
      <c r="C161" s="56"/>
      <c r="D161" s="57"/>
      <c r="E161" s="56"/>
      <c r="G161"/>
      <c r="H161" s="56"/>
      <c r="I161" s="56"/>
      <c r="J161" s="56" t="s">
        <v>1587</v>
      </c>
      <c r="K161" t="s">
        <v>923</v>
      </c>
    </row>
    <row r="162" spans="1:11" x14ac:dyDescent="0.25">
      <c r="A162" s="56" t="s">
        <v>1573</v>
      </c>
      <c r="B162" s="56"/>
      <c r="C162" s="56"/>
      <c r="D162" s="57"/>
      <c r="E162" s="56"/>
      <c r="G162"/>
      <c r="H162" s="56"/>
      <c r="I162" s="56"/>
      <c r="J162" s="56" t="s">
        <v>1587</v>
      </c>
      <c r="K162" t="s">
        <v>924</v>
      </c>
    </row>
    <row r="163" spans="1:11" x14ac:dyDescent="0.25">
      <c r="A163" s="56" t="s">
        <v>1573</v>
      </c>
      <c r="B163" s="56"/>
      <c r="C163" s="56"/>
      <c r="D163" s="57"/>
      <c r="E163" s="56"/>
      <c r="G163"/>
      <c r="H163" s="56"/>
      <c r="I163" s="56"/>
      <c r="J163" s="56" t="s">
        <v>1587</v>
      </c>
      <c r="K163" t="s">
        <v>925</v>
      </c>
    </row>
    <row r="164" spans="1:11" x14ac:dyDescent="0.25">
      <c r="A164" s="56" t="s">
        <v>1573</v>
      </c>
      <c r="B164" s="56"/>
      <c r="C164" s="56"/>
      <c r="D164" s="57"/>
      <c r="E164" s="56"/>
      <c r="G164"/>
      <c r="H164" s="56"/>
      <c r="I164" s="56"/>
      <c r="J164" s="56" t="s">
        <v>1587</v>
      </c>
      <c r="K164" t="s">
        <v>926</v>
      </c>
    </row>
    <row r="165" spans="1:11" x14ac:dyDescent="0.25">
      <c r="A165" s="56" t="s">
        <v>1573</v>
      </c>
      <c r="B165" s="56"/>
      <c r="C165" s="56"/>
      <c r="D165" s="57"/>
      <c r="E165" s="56"/>
      <c r="G165"/>
      <c r="H165" s="56"/>
      <c r="I165" s="56"/>
      <c r="J165" s="56" t="s">
        <v>1587</v>
      </c>
      <c r="K165" t="s">
        <v>927</v>
      </c>
    </row>
    <row r="166" spans="1:11" x14ac:dyDescent="0.25">
      <c r="A166" s="56" t="s">
        <v>1573</v>
      </c>
      <c r="B166" s="56" t="s">
        <v>1575</v>
      </c>
      <c r="C166" s="56" t="s">
        <v>11</v>
      </c>
      <c r="D166" s="57" t="s">
        <v>17</v>
      </c>
      <c r="E166" s="56" t="s">
        <v>79</v>
      </c>
      <c r="G166" t="s">
        <v>1524</v>
      </c>
      <c r="H166" s="56" t="s">
        <v>23</v>
      </c>
      <c r="I166" s="80" t="s">
        <v>1603</v>
      </c>
      <c r="J166" s="56" t="s">
        <v>1584</v>
      </c>
      <c r="K166" t="s">
        <v>928</v>
      </c>
    </row>
    <row r="167" spans="1:11" x14ac:dyDescent="0.25">
      <c r="A167" s="56" t="s">
        <v>1573</v>
      </c>
      <c r="B167" s="56" t="s">
        <v>1575</v>
      </c>
      <c r="C167" s="56" t="s">
        <v>12</v>
      </c>
      <c r="D167" s="57" t="s">
        <v>17</v>
      </c>
      <c r="E167" s="56" t="s">
        <v>79</v>
      </c>
      <c r="G167" t="s">
        <v>1524</v>
      </c>
      <c r="H167" s="56" t="s">
        <v>23</v>
      </c>
      <c r="I167" s="80" t="s">
        <v>1603</v>
      </c>
      <c r="J167" s="56" t="s">
        <v>1584</v>
      </c>
      <c r="K167" t="s">
        <v>929</v>
      </c>
    </row>
    <row r="168" spans="1:11" x14ac:dyDescent="0.25">
      <c r="A168" s="56" t="s">
        <v>1573</v>
      </c>
      <c r="B168" s="56" t="s">
        <v>1575</v>
      </c>
      <c r="C168" s="56" t="s">
        <v>11</v>
      </c>
      <c r="D168" s="57" t="s">
        <v>9</v>
      </c>
      <c r="E168" s="56" t="s">
        <v>126</v>
      </c>
      <c r="G168" t="s">
        <v>1524</v>
      </c>
      <c r="H168" s="56" t="s">
        <v>23</v>
      </c>
      <c r="I168" s="80" t="s">
        <v>1604</v>
      </c>
      <c r="J168" s="56" t="s">
        <v>1584</v>
      </c>
      <c r="K168" t="s">
        <v>930</v>
      </c>
    </row>
    <row r="169" spans="1:11" x14ac:dyDescent="0.25">
      <c r="A169" s="56" t="s">
        <v>1573</v>
      </c>
      <c r="B169" s="56" t="s">
        <v>1575</v>
      </c>
      <c r="C169" s="56" t="s">
        <v>12</v>
      </c>
      <c r="D169" s="57" t="s">
        <v>9</v>
      </c>
      <c r="E169" s="56" t="s">
        <v>126</v>
      </c>
      <c r="G169" t="s">
        <v>1524</v>
      </c>
      <c r="H169" s="56" t="s">
        <v>23</v>
      </c>
      <c r="I169" s="80" t="s">
        <v>1604</v>
      </c>
      <c r="J169" s="56" t="s">
        <v>1584</v>
      </c>
      <c r="K169" t="s">
        <v>931</v>
      </c>
    </row>
    <row r="170" spans="1:11" x14ac:dyDescent="0.25">
      <c r="A170" s="56" t="s">
        <v>1573</v>
      </c>
      <c r="B170" s="56" t="s">
        <v>1575</v>
      </c>
      <c r="C170" s="56" t="s">
        <v>11</v>
      </c>
      <c r="D170" s="57" t="s">
        <v>16</v>
      </c>
      <c r="E170" s="56" t="s">
        <v>126</v>
      </c>
      <c r="G170" t="s">
        <v>1524</v>
      </c>
      <c r="H170" s="56" t="s">
        <v>23</v>
      </c>
      <c r="I170" s="80" t="s">
        <v>1604</v>
      </c>
      <c r="J170" s="56" t="s">
        <v>1584</v>
      </c>
      <c r="K170" t="s">
        <v>932</v>
      </c>
    </row>
    <row r="171" spans="1:11" x14ac:dyDescent="0.25">
      <c r="A171" s="56" t="s">
        <v>1573</v>
      </c>
      <c r="B171" s="56" t="s">
        <v>1575</v>
      </c>
      <c r="C171" s="56" t="s">
        <v>12</v>
      </c>
      <c r="D171" s="57" t="s">
        <v>16</v>
      </c>
      <c r="E171" s="56" t="s">
        <v>126</v>
      </c>
      <c r="G171" t="s">
        <v>1524</v>
      </c>
      <c r="H171" s="56" t="s">
        <v>23</v>
      </c>
      <c r="I171" s="80" t="s">
        <v>1604</v>
      </c>
      <c r="J171" s="56" t="s">
        <v>1584</v>
      </c>
      <c r="K171" t="s">
        <v>933</v>
      </c>
    </row>
    <row r="172" spans="1:11" x14ac:dyDescent="0.25">
      <c r="A172" s="56" t="s">
        <v>1573</v>
      </c>
      <c r="B172" s="56"/>
      <c r="C172" s="56"/>
      <c r="D172" s="57"/>
      <c r="E172" s="56"/>
      <c r="G172"/>
      <c r="H172" s="56"/>
      <c r="I172" s="56"/>
      <c r="J172" s="56" t="s">
        <v>1587</v>
      </c>
      <c r="K172" t="s">
        <v>934</v>
      </c>
    </row>
    <row r="173" spans="1:11" x14ac:dyDescent="0.25">
      <c r="A173" s="56" t="s">
        <v>1573</v>
      </c>
      <c r="B173" s="56"/>
      <c r="C173" s="56"/>
      <c r="D173" s="57"/>
      <c r="E173" s="56"/>
      <c r="G173"/>
      <c r="H173" s="56"/>
      <c r="I173" s="56"/>
      <c r="J173" s="56" t="s">
        <v>1587</v>
      </c>
      <c r="K173" t="s">
        <v>935</v>
      </c>
    </row>
    <row r="174" spans="1:11" x14ac:dyDescent="0.25">
      <c r="A174" s="56" t="s">
        <v>1573</v>
      </c>
      <c r="B174" s="56"/>
      <c r="C174" s="56"/>
      <c r="D174" s="57"/>
      <c r="E174" s="56"/>
      <c r="G174"/>
      <c r="H174" s="56"/>
      <c r="I174" s="56"/>
      <c r="J174" s="56" t="s">
        <v>1587</v>
      </c>
      <c r="K174" t="s">
        <v>936</v>
      </c>
    </row>
    <row r="175" spans="1:11" x14ac:dyDescent="0.25">
      <c r="A175" s="56" t="s">
        <v>1573</v>
      </c>
      <c r="B175" s="56"/>
      <c r="C175" s="56"/>
      <c r="D175" s="57"/>
      <c r="E175" s="56"/>
      <c r="G175"/>
      <c r="H175" s="56"/>
      <c r="I175" s="56"/>
      <c r="J175" s="56" t="s">
        <v>1587</v>
      </c>
      <c r="K175" t="s">
        <v>937</v>
      </c>
    </row>
    <row r="176" spans="1:11" x14ac:dyDescent="0.25">
      <c r="A176" s="56" t="s">
        <v>1573</v>
      </c>
      <c r="B176" s="56"/>
      <c r="C176" s="56"/>
      <c r="D176" s="57"/>
      <c r="E176" s="56"/>
      <c r="G176"/>
      <c r="H176" s="56"/>
      <c r="I176" s="56"/>
      <c r="J176" s="56" t="s">
        <v>1587</v>
      </c>
      <c r="K176" t="s">
        <v>938</v>
      </c>
    </row>
    <row r="177" spans="1:11" x14ac:dyDescent="0.25">
      <c r="A177" s="56" t="s">
        <v>1573</v>
      </c>
      <c r="B177" s="56"/>
      <c r="C177" s="56"/>
      <c r="D177" s="57"/>
      <c r="E177" s="56"/>
      <c r="G177"/>
      <c r="H177" s="56"/>
      <c r="I177" s="56"/>
      <c r="J177" s="56" t="s">
        <v>1587</v>
      </c>
      <c r="K177" t="s">
        <v>939</v>
      </c>
    </row>
    <row r="178" spans="1:11" x14ac:dyDescent="0.25">
      <c r="A178" s="56" t="s">
        <v>1573</v>
      </c>
      <c r="B178" s="56"/>
      <c r="C178" s="56"/>
      <c r="D178" s="57"/>
      <c r="E178" s="56"/>
      <c r="G178"/>
      <c r="H178" s="56"/>
      <c r="I178" s="56"/>
      <c r="J178" s="56" t="s">
        <v>1587</v>
      </c>
      <c r="K178" t="s">
        <v>940</v>
      </c>
    </row>
    <row r="179" spans="1:11" x14ac:dyDescent="0.25">
      <c r="A179" s="56" t="s">
        <v>1573</v>
      </c>
      <c r="B179" s="56"/>
      <c r="C179" s="56"/>
      <c r="D179" s="57"/>
      <c r="E179" s="56"/>
      <c r="G179"/>
      <c r="H179" s="56"/>
      <c r="I179" s="56"/>
      <c r="J179" s="56" t="s">
        <v>1587</v>
      </c>
      <c r="K179" t="s">
        <v>941</v>
      </c>
    </row>
    <row r="180" spans="1:11" x14ac:dyDescent="0.25">
      <c r="A180" s="56" t="s">
        <v>1573</v>
      </c>
      <c r="B180" s="56" t="s">
        <v>1575</v>
      </c>
      <c r="C180" s="56" t="s">
        <v>11</v>
      </c>
      <c r="D180" s="57" t="s">
        <v>17</v>
      </c>
      <c r="E180" s="56" t="s">
        <v>126</v>
      </c>
      <c r="G180" t="s">
        <v>1524</v>
      </c>
      <c r="H180" s="56" t="s">
        <v>23</v>
      </c>
      <c r="I180" s="80" t="s">
        <v>1604</v>
      </c>
      <c r="J180" s="56" t="s">
        <v>1584</v>
      </c>
      <c r="K180" t="s">
        <v>942</v>
      </c>
    </row>
    <row r="181" spans="1:11" x14ac:dyDescent="0.25">
      <c r="A181" s="56" t="s">
        <v>1573</v>
      </c>
      <c r="B181" s="56" t="s">
        <v>1575</v>
      </c>
      <c r="C181" s="56" t="s">
        <v>12</v>
      </c>
      <c r="D181" s="57" t="s">
        <v>17</v>
      </c>
      <c r="E181" s="56" t="s">
        <v>126</v>
      </c>
      <c r="G181" t="s">
        <v>1524</v>
      </c>
      <c r="H181" s="56" t="s">
        <v>23</v>
      </c>
      <c r="I181" s="80" t="s">
        <v>1604</v>
      </c>
      <c r="J181" s="56" t="s">
        <v>1584</v>
      </c>
      <c r="K181" t="s">
        <v>943</v>
      </c>
    </row>
    <row r="182" spans="1:11" x14ac:dyDescent="0.25">
      <c r="A182" s="56" t="s">
        <v>1573</v>
      </c>
      <c r="B182" s="56"/>
      <c r="C182" s="56"/>
      <c r="D182" s="57"/>
      <c r="E182" s="56"/>
      <c r="G182"/>
      <c r="H182" s="56"/>
      <c r="I182" s="80"/>
      <c r="K182" t="s">
        <v>983</v>
      </c>
    </row>
    <row r="183" spans="1:11" x14ac:dyDescent="0.25">
      <c r="A183" s="56" t="s">
        <v>1573</v>
      </c>
      <c r="B183" s="56"/>
      <c r="C183" s="56"/>
      <c r="D183" s="57"/>
      <c r="E183" s="56"/>
      <c r="G183"/>
      <c r="H183" s="56"/>
      <c r="I183" s="80"/>
      <c r="K183" t="s">
        <v>984</v>
      </c>
    </row>
    <row r="184" spans="1:11" x14ac:dyDescent="0.25">
      <c r="A184" s="56" t="s">
        <v>1573</v>
      </c>
      <c r="B184" s="56"/>
      <c r="C184" s="56"/>
      <c r="D184" s="57"/>
      <c r="E184" s="56"/>
      <c r="G184"/>
      <c r="H184" s="56"/>
      <c r="I184" s="80"/>
      <c r="K184" t="s">
        <v>985</v>
      </c>
    </row>
    <row r="185" spans="1:11" x14ac:dyDescent="0.25">
      <c r="A185" s="56" t="s">
        <v>1573</v>
      </c>
      <c r="B185" s="56"/>
      <c r="C185" s="56"/>
      <c r="D185" s="57"/>
      <c r="E185" s="56"/>
      <c r="G185"/>
      <c r="H185" s="56"/>
      <c r="I185" s="80"/>
      <c r="K185" t="s">
        <v>986</v>
      </c>
    </row>
    <row r="186" spans="1:11" x14ac:dyDescent="0.25">
      <c r="A186" s="56" t="s">
        <v>1573</v>
      </c>
      <c r="B186" s="56"/>
      <c r="C186" s="56"/>
      <c r="D186" s="57"/>
      <c r="E186" s="56"/>
      <c r="G186"/>
      <c r="H186" s="56"/>
      <c r="I186" s="80"/>
      <c r="K186" t="s">
        <v>987</v>
      </c>
    </row>
    <row r="187" spans="1:11" x14ac:dyDescent="0.25">
      <c r="A187" s="56" t="s">
        <v>1573</v>
      </c>
      <c r="B187" s="56"/>
      <c r="C187" s="56"/>
      <c r="D187" s="57"/>
      <c r="E187" s="56"/>
      <c r="G187"/>
      <c r="H187" s="56"/>
      <c r="I187" s="80"/>
      <c r="K187" t="s">
        <v>988</v>
      </c>
    </row>
    <row r="188" spans="1:11" x14ac:dyDescent="0.25">
      <c r="A188" s="56" t="s">
        <v>1573</v>
      </c>
      <c r="B188" s="56"/>
      <c r="C188" s="56"/>
      <c r="D188" s="57"/>
      <c r="E188" s="56"/>
      <c r="G188"/>
      <c r="H188" s="56"/>
      <c r="I188" s="80"/>
      <c r="K188" t="s">
        <v>989</v>
      </c>
    </row>
    <row r="189" spans="1:11" x14ac:dyDescent="0.25">
      <c r="A189" s="56" t="s">
        <v>1573</v>
      </c>
      <c r="B189" s="56"/>
      <c r="C189" s="56"/>
      <c r="D189" s="57"/>
      <c r="E189" s="56"/>
      <c r="G189"/>
      <c r="H189" s="56"/>
      <c r="I189" s="80"/>
      <c r="K189" t="s">
        <v>990</v>
      </c>
    </row>
    <row r="190" spans="1:11" x14ac:dyDescent="0.25">
      <c r="A190" s="56" t="s">
        <v>1573</v>
      </c>
      <c r="B190" s="56"/>
      <c r="C190" s="56"/>
      <c r="D190" s="57"/>
      <c r="E190" s="56"/>
      <c r="G190"/>
      <c r="H190" s="56"/>
      <c r="I190" s="80"/>
      <c r="K190" t="s">
        <v>991</v>
      </c>
    </row>
    <row r="191" spans="1:11" x14ac:dyDescent="0.25">
      <c r="A191" s="56" t="s">
        <v>1573</v>
      </c>
      <c r="B191" s="56"/>
      <c r="C191" s="56"/>
      <c r="D191" s="57"/>
      <c r="E191" s="56"/>
      <c r="G191"/>
      <c r="H191" s="56"/>
      <c r="I191" s="80"/>
      <c r="K191" t="s">
        <v>992</v>
      </c>
    </row>
    <row r="192" spans="1:11" x14ac:dyDescent="0.25">
      <c r="A192" s="56" t="s">
        <v>1573</v>
      </c>
      <c r="B192" s="56"/>
      <c r="C192" s="56"/>
      <c r="D192" s="57"/>
      <c r="E192" s="56"/>
      <c r="G192"/>
      <c r="H192" s="56"/>
      <c r="I192" s="80"/>
      <c r="K192" t="s">
        <v>993</v>
      </c>
    </row>
    <row r="193" spans="1:11" x14ac:dyDescent="0.25">
      <c r="A193" s="56" t="s">
        <v>1573</v>
      </c>
      <c r="B193" s="56"/>
      <c r="C193" s="56"/>
      <c r="D193" s="57"/>
      <c r="E193" s="56"/>
      <c r="G193"/>
      <c r="H193" s="56"/>
      <c r="I193" s="80"/>
      <c r="K193" t="s">
        <v>994</v>
      </c>
    </row>
    <row r="194" spans="1:11" x14ac:dyDescent="0.25">
      <c r="A194" s="56" t="s">
        <v>1573</v>
      </c>
      <c r="B194" s="56"/>
      <c r="C194" s="56"/>
      <c r="D194" s="57"/>
      <c r="E194" s="56"/>
      <c r="G194"/>
      <c r="H194" s="56"/>
      <c r="I194" s="56"/>
      <c r="K194" t="s">
        <v>995</v>
      </c>
    </row>
    <row r="195" spans="1:11" x14ac:dyDescent="0.25">
      <c r="A195" s="56" t="s">
        <v>1573</v>
      </c>
      <c r="B195" s="56"/>
      <c r="C195" s="56"/>
      <c r="D195" s="57"/>
      <c r="E195" s="56"/>
      <c r="G195"/>
      <c r="H195" s="56"/>
      <c r="I195" s="56"/>
      <c r="K195" t="s">
        <v>996</v>
      </c>
    </row>
    <row r="196" spans="1:11" x14ac:dyDescent="0.25">
      <c r="A196" s="56" t="s">
        <v>1573</v>
      </c>
      <c r="B196" s="56"/>
      <c r="C196" s="56"/>
      <c r="D196" s="57"/>
      <c r="E196" s="56"/>
      <c r="G196"/>
      <c r="H196" s="56"/>
      <c r="I196" s="56"/>
      <c r="K196" t="s">
        <v>997</v>
      </c>
    </row>
    <row r="197" spans="1:11" x14ac:dyDescent="0.25">
      <c r="A197" s="56" t="s">
        <v>1573</v>
      </c>
      <c r="B197" s="56"/>
      <c r="C197" s="56"/>
      <c r="D197" s="57"/>
      <c r="E197" s="56"/>
      <c r="G197"/>
      <c r="H197" s="56"/>
      <c r="I197" s="56"/>
      <c r="K197" t="s">
        <v>998</v>
      </c>
    </row>
    <row r="198" spans="1:11" x14ac:dyDescent="0.25">
      <c r="A198" s="56" t="s">
        <v>1573</v>
      </c>
      <c r="B198" s="56"/>
      <c r="C198" s="56"/>
      <c r="D198" s="57"/>
      <c r="E198" s="56"/>
      <c r="G198"/>
      <c r="H198" s="56"/>
      <c r="I198" s="56"/>
      <c r="K198" t="s">
        <v>999</v>
      </c>
    </row>
    <row r="199" spans="1:11" x14ac:dyDescent="0.25">
      <c r="A199" s="56" t="s">
        <v>1573</v>
      </c>
      <c r="B199" s="56"/>
      <c r="C199" s="56"/>
      <c r="D199" s="57"/>
      <c r="E199" s="56"/>
      <c r="G199"/>
      <c r="H199" s="56"/>
      <c r="I199" s="56"/>
      <c r="K199" t="s">
        <v>1000</v>
      </c>
    </row>
    <row r="200" spans="1:11" x14ac:dyDescent="0.25">
      <c r="A200" s="56" t="s">
        <v>1573</v>
      </c>
      <c r="B200" s="56"/>
      <c r="C200" s="56"/>
      <c r="D200" s="57"/>
      <c r="E200" s="56"/>
      <c r="G200"/>
      <c r="H200" s="56"/>
      <c r="I200" s="56"/>
      <c r="K200" t="s">
        <v>1001</v>
      </c>
    </row>
    <row r="201" spans="1:11" x14ac:dyDescent="0.25">
      <c r="A201" s="56" t="s">
        <v>1573</v>
      </c>
      <c r="B201" s="56"/>
      <c r="C201" s="56"/>
      <c r="D201" s="57"/>
      <c r="E201" s="56"/>
      <c r="G201"/>
      <c r="H201" s="56"/>
      <c r="I201" s="56"/>
      <c r="K201" t="s">
        <v>1002</v>
      </c>
    </row>
    <row r="202" spans="1:11" x14ac:dyDescent="0.25">
      <c r="A202" s="56" t="s">
        <v>1573</v>
      </c>
      <c r="B202" s="56"/>
      <c r="C202" s="56"/>
      <c r="D202" s="57"/>
      <c r="E202" s="56"/>
      <c r="G202"/>
      <c r="H202" s="56"/>
      <c r="I202" s="80"/>
      <c r="K202" t="s">
        <v>1003</v>
      </c>
    </row>
    <row r="203" spans="1:11" x14ac:dyDescent="0.25">
      <c r="A203" s="56" t="s">
        <v>1573</v>
      </c>
      <c r="B203" s="56"/>
      <c r="C203" s="56"/>
      <c r="D203" s="57"/>
      <c r="E203" s="56"/>
      <c r="G203"/>
      <c r="H203" s="56"/>
      <c r="I203" s="80"/>
      <c r="K203" t="s">
        <v>1004</v>
      </c>
    </row>
    <row r="204" spans="1:11" x14ac:dyDescent="0.25">
      <c r="A204" s="56" t="s">
        <v>1573</v>
      </c>
      <c r="B204" s="56"/>
      <c r="C204" s="56"/>
      <c r="D204" s="57"/>
      <c r="E204" s="56"/>
      <c r="G204"/>
      <c r="H204" s="56"/>
      <c r="I204" s="80"/>
      <c r="K204" t="s">
        <v>1005</v>
      </c>
    </row>
    <row r="205" spans="1:11" x14ac:dyDescent="0.25">
      <c r="A205" s="56" t="s">
        <v>1573</v>
      </c>
      <c r="B205" s="56"/>
      <c r="C205" s="56"/>
      <c r="D205" s="57"/>
      <c r="E205" s="56"/>
      <c r="G205"/>
      <c r="H205" s="56"/>
      <c r="I205" s="80"/>
      <c r="K205" t="s">
        <v>1006</v>
      </c>
    </row>
    <row r="206" spans="1:11" x14ac:dyDescent="0.25">
      <c r="A206" s="56" t="s">
        <v>1573</v>
      </c>
      <c r="B206" s="56"/>
      <c r="C206" s="56"/>
      <c r="D206" s="57"/>
      <c r="E206" s="56"/>
      <c r="G206"/>
      <c r="H206" s="56"/>
      <c r="I206" s="80"/>
      <c r="K206" t="s">
        <v>1007</v>
      </c>
    </row>
    <row r="207" spans="1:11" x14ac:dyDescent="0.25">
      <c r="A207" s="56" t="s">
        <v>1573</v>
      </c>
      <c r="B207" s="56"/>
      <c r="C207" s="56"/>
      <c r="D207" s="57"/>
      <c r="E207" s="56"/>
      <c r="G207"/>
      <c r="H207" s="56"/>
      <c r="I207" s="80"/>
      <c r="K207" t="s">
        <v>1008</v>
      </c>
    </row>
    <row r="208" spans="1:11" x14ac:dyDescent="0.25">
      <c r="A208" s="56" t="s">
        <v>1573</v>
      </c>
      <c r="B208" s="56"/>
      <c r="C208" s="56"/>
      <c r="D208" s="57"/>
      <c r="E208" s="56"/>
      <c r="G208"/>
      <c r="H208" s="56"/>
      <c r="I208" s="56"/>
      <c r="K208" t="s">
        <v>1009</v>
      </c>
    </row>
    <row r="209" spans="1:11" x14ac:dyDescent="0.25">
      <c r="A209" s="56" t="s">
        <v>1573</v>
      </c>
      <c r="B209" s="56"/>
      <c r="C209" s="56"/>
      <c r="D209" s="57"/>
      <c r="E209" s="56"/>
      <c r="G209"/>
      <c r="H209" s="56"/>
      <c r="I209" s="56"/>
      <c r="K209" t="s">
        <v>1010</v>
      </c>
    </row>
    <row r="210" spans="1:11" x14ac:dyDescent="0.25">
      <c r="A210" s="56" t="s">
        <v>1573</v>
      </c>
      <c r="B210" s="56"/>
      <c r="C210" s="56"/>
      <c r="D210" s="57"/>
      <c r="E210" s="56"/>
      <c r="G210"/>
      <c r="H210" s="56"/>
      <c r="I210" s="56"/>
      <c r="K210" t="s">
        <v>1011</v>
      </c>
    </row>
    <row r="211" spans="1:11" x14ac:dyDescent="0.25">
      <c r="A211" s="56" t="s">
        <v>1573</v>
      </c>
      <c r="B211" s="56"/>
      <c r="C211" s="56"/>
      <c r="D211" s="57"/>
      <c r="E211" s="56"/>
      <c r="G211"/>
      <c r="H211" s="56"/>
      <c r="I211" s="56"/>
      <c r="K211" t="s">
        <v>1012</v>
      </c>
    </row>
    <row r="212" spans="1:11" x14ac:dyDescent="0.25">
      <c r="A212" s="56" t="s">
        <v>1573</v>
      </c>
      <c r="B212" s="56"/>
      <c r="C212" s="56"/>
      <c r="D212" s="57"/>
      <c r="E212" s="56"/>
      <c r="G212"/>
      <c r="H212" s="56"/>
      <c r="I212" s="56"/>
      <c r="K212" t="s">
        <v>1013</v>
      </c>
    </row>
    <row r="213" spans="1:11" x14ac:dyDescent="0.25">
      <c r="A213" s="56" t="s">
        <v>1573</v>
      </c>
      <c r="B213" s="56"/>
      <c r="C213" s="56"/>
      <c r="D213" s="57"/>
      <c r="E213" s="56"/>
      <c r="G213"/>
      <c r="H213" s="56"/>
      <c r="I213" s="56"/>
      <c r="K213" t="s">
        <v>1014</v>
      </c>
    </row>
    <row r="214" spans="1:11" s="52" customFormat="1" x14ac:dyDescent="0.25">
      <c r="A214" s="56" t="s">
        <v>1573</v>
      </c>
      <c r="B214" s="56"/>
      <c r="C214" s="56"/>
      <c r="D214" s="57"/>
      <c r="E214" s="56"/>
      <c r="H214" s="56"/>
      <c r="I214" s="56"/>
      <c r="J214" s="56"/>
      <c r="K214" s="52" t="s">
        <v>1015</v>
      </c>
    </row>
    <row r="215" spans="1:11" s="52" customFormat="1" x14ac:dyDescent="0.25">
      <c r="A215" s="56" t="s">
        <v>1573</v>
      </c>
      <c r="B215" s="56"/>
      <c r="C215" s="56"/>
      <c r="D215" s="57"/>
      <c r="E215" s="56"/>
      <c r="H215" s="56"/>
      <c r="I215" s="56"/>
      <c r="J215" s="56"/>
      <c r="K215" s="52" t="s">
        <v>1016</v>
      </c>
    </row>
    <row r="216" spans="1:11" s="52" customFormat="1" x14ac:dyDescent="0.25">
      <c r="A216" s="56" t="s">
        <v>1573</v>
      </c>
      <c r="B216" s="56"/>
      <c r="C216" s="56"/>
      <c r="D216" s="57"/>
      <c r="E216" s="56"/>
      <c r="H216" s="56"/>
      <c r="I216" s="80"/>
      <c r="J216" s="56"/>
      <c r="K216" s="52" t="s">
        <v>1017</v>
      </c>
    </row>
    <row r="217" spans="1:11" x14ac:dyDescent="0.25">
      <c r="A217" s="56" t="s">
        <v>1573</v>
      </c>
      <c r="B217" s="56"/>
      <c r="C217" s="56"/>
      <c r="D217" s="57"/>
      <c r="E217" s="56"/>
      <c r="G217"/>
      <c r="H217" s="56"/>
      <c r="I217" s="80"/>
      <c r="K217" t="s">
        <v>1018</v>
      </c>
    </row>
    <row r="218" spans="1:11" x14ac:dyDescent="0.25">
      <c r="A218" s="56" t="s">
        <v>1573</v>
      </c>
      <c r="B218" s="56" t="s">
        <v>1574</v>
      </c>
      <c r="C218" s="56"/>
      <c r="D218" s="57" t="s">
        <v>6</v>
      </c>
      <c r="E218" s="56" t="s">
        <v>79</v>
      </c>
      <c r="G218" t="s">
        <v>1525</v>
      </c>
      <c r="H218" s="56" t="s">
        <v>23</v>
      </c>
      <c r="I218" s="80" t="s">
        <v>1605</v>
      </c>
      <c r="J218" s="56" t="s">
        <v>1584</v>
      </c>
      <c r="K218" t="s">
        <v>1058</v>
      </c>
    </row>
    <row r="219" spans="1:11" x14ac:dyDescent="0.25">
      <c r="A219" s="56" t="s">
        <v>1573</v>
      </c>
      <c r="B219" s="56" t="s">
        <v>1574</v>
      </c>
      <c r="C219" s="56"/>
      <c r="D219" s="57" t="s">
        <v>7</v>
      </c>
      <c r="E219" s="56" t="s">
        <v>79</v>
      </c>
      <c r="G219" t="s">
        <v>1525</v>
      </c>
      <c r="H219" s="56" t="s">
        <v>23</v>
      </c>
      <c r="I219" s="80" t="s">
        <v>1605</v>
      </c>
      <c r="J219" s="56" t="s">
        <v>1584</v>
      </c>
      <c r="K219" t="s">
        <v>1059</v>
      </c>
    </row>
    <row r="220" spans="1:11" x14ac:dyDescent="0.25">
      <c r="A220" s="56" t="s">
        <v>1573</v>
      </c>
      <c r="B220" s="56" t="s">
        <v>1575</v>
      </c>
      <c r="C220" s="56" t="s">
        <v>11</v>
      </c>
      <c r="D220" s="57" t="s">
        <v>8</v>
      </c>
      <c r="E220" s="56" t="s">
        <v>79</v>
      </c>
      <c r="G220" t="s">
        <v>1525</v>
      </c>
      <c r="H220" s="56" t="s">
        <v>23</v>
      </c>
      <c r="I220" s="80" t="s">
        <v>1605</v>
      </c>
      <c r="J220" s="56" t="s">
        <v>1584</v>
      </c>
      <c r="K220" t="s">
        <v>1060</v>
      </c>
    </row>
    <row r="221" spans="1:11" x14ac:dyDescent="0.25">
      <c r="A221" s="56" t="s">
        <v>1573</v>
      </c>
      <c r="B221" s="56" t="s">
        <v>1575</v>
      </c>
      <c r="C221" s="56" t="s">
        <v>12</v>
      </c>
      <c r="D221" s="57" t="s">
        <v>8</v>
      </c>
      <c r="E221" s="56" t="s">
        <v>79</v>
      </c>
      <c r="G221" t="s">
        <v>1525</v>
      </c>
      <c r="H221" s="56" t="s">
        <v>23</v>
      </c>
      <c r="I221" s="80" t="s">
        <v>1605</v>
      </c>
      <c r="J221" s="56" t="s">
        <v>1584</v>
      </c>
      <c r="K221" t="s">
        <v>1061</v>
      </c>
    </row>
    <row r="222" spans="1:11" x14ac:dyDescent="0.25">
      <c r="A222" s="56" t="s">
        <v>1573</v>
      </c>
      <c r="B222" s="56" t="s">
        <v>1574</v>
      </c>
      <c r="C222" s="56"/>
      <c r="D222" s="57" t="s">
        <v>6</v>
      </c>
      <c r="E222" s="56" t="s">
        <v>126</v>
      </c>
      <c r="G222" t="s">
        <v>1525</v>
      </c>
      <c r="H222" s="56" t="s">
        <v>23</v>
      </c>
      <c r="I222" s="80" t="s">
        <v>1606</v>
      </c>
      <c r="J222" s="56" t="s">
        <v>1584</v>
      </c>
      <c r="K222" t="s">
        <v>1062</v>
      </c>
    </row>
    <row r="223" spans="1:11" x14ac:dyDescent="0.25">
      <c r="A223" s="56" t="s">
        <v>1573</v>
      </c>
      <c r="B223" s="56" t="s">
        <v>1574</v>
      </c>
      <c r="C223" s="56"/>
      <c r="D223" s="57" t="s">
        <v>7</v>
      </c>
      <c r="E223" s="56" t="s">
        <v>126</v>
      </c>
      <c r="G223" t="s">
        <v>1525</v>
      </c>
      <c r="H223" s="56" t="s">
        <v>23</v>
      </c>
      <c r="I223" s="80" t="s">
        <v>1606</v>
      </c>
      <c r="J223" s="56" t="s">
        <v>1584</v>
      </c>
      <c r="K223" t="s">
        <v>1063</v>
      </c>
    </row>
    <row r="224" spans="1:11" x14ac:dyDescent="0.25">
      <c r="A224" s="56" t="s">
        <v>1573</v>
      </c>
      <c r="B224" s="56" t="s">
        <v>1575</v>
      </c>
      <c r="C224" s="56" t="s">
        <v>11</v>
      </c>
      <c r="D224" s="57" t="s">
        <v>8</v>
      </c>
      <c r="E224" s="56" t="s">
        <v>126</v>
      </c>
      <c r="G224" t="s">
        <v>1525</v>
      </c>
      <c r="H224" s="56" t="s">
        <v>23</v>
      </c>
      <c r="I224" s="80" t="s">
        <v>1606</v>
      </c>
      <c r="J224" s="56" t="s">
        <v>1584</v>
      </c>
      <c r="K224" t="s">
        <v>1064</v>
      </c>
    </row>
    <row r="225" spans="1:11" x14ac:dyDescent="0.25">
      <c r="A225" s="56" t="s">
        <v>1573</v>
      </c>
      <c r="B225" s="56" t="s">
        <v>1575</v>
      </c>
      <c r="C225" s="56" t="s">
        <v>12</v>
      </c>
      <c r="D225" s="57" t="s">
        <v>8</v>
      </c>
      <c r="E225" s="56" t="s">
        <v>126</v>
      </c>
      <c r="G225" t="s">
        <v>1525</v>
      </c>
      <c r="H225" s="56" t="s">
        <v>23</v>
      </c>
      <c r="I225" s="80" t="s">
        <v>1606</v>
      </c>
      <c r="J225" s="56" t="s">
        <v>1584</v>
      </c>
      <c r="K225" t="s">
        <v>1065</v>
      </c>
    </row>
    <row r="226" spans="1:11" x14ac:dyDescent="0.25">
      <c r="A226" s="56" t="s">
        <v>1573</v>
      </c>
      <c r="B226" s="56" t="s">
        <v>1575</v>
      </c>
      <c r="C226" s="56" t="s">
        <v>11</v>
      </c>
      <c r="D226" s="57" t="s">
        <v>9</v>
      </c>
      <c r="E226" s="56" t="s">
        <v>79</v>
      </c>
      <c r="G226" t="s">
        <v>1525</v>
      </c>
      <c r="H226" s="56" t="s">
        <v>23</v>
      </c>
      <c r="I226" s="80" t="s">
        <v>1607</v>
      </c>
      <c r="J226" s="56" t="s">
        <v>1584</v>
      </c>
      <c r="K226" t="s">
        <v>1066</v>
      </c>
    </row>
    <row r="227" spans="1:11" x14ac:dyDescent="0.25">
      <c r="A227" s="56" t="s">
        <v>1573</v>
      </c>
      <c r="B227" s="56" t="s">
        <v>1575</v>
      </c>
      <c r="C227" s="56" t="s">
        <v>12</v>
      </c>
      <c r="D227" s="57" t="s">
        <v>9</v>
      </c>
      <c r="E227" s="56" t="s">
        <v>79</v>
      </c>
      <c r="G227" t="s">
        <v>1525</v>
      </c>
      <c r="H227" s="56" t="s">
        <v>23</v>
      </c>
      <c r="I227" s="80" t="s">
        <v>1607</v>
      </c>
      <c r="J227" s="56" t="s">
        <v>1584</v>
      </c>
      <c r="K227" t="s">
        <v>1067</v>
      </c>
    </row>
    <row r="228" spans="1:11" x14ac:dyDescent="0.25">
      <c r="A228" s="56" t="s">
        <v>1573</v>
      </c>
      <c r="B228" s="56" t="s">
        <v>1575</v>
      </c>
      <c r="C228" s="56" t="s">
        <v>11</v>
      </c>
      <c r="D228" s="57" t="s">
        <v>16</v>
      </c>
      <c r="E228" s="56" t="s">
        <v>79</v>
      </c>
      <c r="G228" t="s">
        <v>1525</v>
      </c>
      <c r="H228" s="56" t="s">
        <v>23</v>
      </c>
      <c r="I228" s="80" t="s">
        <v>1607</v>
      </c>
      <c r="J228" s="56" t="s">
        <v>1584</v>
      </c>
      <c r="K228" t="s">
        <v>1068</v>
      </c>
    </row>
    <row r="229" spans="1:11" x14ac:dyDescent="0.25">
      <c r="A229" s="56" t="s">
        <v>1573</v>
      </c>
      <c r="B229" s="56" t="s">
        <v>1575</v>
      </c>
      <c r="C229" s="56" t="s">
        <v>12</v>
      </c>
      <c r="D229" s="57" t="s">
        <v>16</v>
      </c>
      <c r="E229" s="56" t="s">
        <v>79</v>
      </c>
      <c r="G229" t="s">
        <v>1525</v>
      </c>
      <c r="H229" s="56" t="s">
        <v>23</v>
      </c>
      <c r="I229" s="80" t="s">
        <v>1607</v>
      </c>
      <c r="J229" s="56" t="s">
        <v>1584</v>
      </c>
      <c r="K229" t="s">
        <v>1069</v>
      </c>
    </row>
    <row r="230" spans="1:11" x14ac:dyDescent="0.25">
      <c r="A230" s="56" t="s">
        <v>1573</v>
      </c>
      <c r="B230" s="56"/>
      <c r="C230" s="56"/>
      <c r="D230" s="57"/>
      <c r="E230" s="56"/>
      <c r="G230"/>
      <c r="H230" s="56"/>
      <c r="I230" s="56"/>
      <c r="J230" s="56" t="s">
        <v>1587</v>
      </c>
      <c r="K230" t="s">
        <v>1070</v>
      </c>
    </row>
    <row r="231" spans="1:11" x14ac:dyDescent="0.25">
      <c r="A231" s="56" t="s">
        <v>1573</v>
      </c>
      <c r="B231" s="56"/>
      <c r="C231" s="56"/>
      <c r="D231" s="57"/>
      <c r="E231" s="56"/>
      <c r="G231"/>
      <c r="H231" s="56"/>
      <c r="I231" s="56"/>
      <c r="J231" s="56" t="s">
        <v>1587</v>
      </c>
      <c r="K231" t="s">
        <v>1071</v>
      </c>
    </row>
    <row r="232" spans="1:11" x14ac:dyDescent="0.25">
      <c r="A232" s="56" t="s">
        <v>1573</v>
      </c>
      <c r="B232" s="56"/>
      <c r="C232" s="56"/>
      <c r="D232" s="57"/>
      <c r="E232" s="56"/>
      <c r="G232"/>
      <c r="H232" s="56"/>
      <c r="I232" s="56"/>
      <c r="J232" s="56" t="s">
        <v>1587</v>
      </c>
      <c r="K232" t="s">
        <v>1072</v>
      </c>
    </row>
    <row r="233" spans="1:11" x14ac:dyDescent="0.25">
      <c r="A233" s="56" t="s">
        <v>1573</v>
      </c>
      <c r="B233" s="56"/>
      <c r="C233" s="56"/>
      <c r="D233" s="57"/>
      <c r="E233" s="56"/>
      <c r="G233"/>
      <c r="H233" s="56"/>
      <c r="I233" s="56"/>
      <c r="J233" s="56" t="s">
        <v>1587</v>
      </c>
      <c r="K233" t="s">
        <v>1073</v>
      </c>
    </row>
    <row r="234" spans="1:11" x14ac:dyDescent="0.25">
      <c r="A234" s="56" t="s">
        <v>1573</v>
      </c>
      <c r="B234" s="56"/>
      <c r="C234" s="56"/>
      <c r="D234" s="57"/>
      <c r="E234" s="56"/>
      <c r="G234"/>
      <c r="H234" s="56"/>
      <c r="I234" s="56"/>
      <c r="J234" s="56" t="s">
        <v>1587</v>
      </c>
      <c r="K234" t="s">
        <v>1074</v>
      </c>
    </row>
    <row r="235" spans="1:11" x14ac:dyDescent="0.25">
      <c r="A235" s="56" t="s">
        <v>1573</v>
      </c>
      <c r="B235" s="56"/>
      <c r="C235" s="56"/>
      <c r="D235" s="57"/>
      <c r="E235" s="56"/>
      <c r="G235"/>
      <c r="H235" s="56"/>
      <c r="I235" s="56"/>
      <c r="J235" s="56" t="s">
        <v>1587</v>
      </c>
      <c r="K235" t="s">
        <v>1075</v>
      </c>
    </row>
    <row r="236" spans="1:11" x14ac:dyDescent="0.25">
      <c r="A236" s="56" t="s">
        <v>1573</v>
      </c>
      <c r="B236" s="56"/>
      <c r="C236" s="56"/>
      <c r="D236" s="57"/>
      <c r="E236" s="56"/>
      <c r="G236"/>
      <c r="H236" s="56"/>
      <c r="I236" s="56"/>
      <c r="J236" s="56" t="s">
        <v>1587</v>
      </c>
      <c r="K236" t="s">
        <v>1076</v>
      </c>
    </row>
    <row r="237" spans="1:11" x14ac:dyDescent="0.25">
      <c r="A237" s="56" t="s">
        <v>1573</v>
      </c>
      <c r="B237" s="56"/>
      <c r="C237" s="56"/>
      <c r="D237" s="57"/>
      <c r="E237" s="56"/>
      <c r="G237"/>
      <c r="H237" s="56"/>
      <c r="I237" s="56"/>
      <c r="J237" s="56" t="s">
        <v>1587</v>
      </c>
      <c r="K237" t="s">
        <v>1077</v>
      </c>
    </row>
    <row r="238" spans="1:11" x14ac:dyDescent="0.25">
      <c r="A238" s="56" t="s">
        <v>1573</v>
      </c>
      <c r="B238" s="56" t="s">
        <v>1575</v>
      </c>
      <c r="C238" s="56" t="s">
        <v>11</v>
      </c>
      <c r="D238" s="57" t="s">
        <v>17</v>
      </c>
      <c r="E238" s="56" t="s">
        <v>79</v>
      </c>
      <c r="G238" t="s">
        <v>1525</v>
      </c>
      <c r="H238" s="56" t="s">
        <v>23</v>
      </c>
      <c r="I238" s="80" t="s">
        <v>1607</v>
      </c>
      <c r="J238" s="56" t="s">
        <v>1584</v>
      </c>
      <c r="K238" t="s">
        <v>1078</v>
      </c>
    </row>
    <row r="239" spans="1:11" s="53" customFormat="1" x14ac:dyDescent="0.25">
      <c r="A239" s="56" t="s">
        <v>1573</v>
      </c>
      <c r="B239" s="56" t="s">
        <v>1575</v>
      </c>
      <c r="C239" s="56" t="s">
        <v>12</v>
      </c>
      <c r="D239" s="57" t="s">
        <v>17</v>
      </c>
      <c r="E239" s="56" t="s">
        <v>79</v>
      </c>
      <c r="G239" s="53" t="s">
        <v>1525</v>
      </c>
      <c r="H239" s="56" t="s">
        <v>23</v>
      </c>
      <c r="I239" s="80" t="s">
        <v>1607</v>
      </c>
      <c r="J239" s="56" t="s">
        <v>1584</v>
      </c>
      <c r="K239" s="53" t="s">
        <v>1079</v>
      </c>
    </row>
    <row r="240" spans="1:11" s="56" customFormat="1" x14ac:dyDescent="0.25">
      <c r="A240" s="56" t="s">
        <v>1573</v>
      </c>
      <c r="B240" s="56" t="s">
        <v>1575</v>
      </c>
      <c r="C240" s="56" t="s">
        <v>11</v>
      </c>
      <c r="D240" s="57" t="s">
        <v>9</v>
      </c>
      <c r="E240" s="56" t="s">
        <v>126</v>
      </c>
      <c r="G240" s="56" t="s">
        <v>1525</v>
      </c>
      <c r="H240" s="56" t="s">
        <v>23</v>
      </c>
      <c r="I240" s="80" t="s">
        <v>1608</v>
      </c>
      <c r="J240" s="56" t="s">
        <v>1584</v>
      </c>
      <c r="K240" s="56" t="s">
        <v>1080</v>
      </c>
    </row>
    <row r="241" spans="1:11" s="53" customFormat="1" x14ac:dyDescent="0.25">
      <c r="A241" s="56" t="s">
        <v>1573</v>
      </c>
      <c r="B241" s="56" t="s">
        <v>1575</v>
      </c>
      <c r="C241" s="56" t="s">
        <v>12</v>
      </c>
      <c r="D241" s="57" t="s">
        <v>9</v>
      </c>
      <c r="E241" s="56" t="s">
        <v>126</v>
      </c>
      <c r="G241" s="53" t="s">
        <v>1525</v>
      </c>
      <c r="H241" s="56" t="s">
        <v>23</v>
      </c>
      <c r="I241" s="80" t="s">
        <v>1608</v>
      </c>
      <c r="J241" s="56" t="s">
        <v>1584</v>
      </c>
      <c r="K241" s="53" t="s">
        <v>1081</v>
      </c>
    </row>
    <row r="242" spans="1:11" s="53" customFormat="1" x14ac:dyDescent="0.25">
      <c r="A242" s="56" t="s">
        <v>1573</v>
      </c>
      <c r="B242" s="56" t="s">
        <v>1575</v>
      </c>
      <c r="C242" s="56" t="s">
        <v>11</v>
      </c>
      <c r="D242" s="57" t="s">
        <v>16</v>
      </c>
      <c r="E242" s="56" t="s">
        <v>126</v>
      </c>
      <c r="G242" s="53" t="s">
        <v>1525</v>
      </c>
      <c r="H242" s="56" t="s">
        <v>23</v>
      </c>
      <c r="I242" s="80" t="s">
        <v>1608</v>
      </c>
      <c r="J242" s="56" t="s">
        <v>1584</v>
      </c>
      <c r="K242" s="53" t="s">
        <v>1082</v>
      </c>
    </row>
    <row r="243" spans="1:11" s="53" customFormat="1" x14ac:dyDescent="0.25">
      <c r="A243" s="56" t="s">
        <v>1573</v>
      </c>
      <c r="B243" s="56" t="s">
        <v>1575</v>
      </c>
      <c r="C243" s="56" t="s">
        <v>12</v>
      </c>
      <c r="D243" s="57" t="s">
        <v>16</v>
      </c>
      <c r="E243" s="56" t="s">
        <v>126</v>
      </c>
      <c r="G243" s="53" t="s">
        <v>1525</v>
      </c>
      <c r="H243" s="56" t="s">
        <v>23</v>
      </c>
      <c r="I243" s="80" t="s">
        <v>1608</v>
      </c>
      <c r="J243" s="56" t="s">
        <v>1584</v>
      </c>
      <c r="K243" s="53" t="s">
        <v>1083</v>
      </c>
    </row>
    <row r="244" spans="1:11" s="53" customFormat="1" x14ac:dyDescent="0.25">
      <c r="A244" s="56" t="s">
        <v>1573</v>
      </c>
      <c r="B244" s="56"/>
      <c r="C244" s="56"/>
      <c r="D244" s="57"/>
      <c r="E244" s="56"/>
      <c r="H244" s="56"/>
      <c r="I244" s="56"/>
      <c r="J244" s="56" t="s">
        <v>1587</v>
      </c>
      <c r="K244" s="53" t="s">
        <v>1084</v>
      </c>
    </row>
    <row r="245" spans="1:11" s="53" customFormat="1" x14ac:dyDescent="0.25">
      <c r="A245" s="56" t="s">
        <v>1573</v>
      </c>
      <c r="B245" s="56"/>
      <c r="C245" s="56"/>
      <c r="D245" s="57"/>
      <c r="E245" s="56"/>
      <c r="H245" s="56"/>
      <c r="I245" s="56"/>
      <c r="J245" s="56" t="s">
        <v>1587</v>
      </c>
      <c r="K245" s="53" t="s">
        <v>1085</v>
      </c>
    </row>
    <row r="246" spans="1:11" s="56" customFormat="1" x14ac:dyDescent="0.25">
      <c r="A246" s="56" t="s">
        <v>1573</v>
      </c>
      <c r="D246" s="57"/>
      <c r="J246" s="56" t="s">
        <v>1587</v>
      </c>
      <c r="K246" s="56" t="s">
        <v>1086</v>
      </c>
    </row>
    <row r="247" spans="1:11" s="53" customFormat="1" x14ac:dyDescent="0.25">
      <c r="A247" s="56" t="s">
        <v>1573</v>
      </c>
      <c r="B247" s="56"/>
      <c r="C247" s="56"/>
      <c r="D247" s="57"/>
      <c r="E247" s="56"/>
      <c r="H247" s="56"/>
      <c r="I247" s="56"/>
      <c r="J247" s="56" t="s">
        <v>1587</v>
      </c>
      <c r="K247" s="53" t="s">
        <v>1087</v>
      </c>
    </row>
    <row r="248" spans="1:11" s="53" customFormat="1" x14ac:dyDescent="0.25">
      <c r="A248" s="56" t="s">
        <v>1573</v>
      </c>
      <c r="B248" s="56"/>
      <c r="C248" s="56"/>
      <c r="D248" s="57"/>
      <c r="E248" s="56"/>
      <c r="H248" s="56"/>
      <c r="I248" s="56"/>
      <c r="J248" s="56" t="s">
        <v>1587</v>
      </c>
      <c r="K248" s="53" t="s">
        <v>1088</v>
      </c>
    </row>
    <row r="249" spans="1:11" s="53" customFormat="1" x14ac:dyDescent="0.25">
      <c r="A249" s="56" t="s">
        <v>1573</v>
      </c>
      <c r="B249" s="56"/>
      <c r="C249" s="56"/>
      <c r="D249" s="57"/>
      <c r="E249" s="56"/>
      <c r="H249" s="56"/>
      <c r="I249" s="56"/>
      <c r="J249" s="56" t="s">
        <v>1587</v>
      </c>
      <c r="K249" s="53" t="s">
        <v>1089</v>
      </c>
    </row>
    <row r="250" spans="1:11" s="53" customFormat="1" x14ac:dyDescent="0.25">
      <c r="A250" s="56" t="s">
        <v>1573</v>
      </c>
      <c r="B250" s="56"/>
      <c r="C250" s="56"/>
      <c r="D250" s="57"/>
      <c r="E250" s="56"/>
      <c r="H250" s="56"/>
      <c r="I250" s="56"/>
      <c r="J250" s="56" t="s">
        <v>1587</v>
      </c>
      <c r="K250" s="53" t="s">
        <v>1090</v>
      </c>
    </row>
    <row r="251" spans="1:11" s="53" customFormat="1" x14ac:dyDescent="0.25">
      <c r="A251" s="56" t="s">
        <v>1573</v>
      </c>
      <c r="B251" s="56"/>
      <c r="C251" s="56"/>
      <c r="D251" s="57"/>
      <c r="E251" s="56"/>
      <c r="H251" s="56"/>
      <c r="I251" s="56"/>
      <c r="J251" s="56" t="s">
        <v>1587</v>
      </c>
      <c r="K251" s="53" t="s">
        <v>1091</v>
      </c>
    </row>
    <row r="252" spans="1:11" s="56" customFormat="1" x14ac:dyDescent="0.25">
      <c r="A252" s="56" t="s">
        <v>1573</v>
      </c>
      <c r="B252" s="56" t="s">
        <v>1575</v>
      </c>
      <c r="C252" s="56" t="s">
        <v>11</v>
      </c>
      <c r="D252" s="57" t="s">
        <v>17</v>
      </c>
      <c r="E252" s="56" t="s">
        <v>126</v>
      </c>
      <c r="G252" s="56" t="s">
        <v>1525</v>
      </c>
      <c r="H252" s="56" t="s">
        <v>23</v>
      </c>
      <c r="I252" s="80" t="s">
        <v>1608</v>
      </c>
      <c r="J252" s="56" t="s">
        <v>1584</v>
      </c>
      <c r="K252" s="56" t="s">
        <v>1092</v>
      </c>
    </row>
    <row r="253" spans="1:11" s="53" customFormat="1" x14ac:dyDescent="0.25">
      <c r="A253" s="56" t="s">
        <v>1573</v>
      </c>
      <c r="B253" s="56" t="s">
        <v>1575</v>
      </c>
      <c r="C253" s="56" t="s">
        <v>12</v>
      </c>
      <c r="D253" s="57" t="s">
        <v>17</v>
      </c>
      <c r="E253" s="56" t="s">
        <v>126</v>
      </c>
      <c r="G253" s="53" t="s">
        <v>1525</v>
      </c>
      <c r="H253" s="56" t="s">
        <v>23</v>
      </c>
      <c r="I253" s="80" t="s">
        <v>1608</v>
      </c>
      <c r="J253" s="56" t="s">
        <v>1584</v>
      </c>
      <c r="K253" s="53" t="s">
        <v>1093</v>
      </c>
    </row>
    <row r="254" spans="1:11" s="53" customFormat="1" x14ac:dyDescent="0.25">
      <c r="A254" s="56" t="s">
        <v>1573</v>
      </c>
      <c r="B254" s="56"/>
      <c r="C254" s="56"/>
      <c r="D254" s="57"/>
      <c r="E254" s="56"/>
      <c r="H254" s="56"/>
      <c r="I254" s="80"/>
      <c r="J254" s="56"/>
      <c r="K254" s="53" t="s">
        <v>1133</v>
      </c>
    </row>
    <row r="255" spans="1:11" s="53" customFormat="1" x14ac:dyDescent="0.25">
      <c r="A255" s="56" t="s">
        <v>1573</v>
      </c>
      <c r="B255" s="56"/>
      <c r="C255" s="56"/>
      <c r="D255" s="57"/>
      <c r="E255" s="56"/>
      <c r="H255" s="56"/>
      <c r="I255" s="80"/>
      <c r="J255" s="56"/>
      <c r="K255" s="53" t="s">
        <v>1134</v>
      </c>
    </row>
    <row r="256" spans="1:11" s="53" customFormat="1" x14ac:dyDescent="0.25">
      <c r="A256" s="56" t="s">
        <v>1573</v>
      </c>
      <c r="B256" s="56"/>
      <c r="C256" s="56"/>
      <c r="D256" s="57"/>
      <c r="E256" s="56"/>
      <c r="H256" s="56"/>
      <c r="I256" s="80"/>
      <c r="J256" s="56"/>
      <c r="K256" s="53" t="s">
        <v>1135</v>
      </c>
    </row>
    <row r="257" spans="1:11" x14ac:dyDescent="0.25">
      <c r="A257" s="56" t="s">
        <v>1573</v>
      </c>
      <c r="B257" s="56"/>
      <c r="C257" s="56"/>
      <c r="D257" s="57"/>
      <c r="E257" s="56"/>
      <c r="G257"/>
      <c r="H257" s="56"/>
      <c r="I257" s="80"/>
      <c r="K257" t="s">
        <v>1136</v>
      </c>
    </row>
    <row r="258" spans="1:11" s="56" customFormat="1" x14ac:dyDescent="0.25">
      <c r="A258" s="56" t="s">
        <v>1573</v>
      </c>
      <c r="D258" s="57"/>
      <c r="I258" s="80"/>
      <c r="K258" s="56" t="s">
        <v>1137</v>
      </c>
    </row>
    <row r="259" spans="1:11" s="56" customFormat="1" x14ac:dyDescent="0.25">
      <c r="A259" s="56" t="s">
        <v>1573</v>
      </c>
      <c r="D259" s="57"/>
      <c r="I259" s="80"/>
      <c r="K259" s="56" t="s">
        <v>1138</v>
      </c>
    </row>
    <row r="260" spans="1:11" s="56" customFormat="1" x14ac:dyDescent="0.25">
      <c r="A260" s="56" t="s">
        <v>1573</v>
      </c>
      <c r="D260" s="57"/>
      <c r="I260" s="80"/>
      <c r="K260" s="56" t="s">
        <v>1139</v>
      </c>
    </row>
    <row r="261" spans="1:11" s="56" customFormat="1" x14ac:dyDescent="0.25">
      <c r="A261" s="56" t="s">
        <v>1573</v>
      </c>
      <c r="D261" s="57"/>
      <c r="I261" s="80"/>
      <c r="K261" s="56" t="s">
        <v>1140</v>
      </c>
    </row>
    <row r="262" spans="1:11" s="56" customFormat="1" x14ac:dyDescent="0.25">
      <c r="A262" s="56" t="s">
        <v>1573</v>
      </c>
      <c r="D262" s="57"/>
      <c r="I262" s="80"/>
      <c r="K262" s="56" t="s">
        <v>1141</v>
      </c>
    </row>
    <row r="263" spans="1:11" x14ac:dyDescent="0.25">
      <c r="A263" s="56" t="s">
        <v>1573</v>
      </c>
      <c r="B263" s="56"/>
      <c r="C263" s="56"/>
      <c r="D263" s="57"/>
      <c r="E263" s="56"/>
      <c r="G263"/>
      <c r="H263" s="56"/>
      <c r="I263" s="80"/>
      <c r="K263" t="s">
        <v>1142</v>
      </c>
    </row>
    <row r="264" spans="1:11" s="56" customFormat="1" x14ac:dyDescent="0.25">
      <c r="A264" s="56" t="s">
        <v>1573</v>
      </c>
      <c r="D264" s="57"/>
      <c r="I264" s="80"/>
      <c r="K264" s="56" t="s">
        <v>1143</v>
      </c>
    </row>
    <row r="265" spans="1:11" s="56" customFormat="1" x14ac:dyDescent="0.25">
      <c r="A265" s="56" t="s">
        <v>1573</v>
      </c>
      <c r="D265" s="57"/>
      <c r="I265" s="80"/>
      <c r="K265" s="56" t="s">
        <v>1144</v>
      </c>
    </row>
    <row r="266" spans="1:11" s="56" customFormat="1" x14ac:dyDescent="0.25">
      <c r="A266" s="56" t="s">
        <v>1573</v>
      </c>
      <c r="D266" s="57"/>
      <c r="K266" s="56" t="s">
        <v>1145</v>
      </c>
    </row>
    <row r="267" spans="1:11" s="56" customFormat="1" x14ac:dyDescent="0.25">
      <c r="A267" s="56" t="s">
        <v>1573</v>
      </c>
      <c r="D267" s="57"/>
      <c r="K267" s="56" t="s">
        <v>1146</v>
      </c>
    </row>
    <row r="268" spans="1:11" s="56" customFormat="1" x14ac:dyDescent="0.25">
      <c r="A268" s="56" t="s">
        <v>1573</v>
      </c>
      <c r="D268" s="57"/>
      <c r="K268" s="56" t="s">
        <v>1147</v>
      </c>
    </row>
    <row r="269" spans="1:11" s="56" customFormat="1" x14ac:dyDescent="0.25">
      <c r="A269" s="56" t="s">
        <v>1573</v>
      </c>
      <c r="D269" s="57"/>
      <c r="K269" s="56" t="s">
        <v>1148</v>
      </c>
    </row>
    <row r="270" spans="1:11" s="56" customFormat="1" x14ac:dyDescent="0.25">
      <c r="A270" s="56" t="s">
        <v>1573</v>
      </c>
      <c r="D270" s="57"/>
      <c r="K270" s="56" t="s">
        <v>1149</v>
      </c>
    </row>
    <row r="271" spans="1:11" x14ac:dyDescent="0.25">
      <c r="A271" s="56" t="s">
        <v>1573</v>
      </c>
      <c r="B271" s="56"/>
      <c r="C271" s="56"/>
      <c r="D271" s="57"/>
      <c r="E271" s="56"/>
      <c r="G271"/>
      <c r="H271" s="56"/>
      <c r="I271" s="56"/>
      <c r="K271" t="s">
        <v>1150</v>
      </c>
    </row>
    <row r="272" spans="1:11" x14ac:dyDescent="0.25">
      <c r="A272" s="56" t="s">
        <v>1573</v>
      </c>
      <c r="B272" s="56"/>
      <c r="C272" s="56"/>
      <c r="D272" s="57"/>
      <c r="E272" s="56"/>
      <c r="G272"/>
      <c r="H272" s="56"/>
      <c r="I272" s="56"/>
      <c r="K272" t="s">
        <v>1151</v>
      </c>
    </row>
    <row r="273" spans="1:11" s="56" customFormat="1" x14ac:dyDescent="0.25">
      <c r="A273" s="56" t="s">
        <v>1573</v>
      </c>
      <c r="D273" s="57"/>
      <c r="K273" s="56" t="s">
        <v>1152</v>
      </c>
    </row>
    <row r="274" spans="1:11" s="56" customFormat="1" x14ac:dyDescent="0.25">
      <c r="A274" s="56" t="s">
        <v>1573</v>
      </c>
      <c r="D274" s="57"/>
      <c r="I274" s="80"/>
      <c r="K274" s="56" t="s">
        <v>1153</v>
      </c>
    </row>
    <row r="275" spans="1:11" s="56" customFormat="1" x14ac:dyDescent="0.25">
      <c r="A275" s="56" t="s">
        <v>1573</v>
      </c>
      <c r="D275" s="57"/>
      <c r="I275" s="80"/>
      <c r="K275" s="56" t="s">
        <v>1154</v>
      </c>
    </row>
    <row r="276" spans="1:11" s="56" customFormat="1" x14ac:dyDescent="0.25">
      <c r="A276" s="56" t="s">
        <v>1573</v>
      </c>
      <c r="D276" s="57"/>
      <c r="I276" s="80"/>
      <c r="K276" s="56" t="s">
        <v>1155</v>
      </c>
    </row>
    <row r="277" spans="1:11" s="56" customFormat="1" x14ac:dyDescent="0.25">
      <c r="A277" s="56" t="s">
        <v>1573</v>
      </c>
      <c r="D277" s="57"/>
      <c r="I277" s="80"/>
      <c r="K277" s="56" t="s">
        <v>1156</v>
      </c>
    </row>
    <row r="278" spans="1:11" s="56" customFormat="1" x14ac:dyDescent="0.25">
      <c r="A278" s="56" t="s">
        <v>1573</v>
      </c>
      <c r="D278" s="57"/>
      <c r="I278" s="80"/>
      <c r="K278" s="56" t="s">
        <v>1157</v>
      </c>
    </row>
    <row r="279" spans="1:11" s="56" customFormat="1" x14ac:dyDescent="0.25">
      <c r="A279" s="56" t="s">
        <v>1573</v>
      </c>
      <c r="D279" s="57"/>
      <c r="I279" s="80"/>
      <c r="K279" s="56" t="s">
        <v>1158</v>
      </c>
    </row>
    <row r="280" spans="1:11" s="56" customFormat="1" x14ac:dyDescent="0.25">
      <c r="A280" s="56" t="s">
        <v>1573</v>
      </c>
      <c r="D280" s="57"/>
      <c r="K280" s="56" t="s">
        <v>1159</v>
      </c>
    </row>
    <row r="281" spans="1:11" s="56" customFormat="1" x14ac:dyDescent="0.25">
      <c r="A281" s="56" t="s">
        <v>1573</v>
      </c>
      <c r="D281" s="57"/>
      <c r="K281" s="56" t="s">
        <v>1160</v>
      </c>
    </row>
    <row r="282" spans="1:11" s="56" customFormat="1" x14ac:dyDescent="0.25">
      <c r="A282" s="56" t="s">
        <v>1573</v>
      </c>
      <c r="D282" s="57"/>
      <c r="K282" s="56" t="s">
        <v>1161</v>
      </c>
    </row>
    <row r="283" spans="1:11" s="56" customFormat="1" x14ac:dyDescent="0.25">
      <c r="A283" s="56" t="s">
        <v>1573</v>
      </c>
      <c r="D283" s="57"/>
      <c r="K283" s="56" t="s">
        <v>1162</v>
      </c>
    </row>
    <row r="284" spans="1:11" s="56" customFormat="1" x14ac:dyDescent="0.25">
      <c r="A284" s="56" t="s">
        <v>1573</v>
      </c>
      <c r="D284" s="57"/>
      <c r="K284" s="56" t="s">
        <v>1163</v>
      </c>
    </row>
    <row r="285" spans="1:11" s="56" customFormat="1" x14ac:dyDescent="0.25">
      <c r="A285" s="56" t="s">
        <v>1573</v>
      </c>
      <c r="D285" s="57"/>
      <c r="K285" s="56" t="s">
        <v>1164</v>
      </c>
    </row>
    <row r="286" spans="1:11" s="56" customFormat="1" x14ac:dyDescent="0.25">
      <c r="A286" s="56" t="s">
        <v>1573</v>
      </c>
      <c r="D286" s="57"/>
      <c r="K286" s="56" t="s">
        <v>1165</v>
      </c>
    </row>
    <row r="287" spans="1:11" x14ac:dyDescent="0.25">
      <c r="A287" s="56" t="s">
        <v>1573</v>
      </c>
      <c r="B287" s="56"/>
      <c r="C287" s="56"/>
      <c r="D287" s="57"/>
      <c r="E287" s="56"/>
      <c r="G287"/>
      <c r="H287" s="56"/>
      <c r="I287" s="56"/>
      <c r="K287" t="s">
        <v>1166</v>
      </c>
    </row>
    <row r="288" spans="1:11" x14ac:dyDescent="0.25">
      <c r="A288" s="56" t="s">
        <v>1573</v>
      </c>
      <c r="B288" s="56"/>
      <c r="C288" s="56"/>
      <c r="D288" s="57"/>
      <c r="E288" s="56"/>
      <c r="G288"/>
      <c r="H288" s="56"/>
      <c r="I288" s="80"/>
      <c r="K288" t="s">
        <v>1167</v>
      </c>
    </row>
    <row r="289" spans="1:11" x14ac:dyDescent="0.25">
      <c r="A289" s="56" t="s">
        <v>1573</v>
      </c>
      <c r="B289" s="56"/>
      <c r="C289" s="56"/>
      <c r="D289" s="57"/>
      <c r="E289" s="56"/>
      <c r="G289"/>
      <c r="H289" s="56"/>
      <c r="I289" s="80"/>
      <c r="K289" t="s">
        <v>1168</v>
      </c>
    </row>
    <row r="290" spans="1:11" x14ac:dyDescent="0.25">
      <c r="A290" s="56" t="s">
        <v>1573</v>
      </c>
      <c r="B290" s="56" t="s">
        <v>1574</v>
      </c>
      <c r="C290" s="56"/>
      <c r="D290" s="57" t="s">
        <v>6</v>
      </c>
      <c r="E290" s="56" t="s">
        <v>79</v>
      </c>
      <c r="G290" t="s">
        <v>1526</v>
      </c>
      <c r="H290" s="56" t="s">
        <v>23</v>
      </c>
      <c r="I290" s="80" t="s">
        <v>1609</v>
      </c>
      <c r="J290" s="56" t="s">
        <v>1584</v>
      </c>
      <c r="K290" t="s">
        <v>1208</v>
      </c>
    </row>
    <row r="291" spans="1:11" x14ac:dyDescent="0.25">
      <c r="A291" s="56" t="s">
        <v>1573</v>
      </c>
      <c r="B291" s="56" t="s">
        <v>1574</v>
      </c>
      <c r="C291" s="56"/>
      <c r="D291" s="57" t="s">
        <v>7</v>
      </c>
      <c r="E291" s="56" t="s">
        <v>79</v>
      </c>
      <c r="G291" t="s">
        <v>1526</v>
      </c>
      <c r="H291" s="56" t="s">
        <v>23</v>
      </c>
      <c r="I291" s="80" t="s">
        <v>1609</v>
      </c>
      <c r="J291" s="56" t="s">
        <v>1584</v>
      </c>
      <c r="K291" t="s">
        <v>1209</v>
      </c>
    </row>
    <row r="292" spans="1:11" x14ac:dyDescent="0.25">
      <c r="A292" s="56" t="s">
        <v>1573</v>
      </c>
      <c r="B292" s="56" t="s">
        <v>1575</v>
      </c>
      <c r="C292" s="56" t="s">
        <v>11</v>
      </c>
      <c r="D292" s="57" t="s">
        <v>8</v>
      </c>
      <c r="E292" s="56" t="s">
        <v>79</v>
      </c>
      <c r="G292" t="s">
        <v>1526</v>
      </c>
      <c r="H292" s="56" t="s">
        <v>23</v>
      </c>
      <c r="I292" s="80" t="s">
        <v>1609</v>
      </c>
      <c r="J292" s="56" t="s">
        <v>1584</v>
      </c>
      <c r="K292" t="s">
        <v>1210</v>
      </c>
    </row>
    <row r="293" spans="1:11" x14ac:dyDescent="0.25">
      <c r="A293" s="56" t="s">
        <v>1573</v>
      </c>
      <c r="B293" s="56" t="s">
        <v>1575</v>
      </c>
      <c r="C293" s="56" t="s">
        <v>12</v>
      </c>
      <c r="D293" s="57" t="s">
        <v>8</v>
      </c>
      <c r="E293" s="56" t="s">
        <v>79</v>
      </c>
      <c r="G293" t="s">
        <v>1526</v>
      </c>
      <c r="H293" s="56" t="s">
        <v>23</v>
      </c>
      <c r="I293" s="80" t="s">
        <v>1609</v>
      </c>
      <c r="J293" s="56" t="s">
        <v>1584</v>
      </c>
      <c r="K293" t="s">
        <v>1211</v>
      </c>
    </row>
    <row r="294" spans="1:11" x14ac:dyDescent="0.25">
      <c r="A294" s="56" t="s">
        <v>1573</v>
      </c>
      <c r="B294" s="56" t="s">
        <v>1574</v>
      </c>
      <c r="C294" s="56"/>
      <c r="D294" s="57" t="s">
        <v>6</v>
      </c>
      <c r="E294" s="56" t="s">
        <v>126</v>
      </c>
      <c r="G294" t="s">
        <v>1526</v>
      </c>
      <c r="H294" s="56" t="s">
        <v>23</v>
      </c>
      <c r="I294" s="80" t="s">
        <v>1610</v>
      </c>
      <c r="J294" s="56" t="s">
        <v>1584</v>
      </c>
      <c r="K294" t="s">
        <v>1212</v>
      </c>
    </row>
    <row r="295" spans="1:11" x14ac:dyDescent="0.25">
      <c r="A295" s="56" t="s">
        <v>1573</v>
      </c>
      <c r="B295" s="56" t="s">
        <v>1574</v>
      </c>
      <c r="C295" s="56"/>
      <c r="D295" s="57" t="s">
        <v>7</v>
      </c>
      <c r="E295" s="56" t="s">
        <v>126</v>
      </c>
      <c r="G295" t="s">
        <v>1526</v>
      </c>
      <c r="H295" s="56" t="s">
        <v>23</v>
      </c>
      <c r="I295" s="80" t="s">
        <v>1610</v>
      </c>
      <c r="J295" s="56" t="s">
        <v>1584</v>
      </c>
      <c r="K295" t="s">
        <v>1213</v>
      </c>
    </row>
    <row r="296" spans="1:11" x14ac:dyDescent="0.25">
      <c r="A296" s="56" t="s">
        <v>1573</v>
      </c>
      <c r="B296" s="56" t="s">
        <v>1575</v>
      </c>
      <c r="C296" s="56" t="s">
        <v>11</v>
      </c>
      <c r="D296" s="57" t="s">
        <v>8</v>
      </c>
      <c r="E296" s="56" t="s">
        <v>126</v>
      </c>
      <c r="G296" t="s">
        <v>1526</v>
      </c>
      <c r="H296" s="56" t="s">
        <v>23</v>
      </c>
      <c r="I296" s="80" t="s">
        <v>1610</v>
      </c>
      <c r="J296" s="56" t="s">
        <v>1584</v>
      </c>
      <c r="K296" t="s">
        <v>1214</v>
      </c>
    </row>
    <row r="297" spans="1:11" x14ac:dyDescent="0.25">
      <c r="A297" s="56" t="s">
        <v>1573</v>
      </c>
      <c r="B297" s="56" t="s">
        <v>1575</v>
      </c>
      <c r="C297" s="56" t="s">
        <v>12</v>
      </c>
      <c r="D297" s="57" t="s">
        <v>8</v>
      </c>
      <c r="E297" s="56" t="s">
        <v>126</v>
      </c>
      <c r="G297" t="s">
        <v>1526</v>
      </c>
      <c r="H297" s="56" t="s">
        <v>23</v>
      </c>
      <c r="I297" s="80" t="s">
        <v>1610</v>
      </c>
      <c r="J297" s="56" t="s">
        <v>1584</v>
      </c>
      <c r="K297" t="s">
        <v>1215</v>
      </c>
    </row>
    <row r="298" spans="1:11" x14ac:dyDescent="0.25">
      <c r="A298" s="56" t="s">
        <v>1573</v>
      </c>
      <c r="B298" s="56" t="s">
        <v>1575</v>
      </c>
      <c r="C298" s="56" t="s">
        <v>11</v>
      </c>
      <c r="D298" s="57" t="s">
        <v>9</v>
      </c>
      <c r="E298" s="56" t="s">
        <v>79</v>
      </c>
      <c r="G298" t="s">
        <v>1526</v>
      </c>
      <c r="H298" s="56" t="s">
        <v>23</v>
      </c>
      <c r="I298" s="80" t="s">
        <v>1611</v>
      </c>
      <c r="J298" s="56" t="s">
        <v>1584</v>
      </c>
      <c r="K298" t="s">
        <v>1216</v>
      </c>
    </row>
    <row r="299" spans="1:11" x14ac:dyDescent="0.25">
      <c r="A299" s="56" t="s">
        <v>1573</v>
      </c>
      <c r="B299" s="56" t="s">
        <v>1575</v>
      </c>
      <c r="C299" s="56" t="s">
        <v>12</v>
      </c>
      <c r="D299" s="57" t="s">
        <v>9</v>
      </c>
      <c r="E299" s="56" t="s">
        <v>79</v>
      </c>
      <c r="G299" t="s">
        <v>1526</v>
      </c>
      <c r="H299" s="56" t="s">
        <v>23</v>
      </c>
      <c r="I299" s="80" t="s">
        <v>1611</v>
      </c>
      <c r="J299" s="56" t="s">
        <v>1584</v>
      </c>
      <c r="K299" t="s">
        <v>1217</v>
      </c>
    </row>
    <row r="300" spans="1:11" x14ac:dyDescent="0.25">
      <c r="A300" s="56" t="s">
        <v>1573</v>
      </c>
      <c r="B300" s="56" t="s">
        <v>1575</v>
      </c>
      <c r="C300" s="56" t="s">
        <v>11</v>
      </c>
      <c r="D300" s="57" t="s">
        <v>16</v>
      </c>
      <c r="E300" s="56" t="s">
        <v>79</v>
      </c>
      <c r="G300" t="s">
        <v>1526</v>
      </c>
      <c r="H300" s="56" t="s">
        <v>23</v>
      </c>
      <c r="I300" s="80" t="s">
        <v>1611</v>
      </c>
      <c r="J300" s="56" t="s">
        <v>1584</v>
      </c>
      <c r="K300" t="s">
        <v>1218</v>
      </c>
    </row>
    <row r="301" spans="1:11" x14ac:dyDescent="0.25">
      <c r="A301" s="56" t="s">
        <v>1573</v>
      </c>
      <c r="B301" s="56" t="s">
        <v>1575</v>
      </c>
      <c r="C301" s="56" t="s">
        <v>12</v>
      </c>
      <c r="D301" s="57" t="s">
        <v>16</v>
      </c>
      <c r="E301" s="56" t="s">
        <v>79</v>
      </c>
      <c r="G301" t="s">
        <v>1526</v>
      </c>
      <c r="H301" s="56" t="s">
        <v>23</v>
      </c>
      <c r="I301" s="80" t="s">
        <v>1611</v>
      </c>
      <c r="J301" s="56" t="s">
        <v>1584</v>
      </c>
      <c r="K301" t="s">
        <v>1219</v>
      </c>
    </row>
    <row r="302" spans="1:11" x14ac:dyDescent="0.25">
      <c r="A302" s="56" t="s">
        <v>1573</v>
      </c>
      <c r="B302" s="56"/>
      <c r="C302" s="56"/>
      <c r="D302" s="57"/>
      <c r="E302" s="56"/>
      <c r="G302"/>
      <c r="H302" s="56"/>
      <c r="I302" s="56"/>
      <c r="J302" s="56" t="s">
        <v>1587</v>
      </c>
      <c r="K302" t="s">
        <v>1220</v>
      </c>
    </row>
    <row r="303" spans="1:11" x14ac:dyDescent="0.25">
      <c r="A303" s="56" t="s">
        <v>1573</v>
      </c>
      <c r="B303" s="56"/>
      <c r="C303" s="56"/>
      <c r="D303" s="57"/>
      <c r="E303" s="56"/>
      <c r="G303"/>
      <c r="H303" s="56"/>
      <c r="I303" s="56"/>
      <c r="J303" s="56" t="s">
        <v>1587</v>
      </c>
      <c r="K303" t="s">
        <v>1221</v>
      </c>
    </row>
    <row r="304" spans="1:11" x14ac:dyDescent="0.25">
      <c r="A304" s="56" t="s">
        <v>1573</v>
      </c>
      <c r="B304" s="56"/>
      <c r="C304" s="56"/>
      <c r="D304" s="57"/>
      <c r="E304" s="56"/>
      <c r="G304"/>
      <c r="H304" s="56"/>
      <c r="I304" s="56"/>
      <c r="J304" s="56" t="s">
        <v>1587</v>
      </c>
      <c r="K304" t="s">
        <v>1222</v>
      </c>
    </row>
    <row r="305" spans="1:11" x14ac:dyDescent="0.25">
      <c r="A305" s="56" t="s">
        <v>1573</v>
      </c>
      <c r="B305" s="56"/>
      <c r="C305" s="56"/>
      <c r="D305" s="57"/>
      <c r="E305" s="56"/>
      <c r="G305"/>
      <c r="H305" s="56"/>
      <c r="I305" s="56"/>
      <c r="J305" s="56" t="s">
        <v>1587</v>
      </c>
      <c r="K305" t="s">
        <v>1223</v>
      </c>
    </row>
    <row r="306" spans="1:11" x14ac:dyDescent="0.25">
      <c r="A306" s="56" t="s">
        <v>1573</v>
      </c>
      <c r="B306" s="56"/>
      <c r="C306" s="56"/>
      <c r="D306" s="57"/>
      <c r="E306" s="56"/>
      <c r="G306"/>
      <c r="H306" s="56"/>
      <c r="I306" s="56"/>
      <c r="J306" s="56" t="s">
        <v>1587</v>
      </c>
      <c r="K306" t="s">
        <v>1224</v>
      </c>
    </row>
    <row r="307" spans="1:11" x14ac:dyDescent="0.25">
      <c r="A307" s="56" t="s">
        <v>1573</v>
      </c>
      <c r="B307" s="56"/>
      <c r="C307" s="56"/>
      <c r="D307" s="57"/>
      <c r="E307" s="56"/>
      <c r="G307"/>
      <c r="H307" s="56"/>
      <c r="I307" s="56"/>
      <c r="J307" s="56" t="s">
        <v>1587</v>
      </c>
      <c r="K307" t="s">
        <v>1225</v>
      </c>
    </row>
    <row r="308" spans="1:11" x14ac:dyDescent="0.25">
      <c r="A308" s="56" t="s">
        <v>1573</v>
      </c>
      <c r="B308" s="56"/>
      <c r="C308" s="56"/>
      <c r="D308" s="57"/>
      <c r="E308" s="56"/>
      <c r="G308"/>
      <c r="H308" s="56"/>
      <c r="I308" s="56"/>
      <c r="J308" s="56" t="s">
        <v>1587</v>
      </c>
      <c r="K308" t="s">
        <v>1226</v>
      </c>
    </row>
    <row r="309" spans="1:11" x14ac:dyDescent="0.25">
      <c r="A309" s="56" t="s">
        <v>1573</v>
      </c>
      <c r="B309" s="56"/>
      <c r="C309" s="56"/>
      <c r="D309" s="57"/>
      <c r="E309" s="56"/>
      <c r="G309"/>
      <c r="H309" s="56"/>
      <c r="I309" s="56"/>
      <c r="J309" s="56" t="s">
        <v>1587</v>
      </c>
      <c r="K309" t="s">
        <v>1227</v>
      </c>
    </row>
    <row r="310" spans="1:11" x14ac:dyDescent="0.25">
      <c r="A310" s="56" t="s">
        <v>1573</v>
      </c>
      <c r="B310" s="56" t="s">
        <v>1575</v>
      </c>
      <c r="C310" s="56" t="s">
        <v>11</v>
      </c>
      <c r="D310" s="57" t="s">
        <v>17</v>
      </c>
      <c r="E310" s="56" t="s">
        <v>79</v>
      </c>
      <c r="G310" t="s">
        <v>1526</v>
      </c>
      <c r="H310" s="56" t="s">
        <v>23</v>
      </c>
      <c r="I310" s="80" t="s">
        <v>1611</v>
      </c>
      <c r="J310" s="56" t="s">
        <v>1584</v>
      </c>
      <c r="K310" t="s">
        <v>1228</v>
      </c>
    </row>
    <row r="311" spans="1:11" x14ac:dyDescent="0.25">
      <c r="A311" s="56" t="s">
        <v>1573</v>
      </c>
      <c r="B311" s="56" t="s">
        <v>1575</v>
      </c>
      <c r="C311" s="56" t="s">
        <v>12</v>
      </c>
      <c r="D311" s="57" t="s">
        <v>17</v>
      </c>
      <c r="E311" s="56" t="s">
        <v>79</v>
      </c>
      <c r="G311" t="s">
        <v>1526</v>
      </c>
      <c r="H311" s="56" t="s">
        <v>23</v>
      </c>
      <c r="I311" s="80" t="s">
        <v>1611</v>
      </c>
      <c r="J311" s="56" t="s">
        <v>1584</v>
      </c>
      <c r="K311" t="s">
        <v>1229</v>
      </c>
    </row>
    <row r="312" spans="1:11" x14ac:dyDescent="0.25">
      <c r="A312" s="56" t="s">
        <v>1573</v>
      </c>
      <c r="B312" s="56" t="s">
        <v>1575</v>
      </c>
      <c r="C312" s="56" t="s">
        <v>11</v>
      </c>
      <c r="D312" s="57" t="s">
        <v>9</v>
      </c>
      <c r="E312" s="56" t="s">
        <v>126</v>
      </c>
      <c r="G312" t="s">
        <v>1526</v>
      </c>
      <c r="H312" s="56" t="s">
        <v>23</v>
      </c>
      <c r="I312" s="80" t="s">
        <v>1612</v>
      </c>
      <c r="J312" s="56" t="s">
        <v>1584</v>
      </c>
      <c r="K312" t="s">
        <v>1230</v>
      </c>
    </row>
    <row r="313" spans="1:11" x14ac:dyDescent="0.25">
      <c r="A313" s="56" t="s">
        <v>1573</v>
      </c>
      <c r="B313" s="56" t="s">
        <v>1575</v>
      </c>
      <c r="C313" s="56" t="s">
        <v>12</v>
      </c>
      <c r="D313" s="57" t="s">
        <v>9</v>
      </c>
      <c r="E313" s="56" t="s">
        <v>126</v>
      </c>
      <c r="G313" t="s">
        <v>1526</v>
      </c>
      <c r="H313" s="56" t="s">
        <v>23</v>
      </c>
      <c r="I313" s="80" t="s">
        <v>1612</v>
      </c>
      <c r="J313" s="56" t="s">
        <v>1584</v>
      </c>
      <c r="K313" t="s">
        <v>1231</v>
      </c>
    </row>
    <row r="314" spans="1:11" x14ac:dyDescent="0.25">
      <c r="A314" s="56" t="s">
        <v>1573</v>
      </c>
      <c r="B314" s="56" t="s">
        <v>1575</v>
      </c>
      <c r="C314" s="56" t="s">
        <v>11</v>
      </c>
      <c r="D314" s="57" t="s">
        <v>16</v>
      </c>
      <c r="E314" s="56" t="s">
        <v>126</v>
      </c>
      <c r="G314" t="s">
        <v>1526</v>
      </c>
      <c r="H314" s="56" t="s">
        <v>23</v>
      </c>
      <c r="I314" s="80" t="s">
        <v>1612</v>
      </c>
      <c r="J314" s="56" t="s">
        <v>1584</v>
      </c>
      <c r="K314" t="s">
        <v>1232</v>
      </c>
    </row>
    <row r="315" spans="1:11" x14ac:dyDescent="0.25">
      <c r="A315" s="56" t="s">
        <v>1573</v>
      </c>
      <c r="B315" s="56" t="s">
        <v>1575</v>
      </c>
      <c r="C315" s="56" t="s">
        <v>12</v>
      </c>
      <c r="D315" s="57" t="s">
        <v>16</v>
      </c>
      <c r="E315" s="56" t="s">
        <v>126</v>
      </c>
      <c r="G315" t="s">
        <v>1526</v>
      </c>
      <c r="H315" s="56" t="s">
        <v>23</v>
      </c>
      <c r="I315" s="80" t="s">
        <v>1612</v>
      </c>
      <c r="J315" s="56" t="s">
        <v>1584</v>
      </c>
      <c r="K315" t="s">
        <v>1233</v>
      </c>
    </row>
    <row r="316" spans="1:11" x14ac:dyDescent="0.25">
      <c r="A316" s="56" t="s">
        <v>1573</v>
      </c>
      <c r="B316" s="56"/>
      <c r="C316" s="56"/>
      <c r="D316" s="57"/>
      <c r="E316" s="56"/>
      <c r="G316"/>
      <c r="H316" s="56"/>
      <c r="I316" s="56"/>
      <c r="J316" s="56" t="s">
        <v>1587</v>
      </c>
      <c r="K316" t="s">
        <v>1234</v>
      </c>
    </row>
    <row r="317" spans="1:11" x14ac:dyDescent="0.25">
      <c r="A317" s="56" t="s">
        <v>1573</v>
      </c>
      <c r="B317" s="56"/>
      <c r="C317" s="56"/>
      <c r="D317" s="57"/>
      <c r="E317" s="56"/>
      <c r="G317"/>
      <c r="H317" s="56"/>
      <c r="I317" s="56"/>
      <c r="J317" s="56" t="s">
        <v>1587</v>
      </c>
      <c r="K317" t="s">
        <v>1235</v>
      </c>
    </row>
    <row r="318" spans="1:11" x14ac:dyDescent="0.25">
      <c r="A318" s="56" t="s">
        <v>1573</v>
      </c>
      <c r="B318" s="56"/>
      <c r="C318" s="56"/>
      <c r="D318" s="57"/>
      <c r="E318" s="56"/>
      <c r="G318"/>
      <c r="H318" s="56"/>
      <c r="I318" s="56"/>
      <c r="J318" s="56" t="s">
        <v>1587</v>
      </c>
      <c r="K318" t="s">
        <v>1236</v>
      </c>
    </row>
    <row r="319" spans="1:11" x14ac:dyDescent="0.25">
      <c r="A319" s="56" t="s">
        <v>1573</v>
      </c>
      <c r="B319" s="56"/>
      <c r="C319" s="56"/>
      <c r="D319" s="57"/>
      <c r="E319" s="56"/>
      <c r="G319"/>
      <c r="H319" s="56"/>
      <c r="I319" s="56"/>
      <c r="J319" s="56" t="s">
        <v>1587</v>
      </c>
      <c r="K319" t="s">
        <v>1237</v>
      </c>
    </row>
    <row r="320" spans="1:11" x14ac:dyDescent="0.25">
      <c r="A320" s="56" t="s">
        <v>1573</v>
      </c>
      <c r="B320" s="56"/>
      <c r="C320" s="56"/>
      <c r="D320" s="57"/>
      <c r="E320" s="56"/>
      <c r="G320"/>
      <c r="H320" s="56"/>
      <c r="I320" s="56"/>
      <c r="J320" s="56" t="s">
        <v>1587</v>
      </c>
      <c r="K320" t="s">
        <v>1238</v>
      </c>
    </row>
    <row r="321" spans="1:11" x14ac:dyDescent="0.25">
      <c r="A321" s="56" t="s">
        <v>1573</v>
      </c>
      <c r="B321" s="56"/>
      <c r="C321" s="56"/>
      <c r="D321" s="57"/>
      <c r="E321" s="56"/>
      <c r="G321"/>
      <c r="H321" s="56"/>
      <c r="I321" s="56"/>
      <c r="J321" s="56" t="s">
        <v>1587</v>
      </c>
      <c r="K321" t="s">
        <v>1239</v>
      </c>
    </row>
    <row r="322" spans="1:11" x14ac:dyDescent="0.25">
      <c r="A322" s="56" t="s">
        <v>1573</v>
      </c>
      <c r="B322" s="56"/>
      <c r="C322" s="56"/>
      <c r="D322" s="57"/>
      <c r="E322" s="56"/>
      <c r="G322"/>
      <c r="H322" s="56"/>
      <c r="I322" s="56"/>
      <c r="J322" s="56" t="s">
        <v>1587</v>
      </c>
      <c r="K322" t="s">
        <v>1240</v>
      </c>
    </row>
    <row r="323" spans="1:11" x14ac:dyDescent="0.25">
      <c r="A323" s="56" t="s">
        <v>1573</v>
      </c>
      <c r="B323" s="56"/>
      <c r="C323" s="56"/>
      <c r="D323" s="57"/>
      <c r="E323" s="56"/>
      <c r="G323"/>
      <c r="H323" s="56"/>
      <c r="I323" s="56"/>
      <c r="J323" s="56" t="s">
        <v>1587</v>
      </c>
      <c r="K323" t="s">
        <v>1241</v>
      </c>
    </row>
    <row r="324" spans="1:11" x14ac:dyDescent="0.25">
      <c r="A324" s="56" t="s">
        <v>1573</v>
      </c>
      <c r="B324" s="56" t="s">
        <v>1575</v>
      </c>
      <c r="C324" s="56" t="s">
        <v>11</v>
      </c>
      <c r="D324" s="57" t="s">
        <v>17</v>
      </c>
      <c r="E324" s="56" t="s">
        <v>126</v>
      </c>
      <c r="G324" t="s">
        <v>1526</v>
      </c>
      <c r="H324" s="56" t="s">
        <v>23</v>
      </c>
      <c r="I324" s="80" t="s">
        <v>1612</v>
      </c>
      <c r="J324" s="56" t="s">
        <v>1584</v>
      </c>
      <c r="K324" t="s">
        <v>1242</v>
      </c>
    </row>
    <row r="325" spans="1:11" x14ac:dyDescent="0.25">
      <c r="A325" s="56" t="s">
        <v>1573</v>
      </c>
      <c r="B325" s="56" t="s">
        <v>1575</v>
      </c>
      <c r="C325" s="56" t="s">
        <v>12</v>
      </c>
      <c r="D325" s="57" t="s">
        <v>17</v>
      </c>
      <c r="E325" s="56" t="s">
        <v>126</v>
      </c>
      <c r="G325" t="s">
        <v>1526</v>
      </c>
      <c r="H325" s="56" t="s">
        <v>23</v>
      </c>
      <c r="I325" s="80" t="s">
        <v>1612</v>
      </c>
      <c r="J325" s="56" t="s">
        <v>1584</v>
      </c>
      <c r="K325" t="s">
        <v>1243</v>
      </c>
    </row>
    <row r="326" spans="1:11" x14ac:dyDescent="0.25">
      <c r="A326" s="56" t="s">
        <v>1573</v>
      </c>
      <c r="B326" s="56" t="s">
        <v>1574</v>
      </c>
      <c r="C326" s="56"/>
      <c r="D326" s="57" t="s">
        <v>6</v>
      </c>
      <c r="E326" s="56" t="s">
        <v>79</v>
      </c>
      <c r="G326" t="s">
        <v>1529</v>
      </c>
      <c r="H326" s="56" t="s">
        <v>23</v>
      </c>
      <c r="I326" s="80" t="s">
        <v>1613</v>
      </c>
      <c r="J326" s="56" t="s">
        <v>1584</v>
      </c>
      <c r="K326" t="s">
        <v>1389</v>
      </c>
    </row>
    <row r="327" spans="1:11" x14ac:dyDescent="0.25">
      <c r="A327" s="56" t="s">
        <v>1573</v>
      </c>
      <c r="B327" s="56" t="s">
        <v>1574</v>
      </c>
      <c r="C327" s="56"/>
      <c r="D327" s="57" t="s">
        <v>7</v>
      </c>
      <c r="E327" s="56" t="s">
        <v>79</v>
      </c>
      <c r="G327" t="s">
        <v>1529</v>
      </c>
      <c r="H327" s="56" t="s">
        <v>23</v>
      </c>
      <c r="I327" s="80" t="s">
        <v>1613</v>
      </c>
      <c r="J327" s="56" t="s">
        <v>1584</v>
      </c>
      <c r="K327" t="s">
        <v>1390</v>
      </c>
    </row>
    <row r="328" spans="1:11" x14ac:dyDescent="0.25">
      <c r="A328" s="56" t="s">
        <v>1573</v>
      </c>
      <c r="B328" s="56" t="s">
        <v>1575</v>
      </c>
      <c r="C328" s="56" t="s">
        <v>11</v>
      </c>
      <c r="D328" s="57" t="s">
        <v>8</v>
      </c>
      <c r="E328" s="56" t="s">
        <v>79</v>
      </c>
      <c r="G328" t="s">
        <v>1529</v>
      </c>
      <c r="H328" s="56" t="s">
        <v>23</v>
      </c>
      <c r="I328" s="80" t="s">
        <v>1613</v>
      </c>
      <c r="J328" s="56" t="s">
        <v>1584</v>
      </c>
      <c r="K328" t="s">
        <v>1391</v>
      </c>
    </row>
    <row r="329" spans="1:11" x14ac:dyDescent="0.25">
      <c r="A329" s="56" t="s">
        <v>1573</v>
      </c>
      <c r="B329" s="56" t="s">
        <v>1575</v>
      </c>
      <c r="C329" s="56" t="s">
        <v>12</v>
      </c>
      <c r="D329" s="57" t="s">
        <v>8</v>
      </c>
      <c r="E329" s="56" t="s">
        <v>79</v>
      </c>
      <c r="G329" t="s">
        <v>1529</v>
      </c>
      <c r="H329" s="56" t="s">
        <v>23</v>
      </c>
      <c r="I329" s="80" t="s">
        <v>1613</v>
      </c>
      <c r="J329" s="56" t="s">
        <v>1584</v>
      </c>
      <c r="K329" t="s">
        <v>1392</v>
      </c>
    </row>
    <row r="330" spans="1:11" x14ac:dyDescent="0.25">
      <c r="A330" s="56" t="s">
        <v>1573</v>
      </c>
      <c r="B330" s="56" t="s">
        <v>1574</v>
      </c>
      <c r="C330" s="56"/>
      <c r="D330" s="57" t="s">
        <v>6</v>
      </c>
      <c r="E330" s="56" t="s">
        <v>126</v>
      </c>
      <c r="G330" t="s">
        <v>1529</v>
      </c>
      <c r="H330" s="56" t="s">
        <v>23</v>
      </c>
      <c r="I330" s="80" t="s">
        <v>1614</v>
      </c>
      <c r="J330" s="56" t="s">
        <v>1584</v>
      </c>
      <c r="K330" t="s">
        <v>1393</v>
      </c>
    </row>
    <row r="331" spans="1:11" x14ac:dyDescent="0.25">
      <c r="A331" s="56" t="s">
        <v>1573</v>
      </c>
      <c r="B331" s="56" t="s">
        <v>1574</v>
      </c>
      <c r="C331" s="56"/>
      <c r="D331" s="57" t="s">
        <v>7</v>
      </c>
      <c r="E331" s="56" t="s">
        <v>126</v>
      </c>
      <c r="G331" t="s">
        <v>1529</v>
      </c>
      <c r="H331" s="56" t="s">
        <v>23</v>
      </c>
      <c r="I331" s="80" t="s">
        <v>1614</v>
      </c>
      <c r="J331" s="56" t="s">
        <v>1584</v>
      </c>
      <c r="K331" t="s">
        <v>1394</v>
      </c>
    </row>
    <row r="332" spans="1:11" x14ac:dyDescent="0.25">
      <c r="A332" s="56" t="s">
        <v>1573</v>
      </c>
      <c r="B332" s="56" t="s">
        <v>1575</v>
      </c>
      <c r="C332" s="56" t="s">
        <v>11</v>
      </c>
      <c r="D332" s="57" t="s">
        <v>8</v>
      </c>
      <c r="E332" s="56" t="s">
        <v>126</v>
      </c>
      <c r="G332" t="s">
        <v>1529</v>
      </c>
      <c r="H332" s="56" t="s">
        <v>23</v>
      </c>
      <c r="I332" s="80" t="s">
        <v>1614</v>
      </c>
      <c r="J332" s="56" t="s">
        <v>1584</v>
      </c>
      <c r="K332" t="s">
        <v>1395</v>
      </c>
    </row>
    <row r="333" spans="1:11" x14ac:dyDescent="0.25">
      <c r="A333" s="56" t="s">
        <v>1573</v>
      </c>
      <c r="B333" s="56" t="s">
        <v>1575</v>
      </c>
      <c r="C333" s="56" t="s">
        <v>12</v>
      </c>
      <c r="D333" s="57" t="s">
        <v>8</v>
      </c>
      <c r="E333" s="56" t="s">
        <v>126</v>
      </c>
      <c r="G333" t="s">
        <v>1529</v>
      </c>
      <c r="H333" s="56" t="s">
        <v>23</v>
      </c>
      <c r="I333" s="80" t="s">
        <v>1614</v>
      </c>
      <c r="J333" s="56" t="s">
        <v>1584</v>
      </c>
      <c r="K333" t="s">
        <v>1396</v>
      </c>
    </row>
    <row r="334" spans="1:11" x14ac:dyDescent="0.25">
      <c r="A334" s="56" t="s">
        <v>1573</v>
      </c>
      <c r="B334" s="56" t="s">
        <v>1575</v>
      </c>
      <c r="C334" s="56" t="s">
        <v>11</v>
      </c>
      <c r="D334" s="57" t="s">
        <v>9</v>
      </c>
      <c r="E334" s="56" t="s">
        <v>79</v>
      </c>
      <c r="G334" t="s">
        <v>1529</v>
      </c>
      <c r="H334" s="56" t="s">
        <v>23</v>
      </c>
      <c r="I334" s="80" t="s">
        <v>1615</v>
      </c>
      <c r="J334" s="56" t="s">
        <v>1584</v>
      </c>
      <c r="K334" t="s">
        <v>1397</v>
      </c>
    </row>
    <row r="335" spans="1:11" x14ac:dyDescent="0.25">
      <c r="A335" s="56" t="s">
        <v>1573</v>
      </c>
      <c r="B335" s="56" t="s">
        <v>1575</v>
      </c>
      <c r="C335" s="56" t="s">
        <v>12</v>
      </c>
      <c r="D335" s="57" t="s">
        <v>9</v>
      </c>
      <c r="E335" s="56" t="s">
        <v>79</v>
      </c>
      <c r="G335" t="s">
        <v>1529</v>
      </c>
      <c r="H335" s="56" t="s">
        <v>23</v>
      </c>
      <c r="I335" s="80" t="s">
        <v>1615</v>
      </c>
      <c r="J335" s="56" t="s">
        <v>1584</v>
      </c>
      <c r="K335" t="s">
        <v>1398</v>
      </c>
    </row>
    <row r="336" spans="1:11" x14ac:dyDescent="0.25">
      <c r="A336" s="56" t="s">
        <v>1573</v>
      </c>
      <c r="B336" s="56" t="s">
        <v>1575</v>
      </c>
      <c r="C336" s="56" t="s">
        <v>11</v>
      </c>
      <c r="D336" s="57" t="s">
        <v>16</v>
      </c>
      <c r="E336" s="56" t="s">
        <v>79</v>
      </c>
      <c r="G336" t="s">
        <v>1529</v>
      </c>
      <c r="H336" s="56" t="s">
        <v>23</v>
      </c>
      <c r="I336" s="80" t="s">
        <v>1615</v>
      </c>
      <c r="J336" s="56" t="s">
        <v>1584</v>
      </c>
      <c r="K336" t="s">
        <v>1399</v>
      </c>
    </row>
    <row r="337" spans="1:11" x14ac:dyDescent="0.25">
      <c r="A337" s="56" t="s">
        <v>1573</v>
      </c>
      <c r="B337" s="56" t="s">
        <v>1575</v>
      </c>
      <c r="C337" s="56" t="s">
        <v>12</v>
      </c>
      <c r="D337" s="57" t="s">
        <v>16</v>
      </c>
      <c r="E337" s="56" t="s">
        <v>79</v>
      </c>
      <c r="G337" t="s">
        <v>1529</v>
      </c>
      <c r="H337" s="56" t="s">
        <v>23</v>
      </c>
      <c r="I337" s="80" t="s">
        <v>1615</v>
      </c>
      <c r="J337" s="56" t="s">
        <v>1584</v>
      </c>
      <c r="K337" t="s">
        <v>1400</v>
      </c>
    </row>
    <row r="338" spans="1:11" x14ac:dyDescent="0.25">
      <c r="A338" s="56" t="s">
        <v>1573</v>
      </c>
      <c r="B338" s="56"/>
      <c r="C338" s="56"/>
      <c r="D338" s="57"/>
      <c r="E338" s="56"/>
      <c r="G338"/>
      <c r="H338" s="56"/>
      <c r="I338" s="56"/>
      <c r="J338" s="56" t="s">
        <v>1587</v>
      </c>
      <c r="K338" t="s">
        <v>1401</v>
      </c>
    </row>
    <row r="339" spans="1:11" x14ac:dyDescent="0.25">
      <c r="A339" s="56" t="s">
        <v>1573</v>
      </c>
      <c r="B339" s="56"/>
      <c r="C339" s="56"/>
      <c r="D339" s="57"/>
      <c r="E339" s="56"/>
      <c r="G339"/>
      <c r="H339" s="56"/>
      <c r="I339" s="56"/>
      <c r="J339" s="56" t="s">
        <v>1587</v>
      </c>
      <c r="K339" t="s">
        <v>1402</v>
      </c>
    </row>
    <row r="340" spans="1:11" x14ac:dyDescent="0.25">
      <c r="A340" s="56" t="s">
        <v>1573</v>
      </c>
      <c r="B340" s="56"/>
      <c r="C340" s="56"/>
      <c r="D340" s="57"/>
      <c r="E340" s="56"/>
      <c r="G340"/>
      <c r="H340" s="56"/>
      <c r="I340" s="56"/>
      <c r="J340" s="56" t="s">
        <v>1587</v>
      </c>
      <c r="K340" t="s">
        <v>1403</v>
      </c>
    </row>
    <row r="341" spans="1:11" x14ac:dyDescent="0.25">
      <c r="A341" s="56" t="s">
        <v>1573</v>
      </c>
      <c r="B341" s="56"/>
      <c r="C341" s="56"/>
      <c r="D341" s="57"/>
      <c r="E341" s="56"/>
      <c r="G341"/>
      <c r="H341" s="56"/>
      <c r="I341" s="56"/>
      <c r="J341" s="56" t="s">
        <v>1587</v>
      </c>
      <c r="K341" t="s">
        <v>1404</v>
      </c>
    </row>
    <row r="342" spans="1:11" x14ac:dyDescent="0.25">
      <c r="A342" s="56" t="s">
        <v>1573</v>
      </c>
      <c r="B342" s="56"/>
      <c r="C342" s="56"/>
      <c r="D342" s="57"/>
      <c r="E342" s="56"/>
      <c r="G342"/>
      <c r="H342" s="56"/>
      <c r="I342" s="56"/>
      <c r="J342" s="56" t="s">
        <v>1587</v>
      </c>
      <c r="K342" t="s">
        <v>1405</v>
      </c>
    </row>
    <row r="343" spans="1:11" x14ac:dyDescent="0.25">
      <c r="A343" s="56" t="s">
        <v>1573</v>
      </c>
      <c r="B343" s="56"/>
      <c r="C343" s="56"/>
      <c r="D343" s="57"/>
      <c r="E343" s="56"/>
      <c r="G343"/>
      <c r="H343" s="56"/>
      <c r="I343" s="56"/>
      <c r="J343" s="56" t="s">
        <v>1587</v>
      </c>
      <c r="K343" t="s">
        <v>1406</v>
      </c>
    </row>
    <row r="344" spans="1:11" x14ac:dyDescent="0.25">
      <c r="A344" s="56" t="s">
        <v>1573</v>
      </c>
      <c r="B344" s="56"/>
      <c r="C344" s="56"/>
      <c r="D344" s="57"/>
      <c r="E344" s="56"/>
      <c r="G344"/>
      <c r="H344" s="56"/>
      <c r="I344" s="56"/>
      <c r="J344" s="56" t="s">
        <v>1587</v>
      </c>
      <c r="K344" t="s">
        <v>1407</v>
      </c>
    </row>
    <row r="345" spans="1:11" x14ac:dyDescent="0.25">
      <c r="A345" s="56" t="s">
        <v>1573</v>
      </c>
      <c r="B345" s="56"/>
      <c r="C345" s="56"/>
      <c r="D345" s="57"/>
      <c r="E345" s="56"/>
      <c r="G345"/>
      <c r="H345" s="56"/>
      <c r="I345" s="56"/>
      <c r="J345" s="56" t="s">
        <v>1587</v>
      </c>
      <c r="K345" t="s">
        <v>1408</v>
      </c>
    </row>
    <row r="346" spans="1:11" x14ac:dyDescent="0.25">
      <c r="A346" s="56" t="s">
        <v>1573</v>
      </c>
      <c r="B346" s="56" t="s">
        <v>1575</v>
      </c>
      <c r="C346" s="56" t="s">
        <v>11</v>
      </c>
      <c r="D346" s="57" t="s">
        <v>17</v>
      </c>
      <c r="E346" s="56" t="s">
        <v>79</v>
      </c>
      <c r="G346" t="s">
        <v>1529</v>
      </c>
      <c r="H346" s="56" t="s">
        <v>23</v>
      </c>
      <c r="I346" s="80" t="s">
        <v>1615</v>
      </c>
      <c r="J346" s="56" t="s">
        <v>1584</v>
      </c>
      <c r="K346" t="s">
        <v>1409</v>
      </c>
    </row>
    <row r="347" spans="1:11" x14ac:dyDescent="0.25">
      <c r="A347" s="56" t="s">
        <v>1573</v>
      </c>
      <c r="B347" s="56" t="s">
        <v>1575</v>
      </c>
      <c r="C347" s="56" t="s">
        <v>12</v>
      </c>
      <c r="D347" s="57" t="s">
        <v>17</v>
      </c>
      <c r="E347" s="56" t="s">
        <v>79</v>
      </c>
      <c r="G347" t="s">
        <v>1529</v>
      </c>
      <c r="H347" s="56" t="s">
        <v>23</v>
      </c>
      <c r="I347" s="80" t="s">
        <v>1615</v>
      </c>
      <c r="J347" s="56" t="s">
        <v>1584</v>
      </c>
      <c r="K347" t="s">
        <v>1410</v>
      </c>
    </row>
    <row r="348" spans="1:11" x14ac:dyDescent="0.25">
      <c r="A348" s="56" t="s">
        <v>1573</v>
      </c>
      <c r="B348" s="56" t="s">
        <v>1575</v>
      </c>
      <c r="C348" s="56" t="s">
        <v>11</v>
      </c>
      <c r="D348" s="57" t="s">
        <v>9</v>
      </c>
      <c r="E348" s="56" t="s">
        <v>126</v>
      </c>
      <c r="G348" t="s">
        <v>1529</v>
      </c>
      <c r="H348" s="56" t="s">
        <v>23</v>
      </c>
      <c r="I348" s="80" t="s">
        <v>1616</v>
      </c>
      <c r="J348" s="56" t="s">
        <v>1584</v>
      </c>
      <c r="K348" t="s">
        <v>1411</v>
      </c>
    </row>
    <row r="349" spans="1:11" x14ac:dyDescent="0.25">
      <c r="A349" s="56" t="s">
        <v>1573</v>
      </c>
      <c r="B349" s="56" t="s">
        <v>1575</v>
      </c>
      <c r="C349" s="56" t="s">
        <v>12</v>
      </c>
      <c r="D349" s="57" t="s">
        <v>9</v>
      </c>
      <c r="E349" s="56" t="s">
        <v>126</v>
      </c>
      <c r="G349" t="s">
        <v>1529</v>
      </c>
      <c r="H349" s="56" t="s">
        <v>23</v>
      </c>
      <c r="I349" s="80" t="s">
        <v>1616</v>
      </c>
      <c r="J349" s="56" t="s">
        <v>1584</v>
      </c>
      <c r="K349" t="s">
        <v>1412</v>
      </c>
    </row>
    <row r="350" spans="1:11" x14ac:dyDescent="0.25">
      <c r="A350" s="56" t="s">
        <v>1573</v>
      </c>
      <c r="B350" s="56" t="s">
        <v>1575</v>
      </c>
      <c r="C350" s="56" t="s">
        <v>11</v>
      </c>
      <c r="D350" s="57" t="s">
        <v>16</v>
      </c>
      <c r="E350" s="56" t="s">
        <v>126</v>
      </c>
      <c r="G350" t="s">
        <v>1529</v>
      </c>
      <c r="H350" s="56" t="s">
        <v>23</v>
      </c>
      <c r="I350" s="80" t="s">
        <v>1616</v>
      </c>
      <c r="J350" s="56" t="s">
        <v>1584</v>
      </c>
      <c r="K350" t="s">
        <v>1413</v>
      </c>
    </row>
    <row r="351" spans="1:11" x14ac:dyDescent="0.25">
      <c r="A351" s="56" t="s">
        <v>1573</v>
      </c>
      <c r="B351" s="56" t="s">
        <v>1575</v>
      </c>
      <c r="C351" s="56" t="s">
        <v>12</v>
      </c>
      <c r="D351" s="57" t="s">
        <v>16</v>
      </c>
      <c r="E351" s="56" t="s">
        <v>126</v>
      </c>
      <c r="G351" t="s">
        <v>1529</v>
      </c>
      <c r="H351" s="56" t="s">
        <v>23</v>
      </c>
      <c r="I351" s="80" t="s">
        <v>1616</v>
      </c>
      <c r="J351" s="56" t="s">
        <v>1584</v>
      </c>
      <c r="K351" t="s">
        <v>1414</v>
      </c>
    </row>
    <row r="352" spans="1:11" x14ac:dyDescent="0.25">
      <c r="A352" s="56" t="s">
        <v>1573</v>
      </c>
      <c r="B352" s="56"/>
      <c r="C352" s="56"/>
      <c r="D352" s="57"/>
      <c r="E352" s="56"/>
      <c r="G352"/>
      <c r="H352" s="56"/>
      <c r="I352" s="56"/>
      <c r="J352" s="56" t="s">
        <v>1587</v>
      </c>
      <c r="K352" t="s">
        <v>1415</v>
      </c>
    </row>
    <row r="353" spans="1:11" x14ac:dyDescent="0.25">
      <c r="A353" s="56" t="s">
        <v>1573</v>
      </c>
      <c r="B353" s="56"/>
      <c r="C353" s="56"/>
      <c r="D353" s="57"/>
      <c r="E353" s="56"/>
      <c r="G353"/>
      <c r="H353" s="56"/>
      <c r="I353" s="56"/>
      <c r="J353" s="56" t="s">
        <v>1587</v>
      </c>
      <c r="K353" t="s">
        <v>1416</v>
      </c>
    </row>
    <row r="354" spans="1:11" x14ac:dyDescent="0.25">
      <c r="A354" s="56" t="s">
        <v>1573</v>
      </c>
      <c r="B354" s="56"/>
      <c r="C354" s="56"/>
      <c r="D354" s="57"/>
      <c r="E354" s="56"/>
      <c r="G354"/>
      <c r="H354" s="56"/>
      <c r="I354" s="56"/>
      <c r="J354" s="56" t="s">
        <v>1587</v>
      </c>
      <c r="K354" t="s">
        <v>1417</v>
      </c>
    </row>
    <row r="355" spans="1:11" x14ac:dyDescent="0.25">
      <c r="A355" s="56" t="s">
        <v>1573</v>
      </c>
      <c r="B355" s="56"/>
      <c r="C355" s="56"/>
      <c r="D355" s="57"/>
      <c r="E355" s="56"/>
      <c r="G355"/>
      <c r="H355" s="56"/>
      <c r="I355" s="56"/>
      <c r="J355" s="56" t="s">
        <v>1587</v>
      </c>
      <c r="K355" t="s">
        <v>1418</v>
      </c>
    </row>
    <row r="356" spans="1:11" x14ac:dyDescent="0.25">
      <c r="A356" s="56" t="s">
        <v>1573</v>
      </c>
      <c r="B356" s="56"/>
      <c r="C356" s="56"/>
      <c r="D356" s="57"/>
      <c r="E356" s="56"/>
      <c r="G356"/>
      <c r="H356" s="56"/>
      <c r="I356" s="56"/>
      <c r="J356" s="56" t="s">
        <v>1587</v>
      </c>
      <c r="K356" t="s">
        <v>1419</v>
      </c>
    </row>
    <row r="357" spans="1:11" x14ac:dyDescent="0.25">
      <c r="A357" s="56" t="s">
        <v>1573</v>
      </c>
      <c r="B357" s="56"/>
      <c r="C357" s="56"/>
      <c r="D357" s="57"/>
      <c r="E357" s="56"/>
      <c r="G357"/>
      <c r="H357" s="56"/>
      <c r="I357" s="56"/>
      <c r="J357" s="56" t="s">
        <v>1587</v>
      </c>
      <c r="K357" t="s">
        <v>1420</v>
      </c>
    </row>
    <row r="358" spans="1:11" x14ac:dyDescent="0.25">
      <c r="A358" s="56" t="s">
        <v>1573</v>
      </c>
      <c r="B358" s="56"/>
      <c r="C358" s="56"/>
      <c r="D358" s="57"/>
      <c r="E358" s="56"/>
      <c r="G358"/>
      <c r="H358" s="56"/>
      <c r="I358" s="56"/>
      <c r="J358" s="56" t="s">
        <v>1587</v>
      </c>
      <c r="K358" t="s">
        <v>1421</v>
      </c>
    </row>
    <row r="359" spans="1:11" x14ac:dyDescent="0.25">
      <c r="A359" s="56" t="s">
        <v>1573</v>
      </c>
      <c r="B359" s="56"/>
      <c r="C359" s="56"/>
      <c r="D359" s="57"/>
      <c r="E359" s="56"/>
      <c r="G359"/>
      <c r="H359" s="56"/>
      <c r="I359" s="56"/>
      <c r="J359" s="56" t="s">
        <v>1587</v>
      </c>
      <c r="K359" t="s">
        <v>1422</v>
      </c>
    </row>
    <row r="360" spans="1:11" x14ac:dyDescent="0.25">
      <c r="A360" s="56" t="s">
        <v>1573</v>
      </c>
      <c r="B360" s="56" t="s">
        <v>1575</v>
      </c>
      <c r="C360" s="56" t="s">
        <v>11</v>
      </c>
      <c r="D360" s="57" t="s">
        <v>17</v>
      </c>
      <c r="E360" s="56" t="s">
        <v>126</v>
      </c>
      <c r="G360" t="s">
        <v>1529</v>
      </c>
      <c r="H360" s="56" t="s">
        <v>23</v>
      </c>
      <c r="I360" s="80" t="s">
        <v>1616</v>
      </c>
      <c r="J360" s="56" t="s">
        <v>1584</v>
      </c>
      <c r="K360" t="s">
        <v>1423</v>
      </c>
    </row>
    <row r="361" spans="1:11" x14ac:dyDescent="0.25">
      <c r="A361" s="56" t="s">
        <v>1573</v>
      </c>
      <c r="B361" s="56" t="s">
        <v>1575</v>
      </c>
      <c r="C361" s="56" t="s">
        <v>12</v>
      </c>
      <c r="D361" s="57" t="s">
        <v>17</v>
      </c>
      <c r="E361" s="56" t="s">
        <v>126</v>
      </c>
      <c r="G361" t="s">
        <v>1529</v>
      </c>
      <c r="H361" s="56" t="s">
        <v>23</v>
      </c>
      <c r="I361" s="80" t="s">
        <v>1616</v>
      </c>
      <c r="J361" s="56" t="s">
        <v>1584</v>
      </c>
      <c r="K361" t="s">
        <v>1424</v>
      </c>
    </row>
    <row r="362" spans="1:11" x14ac:dyDescent="0.25">
      <c r="A362" s="56" t="s">
        <v>1573</v>
      </c>
      <c r="B362" s="56" t="s">
        <v>1574</v>
      </c>
      <c r="C362" s="56"/>
      <c r="D362" s="57" t="s">
        <v>6</v>
      </c>
      <c r="E362" s="56" t="s">
        <v>79</v>
      </c>
      <c r="G362" t="s">
        <v>1528</v>
      </c>
      <c r="H362" s="56" t="s">
        <v>23</v>
      </c>
      <c r="I362" s="80" t="s">
        <v>1617</v>
      </c>
      <c r="J362" s="56" t="s">
        <v>1584</v>
      </c>
      <c r="K362" t="s">
        <v>1316</v>
      </c>
    </row>
    <row r="363" spans="1:11" x14ac:dyDescent="0.25">
      <c r="A363" s="56" t="s">
        <v>1573</v>
      </c>
      <c r="B363" s="56" t="s">
        <v>1574</v>
      </c>
      <c r="C363" s="56"/>
      <c r="D363" s="57" t="s">
        <v>7</v>
      </c>
      <c r="E363" s="56" t="s">
        <v>79</v>
      </c>
      <c r="G363" t="s">
        <v>1528</v>
      </c>
      <c r="H363" s="56" t="s">
        <v>23</v>
      </c>
      <c r="I363" s="80" t="s">
        <v>1617</v>
      </c>
      <c r="J363" s="56" t="s">
        <v>1584</v>
      </c>
      <c r="K363" t="s">
        <v>1317</v>
      </c>
    </row>
    <row r="364" spans="1:11" x14ac:dyDescent="0.25">
      <c r="A364" s="56" t="s">
        <v>1573</v>
      </c>
      <c r="B364" s="56" t="s">
        <v>1575</v>
      </c>
      <c r="C364" s="56" t="s">
        <v>11</v>
      </c>
      <c r="D364" s="57" t="s">
        <v>8</v>
      </c>
      <c r="E364" s="56" t="s">
        <v>79</v>
      </c>
      <c r="G364" t="s">
        <v>1528</v>
      </c>
      <c r="H364" s="56" t="s">
        <v>23</v>
      </c>
      <c r="I364" s="80" t="s">
        <v>1617</v>
      </c>
      <c r="J364" s="56" t="s">
        <v>1584</v>
      </c>
      <c r="K364" t="s">
        <v>1318</v>
      </c>
    </row>
    <row r="365" spans="1:11" x14ac:dyDescent="0.25">
      <c r="A365" s="56" t="s">
        <v>1573</v>
      </c>
      <c r="B365" s="56" t="s">
        <v>1575</v>
      </c>
      <c r="C365" s="56" t="s">
        <v>12</v>
      </c>
      <c r="D365" s="57" t="s">
        <v>8</v>
      </c>
      <c r="E365" s="56" t="s">
        <v>79</v>
      </c>
      <c r="G365" t="s">
        <v>1528</v>
      </c>
      <c r="H365" s="56" t="s">
        <v>23</v>
      </c>
      <c r="I365" s="80" t="s">
        <v>1617</v>
      </c>
      <c r="J365" s="56" t="s">
        <v>1584</v>
      </c>
      <c r="K365" t="s">
        <v>1319</v>
      </c>
    </row>
    <row r="366" spans="1:11" x14ac:dyDescent="0.25">
      <c r="A366" s="56" t="s">
        <v>1573</v>
      </c>
      <c r="B366" s="56" t="s">
        <v>1574</v>
      </c>
      <c r="C366" s="56"/>
      <c r="D366" s="57" t="s">
        <v>6</v>
      </c>
      <c r="E366" s="56" t="s">
        <v>126</v>
      </c>
      <c r="G366" t="s">
        <v>1528</v>
      </c>
      <c r="H366" s="56" t="s">
        <v>23</v>
      </c>
      <c r="I366" s="80" t="s">
        <v>1618</v>
      </c>
      <c r="J366" s="56" t="s">
        <v>1584</v>
      </c>
      <c r="K366" t="s">
        <v>1320</v>
      </c>
    </row>
    <row r="367" spans="1:11" x14ac:dyDescent="0.25">
      <c r="A367" s="56" t="s">
        <v>1573</v>
      </c>
      <c r="B367" s="56" t="s">
        <v>1574</v>
      </c>
      <c r="C367" s="56"/>
      <c r="D367" s="57" t="s">
        <v>7</v>
      </c>
      <c r="E367" s="56" t="s">
        <v>126</v>
      </c>
      <c r="G367" t="s">
        <v>1528</v>
      </c>
      <c r="H367" s="56" t="s">
        <v>23</v>
      </c>
      <c r="I367" s="80" t="s">
        <v>1618</v>
      </c>
      <c r="J367" s="56" t="s">
        <v>1584</v>
      </c>
      <c r="K367" t="s">
        <v>1321</v>
      </c>
    </row>
    <row r="368" spans="1:11" x14ac:dyDescent="0.25">
      <c r="A368" s="56" t="s">
        <v>1573</v>
      </c>
      <c r="B368" s="56" t="s">
        <v>1575</v>
      </c>
      <c r="C368" s="56" t="s">
        <v>11</v>
      </c>
      <c r="D368" s="57" t="s">
        <v>8</v>
      </c>
      <c r="E368" s="56" t="s">
        <v>126</v>
      </c>
      <c r="G368" t="s">
        <v>1528</v>
      </c>
      <c r="H368" s="56" t="s">
        <v>23</v>
      </c>
      <c r="I368" s="80" t="s">
        <v>1618</v>
      </c>
      <c r="J368" s="56" t="s">
        <v>1584</v>
      </c>
      <c r="K368" t="s">
        <v>1322</v>
      </c>
    </row>
    <row r="369" spans="1:11" s="56" customFormat="1" x14ac:dyDescent="0.25">
      <c r="A369" s="56" t="s">
        <v>1573</v>
      </c>
      <c r="B369" s="56" t="s">
        <v>1575</v>
      </c>
      <c r="C369" s="56" t="s">
        <v>12</v>
      </c>
      <c r="D369" s="57" t="s">
        <v>8</v>
      </c>
      <c r="E369" s="56" t="s">
        <v>126</v>
      </c>
      <c r="G369" s="56" t="s">
        <v>1528</v>
      </c>
      <c r="H369" s="56" t="s">
        <v>23</v>
      </c>
      <c r="I369" s="80" t="s">
        <v>1618</v>
      </c>
      <c r="J369" s="56" t="s">
        <v>1584</v>
      </c>
      <c r="K369" s="56" t="s">
        <v>1323</v>
      </c>
    </row>
    <row r="370" spans="1:11" s="56" customFormat="1" x14ac:dyDescent="0.25">
      <c r="A370" s="56" t="s">
        <v>1573</v>
      </c>
      <c r="B370" s="56" t="s">
        <v>1575</v>
      </c>
      <c r="C370" s="56" t="s">
        <v>11</v>
      </c>
      <c r="D370" s="57" t="s">
        <v>9</v>
      </c>
      <c r="E370" s="56" t="s">
        <v>79</v>
      </c>
      <c r="G370" s="56" t="s">
        <v>1528</v>
      </c>
      <c r="H370" s="56" t="s">
        <v>23</v>
      </c>
      <c r="I370" s="80" t="s">
        <v>1619</v>
      </c>
      <c r="J370" s="56" t="s">
        <v>1584</v>
      </c>
      <c r="K370" s="56" t="s">
        <v>1324</v>
      </c>
    </row>
    <row r="371" spans="1:11" s="56" customFormat="1" x14ac:dyDescent="0.25">
      <c r="A371" s="56" t="s">
        <v>1573</v>
      </c>
      <c r="B371" s="56" t="s">
        <v>1575</v>
      </c>
      <c r="C371" s="56" t="s">
        <v>12</v>
      </c>
      <c r="D371" s="57" t="s">
        <v>9</v>
      </c>
      <c r="E371" s="56" t="s">
        <v>79</v>
      </c>
      <c r="G371" s="56" t="s">
        <v>1528</v>
      </c>
      <c r="H371" s="56" t="s">
        <v>23</v>
      </c>
      <c r="I371" s="80" t="s">
        <v>1619</v>
      </c>
      <c r="J371" s="56" t="s">
        <v>1584</v>
      </c>
      <c r="K371" s="56" t="s">
        <v>1325</v>
      </c>
    </row>
    <row r="372" spans="1:11" s="56" customFormat="1" x14ac:dyDescent="0.25">
      <c r="A372" s="56" t="s">
        <v>1573</v>
      </c>
      <c r="B372" s="56" t="s">
        <v>1575</v>
      </c>
      <c r="C372" s="56" t="s">
        <v>11</v>
      </c>
      <c r="D372" s="57" t="s">
        <v>16</v>
      </c>
      <c r="E372" s="56" t="s">
        <v>79</v>
      </c>
      <c r="G372" s="56" t="s">
        <v>1528</v>
      </c>
      <c r="H372" s="56" t="s">
        <v>23</v>
      </c>
      <c r="I372" s="80" t="s">
        <v>1619</v>
      </c>
      <c r="J372" s="56" t="s">
        <v>1584</v>
      </c>
      <c r="K372" s="56" t="s">
        <v>1326</v>
      </c>
    </row>
    <row r="373" spans="1:11" s="56" customFormat="1" x14ac:dyDescent="0.25">
      <c r="A373" s="56" t="s">
        <v>1573</v>
      </c>
      <c r="B373" s="56" t="s">
        <v>1575</v>
      </c>
      <c r="C373" s="56" t="s">
        <v>12</v>
      </c>
      <c r="D373" s="57" t="s">
        <v>16</v>
      </c>
      <c r="E373" s="56" t="s">
        <v>79</v>
      </c>
      <c r="G373" s="56" t="s">
        <v>1528</v>
      </c>
      <c r="H373" s="56" t="s">
        <v>23</v>
      </c>
      <c r="I373" s="80" t="s">
        <v>1619</v>
      </c>
      <c r="J373" s="56" t="s">
        <v>1584</v>
      </c>
      <c r="K373" s="56" t="s">
        <v>1327</v>
      </c>
    </row>
    <row r="374" spans="1:11" s="56" customFormat="1" x14ac:dyDescent="0.25">
      <c r="A374" s="56" t="s">
        <v>1573</v>
      </c>
      <c r="D374" s="57"/>
      <c r="J374" s="56" t="s">
        <v>1587</v>
      </c>
      <c r="K374" s="56" t="s">
        <v>1328</v>
      </c>
    </row>
    <row r="375" spans="1:11" s="56" customFormat="1" x14ac:dyDescent="0.25">
      <c r="A375" s="56" t="s">
        <v>1573</v>
      </c>
      <c r="D375" s="57"/>
      <c r="J375" s="56" t="s">
        <v>1587</v>
      </c>
      <c r="K375" s="56" t="s">
        <v>1329</v>
      </c>
    </row>
    <row r="376" spans="1:11" s="56" customFormat="1" x14ac:dyDescent="0.25">
      <c r="A376" s="56" t="s">
        <v>1573</v>
      </c>
      <c r="D376" s="57"/>
      <c r="J376" s="56" t="s">
        <v>1587</v>
      </c>
      <c r="K376" s="56" t="s">
        <v>1330</v>
      </c>
    </row>
    <row r="377" spans="1:11" s="56" customFormat="1" x14ac:dyDescent="0.25">
      <c r="A377" s="56" t="s">
        <v>1573</v>
      </c>
      <c r="D377" s="57"/>
      <c r="J377" s="56" t="s">
        <v>1587</v>
      </c>
      <c r="K377" s="56" t="s">
        <v>1331</v>
      </c>
    </row>
    <row r="378" spans="1:11" s="56" customFormat="1" x14ac:dyDescent="0.25">
      <c r="A378" s="56" t="s">
        <v>1573</v>
      </c>
      <c r="D378" s="57"/>
      <c r="J378" s="56" t="s">
        <v>1587</v>
      </c>
      <c r="K378" s="56" t="s">
        <v>1332</v>
      </c>
    </row>
    <row r="379" spans="1:11" x14ac:dyDescent="0.25">
      <c r="A379" s="56" t="s">
        <v>1573</v>
      </c>
      <c r="B379" s="56"/>
      <c r="C379" s="56"/>
      <c r="D379" s="57"/>
      <c r="E379" s="56"/>
      <c r="G379"/>
      <c r="H379" s="56"/>
      <c r="I379" s="56"/>
      <c r="J379" s="56" t="s">
        <v>1587</v>
      </c>
      <c r="K379" t="s">
        <v>1333</v>
      </c>
    </row>
    <row r="380" spans="1:11" x14ac:dyDescent="0.25">
      <c r="A380" s="56" t="s">
        <v>1573</v>
      </c>
      <c r="B380" s="56"/>
      <c r="C380" s="56"/>
      <c r="D380" s="57"/>
      <c r="E380" s="56"/>
      <c r="G380"/>
      <c r="H380" s="56"/>
      <c r="I380" s="56"/>
      <c r="J380" s="56" t="s">
        <v>1587</v>
      </c>
      <c r="K380" t="s">
        <v>1334</v>
      </c>
    </row>
    <row r="381" spans="1:11" x14ac:dyDescent="0.25">
      <c r="A381" s="56" t="s">
        <v>1573</v>
      </c>
      <c r="B381" s="56"/>
      <c r="C381" s="56"/>
      <c r="D381" s="57"/>
      <c r="E381" s="56"/>
      <c r="G381"/>
      <c r="H381" s="56"/>
      <c r="I381" s="56"/>
      <c r="J381" s="56" t="s">
        <v>1587</v>
      </c>
      <c r="K381" t="s">
        <v>1335</v>
      </c>
    </row>
    <row r="382" spans="1:11" x14ac:dyDescent="0.25">
      <c r="A382" s="56" t="s">
        <v>1573</v>
      </c>
      <c r="B382" s="56" t="s">
        <v>1575</v>
      </c>
      <c r="C382" s="56" t="s">
        <v>11</v>
      </c>
      <c r="D382" s="57" t="s">
        <v>17</v>
      </c>
      <c r="E382" s="56" t="s">
        <v>79</v>
      </c>
      <c r="G382" t="s">
        <v>1528</v>
      </c>
      <c r="H382" s="56" t="s">
        <v>23</v>
      </c>
      <c r="I382" s="80" t="s">
        <v>1619</v>
      </c>
      <c r="J382" s="56" t="s">
        <v>1584</v>
      </c>
      <c r="K382" t="s">
        <v>1336</v>
      </c>
    </row>
    <row r="383" spans="1:11" s="56" customFormat="1" x14ac:dyDescent="0.25">
      <c r="A383" s="56" t="s">
        <v>1573</v>
      </c>
      <c r="B383" s="56" t="s">
        <v>1575</v>
      </c>
      <c r="C383" s="56" t="s">
        <v>12</v>
      </c>
      <c r="D383" s="57" t="s">
        <v>17</v>
      </c>
      <c r="E383" s="56" t="s">
        <v>79</v>
      </c>
      <c r="G383" s="56" t="s">
        <v>1528</v>
      </c>
      <c r="H383" s="56" t="s">
        <v>23</v>
      </c>
      <c r="I383" s="80" t="s">
        <v>1619</v>
      </c>
      <c r="J383" s="56" t="s">
        <v>1584</v>
      </c>
      <c r="K383" s="56" t="s">
        <v>1337</v>
      </c>
    </row>
    <row r="384" spans="1:11" s="56" customFormat="1" x14ac:dyDescent="0.25">
      <c r="A384" s="56" t="s">
        <v>1573</v>
      </c>
      <c r="B384" s="56" t="s">
        <v>1575</v>
      </c>
      <c r="C384" s="56" t="s">
        <v>11</v>
      </c>
      <c r="D384" s="57" t="s">
        <v>9</v>
      </c>
      <c r="E384" s="56" t="s">
        <v>126</v>
      </c>
      <c r="G384" s="56" t="s">
        <v>1528</v>
      </c>
      <c r="H384" s="56" t="s">
        <v>23</v>
      </c>
      <c r="I384" s="80" t="s">
        <v>1620</v>
      </c>
      <c r="J384" s="56" t="s">
        <v>1584</v>
      </c>
      <c r="K384" s="56" t="s">
        <v>1338</v>
      </c>
    </row>
    <row r="385" spans="1:11" s="56" customFormat="1" x14ac:dyDescent="0.25">
      <c r="A385" s="56" t="s">
        <v>1573</v>
      </c>
      <c r="B385" s="56" t="s">
        <v>1575</v>
      </c>
      <c r="C385" s="56" t="s">
        <v>12</v>
      </c>
      <c r="D385" s="57" t="s">
        <v>9</v>
      </c>
      <c r="E385" s="56" t="s">
        <v>126</v>
      </c>
      <c r="G385" s="56" t="s">
        <v>1528</v>
      </c>
      <c r="H385" s="56" t="s">
        <v>23</v>
      </c>
      <c r="I385" s="80" t="s">
        <v>1620</v>
      </c>
      <c r="J385" s="56" t="s">
        <v>1584</v>
      </c>
      <c r="K385" s="56" t="s">
        <v>1339</v>
      </c>
    </row>
    <row r="386" spans="1:11" s="56" customFormat="1" x14ac:dyDescent="0.25">
      <c r="A386" s="56" t="s">
        <v>1573</v>
      </c>
      <c r="B386" s="56" t="s">
        <v>1575</v>
      </c>
      <c r="C386" s="56" t="s">
        <v>11</v>
      </c>
      <c r="D386" s="57" t="s">
        <v>16</v>
      </c>
      <c r="E386" s="56" t="s">
        <v>126</v>
      </c>
      <c r="G386" s="56" t="s">
        <v>1528</v>
      </c>
      <c r="H386" s="56" t="s">
        <v>23</v>
      </c>
      <c r="I386" s="80" t="s">
        <v>1620</v>
      </c>
      <c r="J386" s="56" t="s">
        <v>1584</v>
      </c>
      <c r="K386" s="56" t="s">
        <v>1340</v>
      </c>
    </row>
    <row r="387" spans="1:11" s="56" customFormat="1" x14ac:dyDescent="0.25">
      <c r="A387" s="56" t="s">
        <v>1573</v>
      </c>
      <c r="B387" s="56" t="s">
        <v>1575</v>
      </c>
      <c r="C387" s="56" t="s">
        <v>12</v>
      </c>
      <c r="D387" s="57" t="s">
        <v>16</v>
      </c>
      <c r="E387" s="56" t="s">
        <v>126</v>
      </c>
      <c r="G387" s="56" t="s">
        <v>1528</v>
      </c>
      <c r="H387" s="56" t="s">
        <v>23</v>
      </c>
      <c r="I387" s="80" t="s">
        <v>1620</v>
      </c>
      <c r="J387" s="56" t="s">
        <v>1584</v>
      </c>
      <c r="K387" s="56" t="s">
        <v>1341</v>
      </c>
    </row>
    <row r="388" spans="1:11" s="56" customFormat="1" x14ac:dyDescent="0.25">
      <c r="A388" s="56" t="s">
        <v>1573</v>
      </c>
      <c r="D388" s="57"/>
      <c r="J388" s="56" t="s">
        <v>1587</v>
      </c>
      <c r="K388" s="56" t="s">
        <v>1342</v>
      </c>
    </row>
    <row r="389" spans="1:11" s="56" customFormat="1" x14ac:dyDescent="0.25">
      <c r="A389" s="56" t="s">
        <v>1573</v>
      </c>
      <c r="D389" s="57"/>
      <c r="J389" s="56" t="s">
        <v>1587</v>
      </c>
      <c r="K389" s="56" t="s">
        <v>1343</v>
      </c>
    </row>
    <row r="390" spans="1:11" s="56" customFormat="1" x14ac:dyDescent="0.25">
      <c r="A390" s="56" t="s">
        <v>1573</v>
      </c>
      <c r="D390" s="57"/>
      <c r="J390" s="56" t="s">
        <v>1587</v>
      </c>
      <c r="K390" s="56" t="s">
        <v>1344</v>
      </c>
    </row>
    <row r="391" spans="1:11" x14ac:dyDescent="0.25">
      <c r="A391" s="56" t="s">
        <v>1573</v>
      </c>
      <c r="B391" s="56"/>
      <c r="C391" s="56"/>
      <c r="D391" s="57"/>
      <c r="E391" s="56"/>
      <c r="G391"/>
      <c r="H391" s="56"/>
      <c r="I391" s="56"/>
      <c r="J391" s="56" t="s">
        <v>1587</v>
      </c>
      <c r="K391" t="s">
        <v>1345</v>
      </c>
    </row>
    <row r="392" spans="1:11" x14ac:dyDescent="0.25">
      <c r="A392" s="56" t="s">
        <v>1573</v>
      </c>
      <c r="B392" s="56"/>
      <c r="C392" s="56"/>
      <c r="D392" s="57"/>
      <c r="E392" s="56"/>
      <c r="G392"/>
      <c r="H392" s="56"/>
      <c r="I392" s="56"/>
      <c r="J392" s="56" t="s">
        <v>1587</v>
      </c>
      <c r="K392" t="s">
        <v>1346</v>
      </c>
    </row>
    <row r="393" spans="1:11" x14ac:dyDescent="0.25">
      <c r="A393" s="56" t="s">
        <v>1573</v>
      </c>
      <c r="B393" s="56"/>
      <c r="C393" s="56"/>
      <c r="D393" s="57"/>
      <c r="E393" s="56"/>
      <c r="G393"/>
      <c r="H393" s="56"/>
      <c r="I393" s="56"/>
      <c r="J393" s="56" t="s">
        <v>1587</v>
      </c>
      <c r="K393" t="s">
        <v>1347</v>
      </c>
    </row>
    <row r="394" spans="1:11" x14ac:dyDescent="0.25">
      <c r="A394" s="56" t="s">
        <v>1573</v>
      </c>
      <c r="B394" s="56"/>
      <c r="C394" s="56"/>
      <c r="D394" s="57"/>
      <c r="E394" s="56"/>
      <c r="G394"/>
      <c r="H394" s="56"/>
      <c r="I394" s="56"/>
      <c r="J394" s="56" t="s">
        <v>1587</v>
      </c>
      <c r="K394" t="s">
        <v>1348</v>
      </c>
    </row>
    <row r="395" spans="1:11" x14ac:dyDescent="0.25">
      <c r="A395" s="56" t="s">
        <v>1573</v>
      </c>
      <c r="B395" s="56"/>
      <c r="C395" s="56"/>
      <c r="D395" s="57"/>
      <c r="E395" s="56"/>
      <c r="G395"/>
      <c r="H395" s="56"/>
      <c r="I395" s="56"/>
      <c r="J395" s="56" t="s">
        <v>1587</v>
      </c>
      <c r="K395" t="s">
        <v>1349</v>
      </c>
    </row>
    <row r="396" spans="1:11" x14ac:dyDescent="0.25">
      <c r="A396" s="56" t="s">
        <v>1573</v>
      </c>
      <c r="B396" s="56" t="s">
        <v>1575</v>
      </c>
      <c r="C396" s="56" t="s">
        <v>11</v>
      </c>
      <c r="D396" s="57" t="s">
        <v>17</v>
      </c>
      <c r="E396" s="56" t="s">
        <v>126</v>
      </c>
      <c r="G396" t="s">
        <v>1528</v>
      </c>
      <c r="H396" s="56" t="s">
        <v>23</v>
      </c>
      <c r="I396" s="80" t="s">
        <v>1620</v>
      </c>
      <c r="J396" s="56" t="s">
        <v>1584</v>
      </c>
      <c r="K396" t="s">
        <v>1350</v>
      </c>
    </row>
    <row r="397" spans="1:11" x14ac:dyDescent="0.25">
      <c r="A397" s="56" t="s">
        <v>1573</v>
      </c>
      <c r="B397" s="56" t="s">
        <v>1575</v>
      </c>
      <c r="C397" s="56" t="s">
        <v>12</v>
      </c>
      <c r="D397" s="57" t="s">
        <v>17</v>
      </c>
      <c r="E397" s="56" t="s">
        <v>126</v>
      </c>
      <c r="G397" t="s">
        <v>1528</v>
      </c>
      <c r="H397" s="56" t="s">
        <v>23</v>
      </c>
      <c r="I397" s="80" t="s">
        <v>1620</v>
      </c>
      <c r="J397" s="56" t="s">
        <v>1584</v>
      </c>
      <c r="K397" t="s">
        <v>1351</v>
      </c>
    </row>
    <row r="398" spans="1:11" x14ac:dyDescent="0.25">
      <c r="A398" s="56" t="s">
        <v>1573</v>
      </c>
      <c r="B398" s="56" t="s">
        <v>1574</v>
      </c>
      <c r="C398" s="56" t="s">
        <v>12</v>
      </c>
      <c r="D398" s="57" t="s">
        <v>6</v>
      </c>
      <c r="E398" s="56" t="s">
        <v>79</v>
      </c>
      <c r="G398" t="s">
        <v>1527</v>
      </c>
      <c r="H398" t="s">
        <v>23</v>
      </c>
      <c r="I398" s="80" t="s">
        <v>1621</v>
      </c>
      <c r="J398" s="56" t="s">
        <v>1584</v>
      </c>
      <c r="K398" t="s">
        <v>1470</v>
      </c>
    </row>
    <row r="399" spans="1:11" x14ac:dyDescent="0.25">
      <c r="A399" s="56" t="s">
        <v>1573</v>
      </c>
      <c r="B399" s="56" t="s">
        <v>1574</v>
      </c>
      <c r="C399" s="56" t="s">
        <v>12</v>
      </c>
      <c r="D399" s="57" t="s">
        <v>7</v>
      </c>
      <c r="E399" s="56" t="s">
        <v>79</v>
      </c>
      <c r="G399" t="s">
        <v>1527</v>
      </c>
      <c r="H399" s="56" t="s">
        <v>23</v>
      </c>
      <c r="I399" s="80" t="s">
        <v>1621</v>
      </c>
      <c r="J399" s="56" t="s">
        <v>1584</v>
      </c>
      <c r="K399" t="s">
        <v>1471</v>
      </c>
    </row>
    <row r="400" spans="1:11" x14ac:dyDescent="0.25">
      <c r="A400" s="56" t="s">
        <v>1573</v>
      </c>
      <c r="B400" s="56" t="s">
        <v>1575</v>
      </c>
      <c r="C400" s="56" t="s">
        <v>12</v>
      </c>
      <c r="D400" s="57" t="s">
        <v>8</v>
      </c>
      <c r="E400" s="56" t="s">
        <v>79</v>
      </c>
      <c r="G400" t="s">
        <v>1527</v>
      </c>
      <c r="H400" s="56" t="s">
        <v>23</v>
      </c>
      <c r="I400" s="80" t="s">
        <v>1621</v>
      </c>
      <c r="J400" s="56" t="s">
        <v>1584</v>
      </c>
      <c r="K400" t="s">
        <v>1282</v>
      </c>
    </row>
    <row r="401" spans="1:11" x14ac:dyDescent="0.25">
      <c r="A401" s="56" t="s">
        <v>1573</v>
      </c>
      <c r="B401" s="56" t="s">
        <v>1574</v>
      </c>
      <c r="C401" s="56" t="s">
        <v>12</v>
      </c>
      <c r="D401" s="57" t="s">
        <v>6</v>
      </c>
      <c r="E401" s="56" t="s">
        <v>126</v>
      </c>
      <c r="G401" t="s">
        <v>1527</v>
      </c>
      <c r="H401" s="56" t="s">
        <v>23</v>
      </c>
      <c r="I401" s="80" t="s">
        <v>1622</v>
      </c>
      <c r="J401" s="56" t="s">
        <v>1584</v>
      </c>
      <c r="K401" t="s">
        <v>1472</v>
      </c>
    </row>
    <row r="402" spans="1:11" x14ac:dyDescent="0.25">
      <c r="A402" s="56" t="s">
        <v>1573</v>
      </c>
      <c r="B402" s="56" t="s">
        <v>1574</v>
      </c>
      <c r="C402" s="56" t="s">
        <v>12</v>
      </c>
      <c r="D402" s="57" t="s">
        <v>7</v>
      </c>
      <c r="E402" s="56" t="s">
        <v>126</v>
      </c>
      <c r="G402" t="s">
        <v>1527</v>
      </c>
      <c r="H402" s="56" t="s">
        <v>23</v>
      </c>
      <c r="I402" s="80" t="s">
        <v>1622</v>
      </c>
      <c r="J402" s="56" t="s">
        <v>1584</v>
      </c>
      <c r="K402" t="s">
        <v>1473</v>
      </c>
    </row>
    <row r="403" spans="1:11" x14ac:dyDescent="0.25">
      <c r="A403" s="56" t="s">
        <v>1573</v>
      </c>
      <c r="B403" s="56" t="s">
        <v>1575</v>
      </c>
      <c r="C403" s="56" t="s">
        <v>12</v>
      </c>
      <c r="D403" s="57" t="s">
        <v>8</v>
      </c>
      <c r="E403" s="56" t="s">
        <v>126</v>
      </c>
      <c r="G403" t="s">
        <v>1527</v>
      </c>
      <c r="H403" s="56" t="s">
        <v>23</v>
      </c>
      <c r="I403" s="80" t="s">
        <v>1622</v>
      </c>
      <c r="J403" s="56" t="s">
        <v>1584</v>
      </c>
      <c r="K403" t="s">
        <v>1283</v>
      </c>
    </row>
    <row r="404" spans="1:11" x14ac:dyDescent="0.25">
      <c r="A404" s="56" t="s">
        <v>1573</v>
      </c>
      <c r="B404" s="56" t="s">
        <v>1575</v>
      </c>
      <c r="C404" s="56" t="s">
        <v>12</v>
      </c>
      <c r="D404" s="57" t="s">
        <v>9</v>
      </c>
      <c r="E404" s="56" t="s">
        <v>79</v>
      </c>
      <c r="G404" t="s">
        <v>1527</v>
      </c>
      <c r="H404" s="56" t="s">
        <v>23</v>
      </c>
      <c r="I404" s="80" t="s">
        <v>1623</v>
      </c>
      <c r="J404" s="56" t="s">
        <v>1584</v>
      </c>
      <c r="K404" t="s">
        <v>1284</v>
      </c>
    </row>
    <row r="405" spans="1:11" x14ac:dyDescent="0.25">
      <c r="A405" s="56" t="s">
        <v>1573</v>
      </c>
      <c r="B405" s="56" t="s">
        <v>1575</v>
      </c>
      <c r="C405" s="56" t="s">
        <v>12</v>
      </c>
      <c r="D405" s="57" t="s">
        <v>16</v>
      </c>
      <c r="E405" s="56" t="s">
        <v>79</v>
      </c>
      <c r="G405" t="s">
        <v>1527</v>
      </c>
      <c r="H405" s="56" t="s">
        <v>23</v>
      </c>
      <c r="I405" s="80" t="s">
        <v>1623</v>
      </c>
      <c r="J405" s="56" t="s">
        <v>1584</v>
      </c>
      <c r="K405" t="s">
        <v>1285</v>
      </c>
    </row>
    <row r="406" spans="1:11" x14ac:dyDescent="0.25">
      <c r="A406" s="56" t="s">
        <v>1573</v>
      </c>
      <c r="B406" s="56"/>
      <c r="C406" s="56"/>
      <c r="D406" s="57"/>
      <c r="E406" s="56"/>
      <c r="G406"/>
      <c r="J406" s="56" t="s">
        <v>1587</v>
      </c>
      <c r="K406" t="s">
        <v>1286</v>
      </c>
    </row>
    <row r="407" spans="1:11" x14ac:dyDescent="0.25">
      <c r="A407" s="56" t="s">
        <v>1573</v>
      </c>
      <c r="B407" s="56"/>
      <c r="C407" s="56"/>
      <c r="D407" s="57"/>
      <c r="E407" s="56"/>
      <c r="G407"/>
      <c r="J407" s="56" t="s">
        <v>1587</v>
      </c>
      <c r="K407" t="s">
        <v>1287</v>
      </c>
    </row>
    <row r="408" spans="1:11" x14ac:dyDescent="0.25">
      <c r="A408" s="56" t="s">
        <v>1573</v>
      </c>
      <c r="B408" s="56"/>
      <c r="C408" s="56"/>
      <c r="D408" s="57"/>
      <c r="E408" s="56"/>
      <c r="G408"/>
      <c r="J408" s="56" t="s">
        <v>1587</v>
      </c>
      <c r="K408" t="s">
        <v>1288</v>
      </c>
    </row>
    <row r="409" spans="1:11" x14ac:dyDescent="0.25">
      <c r="A409" s="56" t="s">
        <v>1573</v>
      </c>
      <c r="B409" s="56"/>
      <c r="C409" s="56"/>
      <c r="D409" s="57"/>
      <c r="E409" s="56"/>
      <c r="G409"/>
      <c r="J409" s="56" t="s">
        <v>1587</v>
      </c>
      <c r="K409" t="s">
        <v>1289</v>
      </c>
    </row>
    <row r="410" spans="1:11" x14ac:dyDescent="0.25">
      <c r="A410" s="56" t="s">
        <v>1573</v>
      </c>
      <c r="B410" s="56" t="s">
        <v>1575</v>
      </c>
      <c r="C410" s="56" t="s">
        <v>12</v>
      </c>
      <c r="D410" s="57" t="s">
        <v>17</v>
      </c>
      <c r="E410" s="56" t="s">
        <v>79</v>
      </c>
      <c r="G410" t="s">
        <v>1527</v>
      </c>
      <c r="H410" s="56" t="s">
        <v>23</v>
      </c>
      <c r="I410" s="80" t="s">
        <v>1623</v>
      </c>
      <c r="J410" s="56" t="s">
        <v>1584</v>
      </c>
      <c r="K410" t="s">
        <v>1290</v>
      </c>
    </row>
    <row r="411" spans="1:11" x14ac:dyDescent="0.25">
      <c r="A411" s="56" t="s">
        <v>1573</v>
      </c>
      <c r="B411" s="56" t="s">
        <v>1575</v>
      </c>
      <c r="C411" s="56" t="s">
        <v>12</v>
      </c>
      <c r="D411" s="57" t="s">
        <v>9</v>
      </c>
      <c r="E411" s="56" t="s">
        <v>126</v>
      </c>
      <c r="G411" t="s">
        <v>1527</v>
      </c>
      <c r="H411" s="56" t="s">
        <v>23</v>
      </c>
      <c r="I411" s="80" t="s">
        <v>1624</v>
      </c>
      <c r="J411" s="56" t="s">
        <v>1584</v>
      </c>
      <c r="K411" t="s">
        <v>1291</v>
      </c>
    </row>
    <row r="412" spans="1:11" x14ac:dyDescent="0.25">
      <c r="A412" s="56" t="s">
        <v>1573</v>
      </c>
      <c r="B412" s="56" t="s">
        <v>1575</v>
      </c>
      <c r="C412" s="56" t="s">
        <v>12</v>
      </c>
      <c r="D412" s="57" t="s">
        <v>16</v>
      </c>
      <c r="E412" s="56" t="s">
        <v>126</v>
      </c>
      <c r="G412" t="s">
        <v>1527</v>
      </c>
      <c r="H412" s="56" t="s">
        <v>23</v>
      </c>
      <c r="I412" s="80" t="s">
        <v>1624</v>
      </c>
      <c r="J412" s="56" t="s">
        <v>1584</v>
      </c>
      <c r="K412" t="s">
        <v>1292</v>
      </c>
    </row>
    <row r="413" spans="1:11" x14ac:dyDescent="0.25">
      <c r="A413" s="56" t="s">
        <v>1573</v>
      </c>
      <c r="B413" s="56"/>
      <c r="C413" s="56"/>
      <c r="D413" s="57"/>
      <c r="E413" s="56"/>
      <c r="G413"/>
      <c r="J413" s="56" t="s">
        <v>1587</v>
      </c>
      <c r="K413" t="s">
        <v>1293</v>
      </c>
    </row>
    <row r="414" spans="1:11" x14ac:dyDescent="0.25">
      <c r="A414" s="56" t="s">
        <v>1573</v>
      </c>
      <c r="B414" s="56"/>
      <c r="C414" s="56"/>
      <c r="D414" s="57"/>
      <c r="E414" s="56"/>
      <c r="G414"/>
      <c r="J414" s="56" t="s">
        <v>1587</v>
      </c>
      <c r="K414" t="s">
        <v>1294</v>
      </c>
    </row>
    <row r="415" spans="1:11" x14ac:dyDescent="0.25">
      <c r="A415" s="56" t="s">
        <v>1573</v>
      </c>
      <c r="B415" s="56"/>
      <c r="C415" s="56"/>
      <c r="D415" s="57"/>
      <c r="E415" s="56"/>
      <c r="G415"/>
      <c r="J415" s="56" t="s">
        <v>1587</v>
      </c>
      <c r="K415" t="s">
        <v>1295</v>
      </c>
    </row>
    <row r="416" spans="1:11" x14ac:dyDescent="0.25">
      <c r="A416" s="56" t="s">
        <v>1573</v>
      </c>
      <c r="B416" s="56"/>
      <c r="C416" s="56"/>
      <c r="D416" s="57"/>
      <c r="E416" s="56"/>
      <c r="J416" s="56" t="s">
        <v>1587</v>
      </c>
      <c r="K416" t="s">
        <v>1296</v>
      </c>
    </row>
    <row r="417" spans="1:11" x14ac:dyDescent="0.25">
      <c r="A417" s="56" t="s">
        <v>1573</v>
      </c>
      <c r="B417" s="56" t="s">
        <v>1575</v>
      </c>
      <c r="C417" s="56" t="s">
        <v>12</v>
      </c>
      <c r="D417" s="57" t="s">
        <v>17</v>
      </c>
      <c r="E417" s="56" t="s">
        <v>126</v>
      </c>
      <c r="G417" s="56" t="s">
        <v>1527</v>
      </c>
      <c r="H417" s="56" t="s">
        <v>23</v>
      </c>
      <c r="I417" s="80" t="s">
        <v>1624</v>
      </c>
      <c r="J417" s="56" t="s">
        <v>1584</v>
      </c>
      <c r="K417" t="s">
        <v>1297</v>
      </c>
    </row>
    <row r="418" spans="1:11" x14ac:dyDescent="0.25">
      <c r="A418" s="56" t="s">
        <v>1573</v>
      </c>
      <c r="B418" s="56" t="s">
        <v>1574</v>
      </c>
      <c r="C418" s="56" t="s">
        <v>11</v>
      </c>
      <c r="D418" s="57" t="s">
        <v>6</v>
      </c>
      <c r="E418" s="56" t="s">
        <v>79</v>
      </c>
      <c r="G418" s="56" t="s">
        <v>1576</v>
      </c>
      <c r="H418" s="56" t="s">
        <v>23</v>
      </c>
      <c r="I418" s="80" t="s">
        <v>1625</v>
      </c>
      <c r="J418" s="56" t="s">
        <v>1584</v>
      </c>
      <c r="K418" t="s">
        <v>1531</v>
      </c>
    </row>
    <row r="419" spans="1:11" x14ac:dyDescent="0.25">
      <c r="A419" s="56" t="s">
        <v>1573</v>
      </c>
      <c r="B419" s="56" t="s">
        <v>1574</v>
      </c>
      <c r="C419" s="56" t="s">
        <v>11</v>
      </c>
      <c r="D419" s="57" t="s">
        <v>7</v>
      </c>
      <c r="E419" s="56" t="s">
        <v>79</v>
      </c>
      <c r="G419" s="56" t="s">
        <v>1576</v>
      </c>
      <c r="H419" s="56" t="s">
        <v>23</v>
      </c>
      <c r="I419" s="80" t="s">
        <v>1625</v>
      </c>
      <c r="J419" s="56" t="s">
        <v>1584</v>
      </c>
      <c r="K419" t="s">
        <v>1532</v>
      </c>
    </row>
    <row r="420" spans="1:11" x14ac:dyDescent="0.25">
      <c r="A420" s="56" t="s">
        <v>1573</v>
      </c>
      <c r="B420" s="56" t="s">
        <v>1575</v>
      </c>
      <c r="C420" s="56" t="s">
        <v>11</v>
      </c>
      <c r="D420" s="57" t="s">
        <v>8</v>
      </c>
      <c r="E420" s="56" t="s">
        <v>79</v>
      </c>
      <c r="G420" s="56" t="s">
        <v>1576</v>
      </c>
      <c r="H420" s="56" t="s">
        <v>23</v>
      </c>
      <c r="I420" s="80" t="s">
        <v>1625</v>
      </c>
      <c r="J420" s="56" t="s">
        <v>1584</v>
      </c>
      <c r="K420" t="s">
        <v>1533</v>
      </c>
    </row>
    <row r="421" spans="1:11" x14ac:dyDescent="0.25">
      <c r="A421" s="56" t="s">
        <v>1573</v>
      </c>
      <c r="B421" s="56" t="s">
        <v>1574</v>
      </c>
      <c r="C421" s="56" t="s">
        <v>11</v>
      </c>
      <c r="D421" s="57" t="s">
        <v>6</v>
      </c>
      <c r="E421" s="56" t="s">
        <v>126</v>
      </c>
      <c r="G421" s="56" t="s">
        <v>1576</v>
      </c>
      <c r="H421" s="56" t="s">
        <v>23</v>
      </c>
      <c r="I421" s="80" t="s">
        <v>1626</v>
      </c>
      <c r="J421" s="56" t="s">
        <v>1584</v>
      </c>
      <c r="K421" t="s">
        <v>1541</v>
      </c>
    </row>
    <row r="422" spans="1:11" x14ac:dyDescent="0.25">
      <c r="A422" s="56" t="s">
        <v>1573</v>
      </c>
      <c r="B422" s="56" t="s">
        <v>1574</v>
      </c>
      <c r="C422" s="56" t="s">
        <v>11</v>
      </c>
      <c r="D422" s="57" t="s">
        <v>7</v>
      </c>
      <c r="E422" s="56" t="s">
        <v>126</v>
      </c>
      <c r="G422" s="56" t="s">
        <v>1576</v>
      </c>
      <c r="H422" s="56" t="s">
        <v>23</v>
      </c>
      <c r="I422" s="80" t="s">
        <v>1626</v>
      </c>
      <c r="J422" s="56" t="s">
        <v>1584</v>
      </c>
      <c r="K422" t="s">
        <v>1542</v>
      </c>
    </row>
    <row r="423" spans="1:11" x14ac:dyDescent="0.25">
      <c r="A423" s="56" t="s">
        <v>1573</v>
      </c>
      <c r="B423" s="56" t="s">
        <v>1575</v>
      </c>
      <c r="C423" s="56" t="s">
        <v>11</v>
      </c>
      <c r="D423" s="57" t="s">
        <v>8</v>
      </c>
      <c r="E423" s="56" t="s">
        <v>126</v>
      </c>
      <c r="G423" s="56" t="s">
        <v>1576</v>
      </c>
      <c r="H423" s="56" t="s">
        <v>23</v>
      </c>
      <c r="I423" s="80" t="s">
        <v>1626</v>
      </c>
      <c r="J423" s="56" t="s">
        <v>1584</v>
      </c>
      <c r="K423" t="s">
        <v>1543</v>
      </c>
    </row>
    <row r="424" spans="1:11" x14ac:dyDescent="0.25">
      <c r="A424" s="56" t="s">
        <v>1573</v>
      </c>
      <c r="B424" s="56" t="s">
        <v>1575</v>
      </c>
      <c r="C424" s="56" t="s">
        <v>11</v>
      </c>
      <c r="D424" s="57" t="s">
        <v>9</v>
      </c>
      <c r="E424" s="56" t="s">
        <v>79</v>
      </c>
      <c r="G424" s="56" t="s">
        <v>1576</v>
      </c>
      <c r="H424" s="56" t="s">
        <v>23</v>
      </c>
      <c r="I424" s="80" t="s">
        <v>1627</v>
      </c>
      <c r="J424" s="56" t="s">
        <v>1584</v>
      </c>
      <c r="K424" t="s">
        <v>1534</v>
      </c>
    </row>
    <row r="425" spans="1:11" x14ac:dyDescent="0.25">
      <c r="A425" s="56" t="s">
        <v>1573</v>
      </c>
      <c r="B425" s="56" t="s">
        <v>1575</v>
      </c>
      <c r="C425" s="56" t="s">
        <v>11</v>
      </c>
      <c r="D425" s="57" t="s">
        <v>16</v>
      </c>
      <c r="E425" s="56" t="s">
        <v>79</v>
      </c>
      <c r="G425" s="56" t="s">
        <v>1576</v>
      </c>
      <c r="H425" s="56" t="s">
        <v>23</v>
      </c>
      <c r="I425" s="80" t="s">
        <v>1627</v>
      </c>
      <c r="J425" s="56" t="s">
        <v>1584</v>
      </c>
      <c r="K425" t="s">
        <v>1535</v>
      </c>
    </row>
    <row r="426" spans="1:11" x14ac:dyDescent="0.25">
      <c r="A426" s="56" t="s">
        <v>1573</v>
      </c>
      <c r="B426" s="56"/>
      <c r="C426" s="56"/>
      <c r="D426" s="57"/>
      <c r="E426" s="56"/>
      <c r="H426" s="56"/>
      <c r="I426" s="56"/>
      <c r="J426" s="56" t="s">
        <v>1587</v>
      </c>
      <c r="K426" t="s">
        <v>1536</v>
      </c>
    </row>
    <row r="427" spans="1:11" x14ac:dyDescent="0.25">
      <c r="A427" s="56" t="s">
        <v>1573</v>
      </c>
      <c r="B427" s="56"/>
      <c r="C427" s="56"/>
      <c r="D427" s="57"/>
      <c r="E427" s="56"/>
      <c r="H427" s="56"/>
      <c r="I427" s="56"/>
      <c r="J427" s="56" t="s">
        <v>1587</v>
      </c>
      <c r="K427" t="s">
        <v>1571</v>
      </c>
    </row>
    <row r="428" spans="1:11" x14ac:dyDescent="0.25">
      <c r="A428" s="56" t="s">
        <v>1573</v>
      </c>
      <c r="B428" s="56"/>
      <c r="C428" s="56"/>
      <c r="D428" s="57"/>
      <c r="E428" s="56"/>
      <c r="H428" s="56"/>
      <c r="I428" s="56"/>
      <c r="J428" s="56" t="s">
        <v>1587</v>
      </c>
      <c r="K428" t="s">
        <v>1572</v>
      </c>
    </row>
    <row r="429" spans="1:11" x14ac:dyDescent="0.25">
      <c r="A429" s="56" t="s">
        <v>1573</v>
      </c>
      <c r="B429" s="56"/>
      <c r="C429" s="56"/>
      <c r="D429" s="57"/>
      <c r="E429" s="56"/>
      <c r="H429" s="56"/>
      <c r="I429" s="56"/>
      <c r="J429" s="56" t="s">
        <v>1587</v>
      </c>
      <c r="K429" t="s">
        <v>1539</v>
      </c>
    </row>
    <row r="430" spans="1:11" x14ac:dyDescent="0.25">
      <c r="A430" s="56" t="s">
        <v>1573</v>
      </c>
      <c r="B430" s="56" t="s">
        <v>1575</v>
      </c>
      <c r="C430" s="56" t="s">
        <v>11</v>
      </c>
      <c r="D430" s="57" t="s">
        <v>17</v>
      </c>
      <c r="E430" s="56" t="s">
        <v>79</v>
      </c>
      <c r="G430" s="56" t="s">
        <v>1576</v>
      </c>
      <c r="H430" s="56" t="s">
        <v>23</v>
      </c>
      <c r="I430" s="80" t="s">
        <v>1627</v>
      </c>
      <c r="J430" s="56" t="s">
        <v>1584</v>
      </c>
      <c r="K430" t="s">
        <v>1540</v>
      </c>
    </row>
    <row r="431" spans="1:11" x14ac:dyDescent="0.25">
      <c r="A431" s="56" t="s">
        <v>1573</v>
      </c>
      <c r="B431" s="56" t="s">
        <v>1575</v>
      </c>
      <c r="C431" s="56" t="s">
        <v>11</v>
      </c>
      <c r="D431" s="57" t="s">
        <v>9</v>
      </c>
      <c r="E431" s="56" t="s">
        <v>126</v>
      </c>
      <c r="G431" s="56" t="s">
        <v>1576</v>
      </c>
      <c r="H431" s="56" t="s">
        <v>23</v>
      </c>
      <c r="I431" s="80" t="s">
        <v>1628</v>
      </c>
      <c r="J431" s="56" t="s">
        <v>1584</v>
      </c>
      <c r="K431" t="s">
        <v>1544</v>
      </c>
    </row>
    <row r="432" spans="1:11" x14ac:dyDescent="0.25">
      <c r="A432" s="56" t="s">
        <v>1573</v>
      </c>
      <c r="B432" s="56" t="s">
        <v>1575</v>
      </c>
      <c r="C432" s="56" t="s">
        <v>11</v>
      </c>
      <c r="D432" s="57" t="s">
        <v>16</v>
      </c>
      <c r="E432" s="56" t="s">
        <v>126</v>
      </c>
      <c r="G432" s="56" t="s">
        <v>1576</v>
      </c>
      <c r="H432" s="56" t="s">
        <v>23</v>
      </c>
      <c r="I432" s="80" t="s">
        <v>1628</v>
      </c>
      <c r="J432" s="56" t="s">
        <v>1584</v>
      </c>
      <c r="K432" t="s">
        <v>1545</v>
      </c>
    </row>
    <row r="433" spans="1:11" x14ac:dyDescent="0.25">
      <c r="A433" s="56" t="s">
        <v>1573</v>
      </c>
      <c r="B433" s="56"/>
      <c r="C433" s="56"/>
      <c r="D433" s="57"/>
      <c r="E433" s="56"/>
      <c r="H433" s="56"/>
      <c r="I433" s="56"/>
      <c r="J433" s="56" t="s">
        <v>1587</v>
      </c>
      <c r="K433" t="s">
        <v>1546</v>
      </c>
    </row>
    <row r="434" spans="1:11" x14ac:dyDescent="0.25">
      <c r="A434" s="56" t="s">
        <v>1573</v>
      </c>
      <c r="B434" s="56"/>
      <c r="C434" s="56"/>
      <c r="D434" s="57"/>
      <c r="E434" s="56"/>
      <c r="H434" s="56"/>
      <c r="I434" s="56"/>
      <c r="J434" s="56" t="s">
        <v>1587</v>
      </c>
      <c r="K434" t="s">
        <v>1547</v>
      </c>
    </row>
    <row r="435" spans="1:11" x14ac:dyDescent="0.25">
      <c r="A435" s="56" t="s">
        <v>1573</v>
      </c>
      <c r="B435" s="56"/>
      <c r="C435" s="56"/>
      <c r="D435" s="57"/>
      <c r="E435" s="56"/>
      <c r="H435" s="56"/>
      <c r="I435" s="56"/>
      <c r="J435" s="56" t="s">
        <v>1587</v>
      </c>
      <c r="K435" t="s">
        <v>1548</v>
      </c>
    </row>
    <row r="436" spans="1:11" x14ac:dyDescent="0.25">
      <c r="A436" s="56" t="s">
        <v>1573</v>
      </c>
      <c r="B436" s="56"/>
      <c r="C436" s="56"/>
      <c r="D436" s="57"/>
      <c r="E436" s="56"/>
      <c r="H436" s="56"/>
      <c r="I436" s="56"/>
      <c r="J436" s="56" t="s">
        <v>1587</v>
      </c>
      <c r="K436" t="s">
        <v>1549</v>
      </c>
    </row>
    <row r="437" spans="1:11" x14ac:dyDescent="0.25">
      <c r="A437" s="56" t="s">
        <v>1573</v>
      </c>
      <c r="B437" s="56" t="s">
        <v>1575</v>
      </c>
      <c r="C437" s="56" t="s">
        <v>11</v>
      </c>
      <c r="D437" s="57" t="s">
        <v>17</v>
      </c>
      <c r="E437" s="56" t="s">
        <v>126</v>
      </c>
      <c r="G437" s="56" t="s">
        <v>1576</v>
      </c>
      <c r="H437" s="56" t="s">
        <v>23</v>
      </c>
      <c r="I437" s="80" t="s">
        <v>1628</v>
      </c>
      <c r="J437" s="56" t="s">
        <v>1584</v>
      </c>
      <c r="K437" t="s">
        <v>1550</v>
      </c>
    </row>
    <row r="438" spans="1:11" x14ac:dyDescent="0.25">
      <c r="A438" s="56" t="s">
        <v>1573</v>
      </c>
      <c r="B438" t="s">
        <v>1491</v>
      </c>
      <c r="D438" s="57"/>
      <c r="E438" s="56" t="s">
        <v>79</v>
      </c>
      <c r="F438" t="s">
        <v>1577</v>
      </c>
      <c r="G438" s="56" t="s">
        <v>1629</v>
      </c>
      <c r="H438" s="56" t="s">
        <v>23</v>
      </c>
      <c r="I438" s="80" t="s">
        <v>1582</v>
      </c>
      <c r="J438" s="56" t="s">
        <v>1584</v>
      </c>
      <c r="K438" t="s">
        <v>1507</v>
      </c>
    </row>
    <row r="439" spans="1:11" x14ac:dyDescent="0.25">
      <c r="A439" s="56" t="s">
        <v>1573</v>
      </c>
      <c r="B439" s="56" t="s">
        <v>1491</v>
      </c>
      <c r="D439" s="57"/>
      <c r="E439" s="56" t="s">
        <v>79</v>
      </c>
      <c r="F439" t="s">
        <v>1579</v>
      </c>
      <c r="G439" s="56" t="s">
        <v>1629</v>
      </c>
      <c r="H439" s="56" t="s">
        <v>23</v>
      </c>
      <c r="I439" s="80" t="s">
        <v>1582</v>
      </c>
      <c r="J439" s="56" t="s">
        <v>1584</v>
      </c>
      <c r="K439" t="s">
        <v>1508</v>
      </c>
    </row>
    <row r="440" spans="1:11" x14ac:dyDescent="0.25">
      <c r="A440" s="56" t="s">
        <v>1573</v>
      </c>
      <c r="B440" s="56" t="s">
        <v>1491</v>
      </c>
      <c r="D440" s="57"/>
      <c r="E440" s="56" t="s">
        <v>79</v>
      </c>
      <c r="F440" t="s">
        <v>1578</v>
      </c>
      <c r="G440" s="56" t="s">
        <v>1629</v>
      </c>
      <c r="H440" s="56" t="s">
        <v>23</v>
      </c>
      <c r="I440" s="80" t="s">
        <v>1582</v>
      </c>
      <c r="J440" s="56" t="s">
        <v>1584</v>
      </c>
      <c r="K440" t="s">
        <v>1509</v>
      </c>
    </row>
    <row r="441" spans="1:11" x14ac:dyDescent="0.25">
      <c r="A441" s="56" t="s">
        <v>1573</v>
      </c>
      <c r="B441" s="56" t="s">
        <v>1491</v>
      </c>
      <c r="D441" s="57"/>
      <c r="E441" s="56" t="s">
        <v>79</v>
      </c>
      <c r="F441" t="s">
        <v>1580</v>
      </c>
      <c r="G441" s="56" t="s">
        <v>1629</v>
      </c>
      <c r="H441" s="56" t="s">
        <v>23</v>
      </c>
      <c r="I441" s="80" t="s">
        <v>1582</v>
      </c>
      <c r="J441" s="56" t="s">
        <v>1584</v>
      </c>
      <c r="K441" t="s">
        <v>1510</v>
      </c>
    </row>
    <row r="442" spans="1:11" x14ac:dyDescent="0.25">
      <c r="A442" s="56" t="s">
        <v>1573</v>
      </c>
      <c r="B442" s="56" t="s">
        <v>1491</v>
      </c>
      <c r="D442" s="57"/>
      <c r="E442" s="56" t="s">
        <v>79</v>
      </c>
      <c r="F442" t="s">
        <v>1581</v>
      </c>
      <c r="G442" s="56" t="s">
        <v>1629</v>
      </c>
      <c r="H442" s="56" t="s">
        <v>23</v>
      </c>
      <c r="I442" s="80" t="s">
        <v>1582</v>
      </c>
      <c r="J442" s="56" t="s">
        <v>1584</v>
      </c>
      <c r="K442" t="s">
        <v>1511</v>
      </c>
    </row>
    <row r="443" spans="1:11" x14ac:dyDescent="0.25">
      <c r="A443" s="56" t="s">
        <v>1573</v>
      </c>
      <c r="B443" s="56" t="s">
        <v>1491</v>
      </c>
      <c r="D443" s="57"/>
      <c r="E443" s="56" t="s">
        <v>126</v>
      </c>
      <c r="F443" s="56" t="s">
        <v>1577</v>
      </c>
      <c r="G443" s="56" t="s">
        <v>1629</v>
      </c>
      <c r="H443" s="56" t="s">
        <v>23</v>
      </c>
      <c r="I443" s="80" t="s">
        <v>1582</v>
      </c>
      <c r="J443" s="56" t="s">
        <v>1584</v>
      </c>
      <c r="K443" t="s">
        <v>1512</v>
      </c>
    </row>
    <row r="444" spans="1:11" x14ac:dyDescent="0.25">
      <c r="A444" s="56" t="s">
        <v>1573</v>
      </c>
      <c r="B444" s="56" t="s">
        <v>1491</v>
      </c>
      <c r="D444" s="57"/>
      <c r="E444" s="56" t="s">
        <v>126</v>
      </c>
      <c r="F444" s="56" t="s">
        <v>1579</v>
      </c>
      <c r="G444" s="56" t="s">
        <v>1629</v>
      </c>
      <c r="H444" s="56" t="s">
        <v>23</v>
      </c>
      <c r="I444" s="80" t="s">
        <v>1582</v>
      </c>
      <c r="J444" s="56" t="s">
        <v>1584</v>
      </c>
      <c r="K444" t="s">
        <v>1513</v>
      </c>
    </row>
    <row r="445" spans="1:11" x14ac:dyDescent="0.25">
      <c r="A445" s="56" t="s">
        <v>1573</v>
      </c>
      <c r="B445" s="56" t="s">
        <v>1491</v>
      </c>
      <c r="D445" s="57"/>
      <c r="E445" s="56" t="s">
        <v>126</v>
      </c>
      <c r="F445" s="56" t="s">
        <v>1578</v>
      </c>
      <c r="G445" s="56" t="s">
        <v>1629</v>
      </c>
      <c r="H445" s="56" t="s">
        <v>23</v>
      </c>
      <c r="I445" s="80" t="s">
        <v>1582</v>
      </c>
      <c r="J445" s="56" t="s">
        <v>1584</v>
      </c>
      <c r="K445" t="s">
        <v>1514</v>
      </c>
    </row>
    <row r="446" spans="1:11" x14ac:dyDescent="0.25">
      <c r="A446" s="56" t="s">
        <v>1573</v>
      </c>
      <c r="B446" s="56" t="s">
        <v>1491</v>
      </c>
      <c r="D446" s="57"/>
      <c r="E446" s="56" t="s">
        <v>126</v>
      </c>
      <c r="F446" s="56" t="s">
        <v>1580</v>
      </c>
      <c r="G446" s="56" t="s">
        <v>1629</v>
      </c>
      <c r="H446" s="56" t="s">
        <v>23</v>
      </c>
      <c r="I446" s="80" t="s">
        <v>1582</v>
      </c>
      <c r="J446" s="56" t="s">
        <v>1584</v>
      </c>
      <c r="K446" t="s">
        <v>1515</v>
      </c>
    </row>
    <row r="447" spans="1:11" x14ac:dyDescent="0.25">
      <c r="A447" s="56" t="s">
        <v>1573</v>
      </c>
      <c r="B447" s="56" t="s">
        <v>1491</v>
      </c>
      <c r="C447" s="56"/>
      <c r="D447" s="57"/>
      <c r="E447" s="56" t="s">
        <v>126</v>
      </c>
      <c r="F447" s="56" t="s">
        <v>1581</v>
      </c>
      <c r="G447" s="56" t="s">
        <v>1629</v>
      </c>
      <c r="H447" s="56" t="s">
        <v>23</v>
      </c>
      <c r="I447" s="80" t="s">
        <v>1582</v>
      </c>
      <c r="J447" s="56" t="s">
        <v>1584</v>
      </c>
      <c r="K447" t="s">
        <v>1516</v>
      </c>
    </row>
  </sheetData>
  <conditionalFormatting sqref="K1">
    <cfRule type="duplicateValues" dxfId="1432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4" sqref="D14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32</v>
      </c>
      <c r="D1" s="27" t="s">
        <v>33</v>
      </c>
      <c r="F1" s="26" t="s">
        <v>34</v>
      </c>
    </row>
    <row r="2" spans="2:6" x14ac:dyDescent="0.25">
      <c r="B2" s="28" t="s">
        <v>35</v>
      </c>
      <c r="D2" s="29" t="str">
        <f ca="1">YEAR(NOW())&amp;"."&amp;MONTH(NOW())&amp;"."&amp;DAY(NOW())</f>
        <v>2018.1.26</v>
      </c>
      <c r="F2" s="28"/>
    </row>
    <row r="3" spans="2:6" x14ac:dyDescent="0.25">
      <c r="B3" s="28" t="s">
        <v>36</v>
      </c>
      <c r="D3" s="30"/>
      <c r="F3" s="28"/>
    </row>
    <row r="4" spans="2:6" x14ac:dyDescent="0.25">
      <c r="B4" s="28" t="s">
        <v>38</v>
      </c>
      <c r="D4" s="26" t="s">
        <v>34</v>
      </c>
      <c r="F4" s="28"/>
    </row>
    <row r="5" spans="2:6" x14ac:dyDescent="0.25">
      <c r="B5" s="28" t="s">
        <v>41</v>
      </c>
      <c r="D5" s="31">
        <f>COUNTA(F2:F37)</f>
        <v>0</v>
      </c>
      <c r="F5" s="28"/>
    </row>
    <row r="6" spans="2:6" x14ac:dyDescent="0.25">
      <c r="B6" s="28" t="s">
        <v>42</v>
      </c>
      <c r="F6" s="28"/>
    </row>
    <row r="7" spans="2:6" x14ac:dyDescent="0.25">
      <c r="B7" s="28" t="s">
        <v>44</v>
      </c>
      <c r="D7" s="26" t="s">
        <v>37</v>
      </c>
      <c r="F7" s="28"/>
    </row>
    <row r="8" spans="2:6" x14ac:dyDescent="0.25">
      <c r="B8" s="28" t="s">
        <v>46</v>
      </c>
      <c r="D8" s="32">
        <v>43126</v>
      </c>
      <c r="F8" s="28"/>
    </row>
    <row r="9" spans="2:6" x14ac:dyDescent="0.25">
      <c r="B9" s="28" t="s">
        <v>47</v>
      </c>
      <c r="D9" s="17" t="str">
        <f>"Updated: "&amp;TEXT(D8,"mmmm d")</f>
        <v>Updated: January 26</v>
      </c>
      <c r="F9" s="28"/>
    </row>
    <row r="10" spans="2:6" x14ac:dyDescent="0.25">
      <c r="B10" s="28" t="s">
        <v>48</v>
      </c>
      <c r="D10" s="33" t="s">
        <v>39</v>
      </c>
      <c r="F10" s="28"/>
    </row>
    <row r="11" spans="2:6" x14ac:dyDescent="0.25">
      <c r="B11" s="28" t="s">
        <v>49</v>
      </c>
      <c r="D11" s="31" t="s">
        <v>63</v>
      </c>
      <c r="F11" s="28"/>
    </row>
    <row r="12" spans="2:6" x14ac:dyDescent="0.25">
      <c r="B12" s="28" t="s">
        <v>50</v>
      </c>
      <c r="F12" s="28"/>
    </row>
    <row r="13" spans="2:6" x14ac:dyDescent="0.25">
      <c r="B13" s="28" t="s">
        <v>51</v>
      </c>
      <c r="D13" s="26" t="s">
        <v>43</v>
      </c>
      <c r="F13" s="28"/>
    </row>
    <row r="14" spans="2:6" x14ac:dyDescent="0.25">
      <c r="B14" s="28" t="s">
        <v>52</v>
      </c>
      <c r="D14" s="31" t="s">
        <v>40</v>
      </c>
      <c r="F14" s="28"/>
    </row>
    <row r="15" spans="2:6" x14ac:dyDescent="0.25">
      <c r="B15" s="28" t="s">
        <v>53</v>
      </c>
      <c r="D15" s="34"/>
      <c r="F15" s="28"/>
    </row>
    <row r="16" spans="2:6" x14ac:dyDescent="0.25">
      <c r="B16" s="28" t="s">
        <v>54</v>
      </c>
      <c r="D16" s="33" t="s">
        <v>45</v>
      </c>
      <c r="F16" s="28"/>
    </row>
    <row r="17" spans="2:6" x14ac:dyDescent="0.25">
      <c r="B17" s="28" t="s">
        <v>55</v>
      </c>
      <c r="D17" s="35" t="s">
        <v>125</v>
      </c>
      <c r="F17" s="28"/>
    </row>
    <row r="18" spans="2:6" x14ac:dyDescent="0.25">
      <c r="B18" s="28" t="s">
        <v>56</v>
      </c>
      <c r="D18" s="34"/>
      <c r="F18" s="28"/>
    </row>
    <row r="19" spans="2:6" x14ac:dyDescent="0.25">
      <c r="B19" s="28" t="s">
        <v>57</v>
      </c>
      <c r="D19" s="36"/>
      <c r="F19" s="28"/>
    </row>
    <row r="20" spans="2:6" x14ac:dyDescent="0.25">
      <c r="B20" s="28" t="s">
        <v>58</v>
      </c>
      <c r="D20" s="37"/>
      <c r="F20" s="28"/>
    </row>
    <row r="21" spans="2:6" x14ac:dyDescent="0.25">
      <c r="B21" s="28" t="s">
        <v>59</v>
      </c>
      <c r="F21" s="28"/>
    </row>
    <row r="22" spans="2:6" x14ac:dyDescent="0.25">
      <c r="B22" s="28" t="s">
        <v>60</v>
      </c>
      <c r="F22" s="28"/>
    </row>
    <row r="23" spans="2:6" x14ac:dyDescent="0.25">
      <c r="B23" s="28" t="s">
        <v>61</v>
      </c>
      <c r="F23" s="28"/>
    </row>
    <row r="24" spans="2:6" x14ac:dyDescent="0.25">
      <c r="B24" s="28" t="s">
        <v>62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N10" sqref="N10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83"/>
      <c r="C1" s="70" t="s">
        <v>566</v>
      </c>
      <c r="D1" s="2"/>
      <c r="J1" s="62" t="s">
        <v>446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448</v>
      </c>
      <c r="AU1" s="75"/>
      <c r="AV1" s="75"/>
      <c r="AW1" s="75"/>
      <c r="AX1" s="75"/>
      <c r="AY1" s="75"/>
      <c r="AZ1" s="45" t="s">
        <v>447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 t="s">
        <v>1</v>
      </c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567</v>
      </c>
      <c r="K6" s="25" t="s">
        <v>568</v>
      </c>
      <c r="L6" s="25" t="s">
        <v>569</v>
      </c>
      <c r="M6" s="25" t="s">
        <v>570</v>
      </c>
      <c r="N6" s="25" t="s">
        <v>571</v>
      </c>
      <c r="O6" s="25" t="s">
        <v>572</v>
      </c>
      <c r="P6" s="25" t="s">
        <v>573</v>
      </c>
      <c r="Q6" s="25" t="s">
        <v>574</v>
      </c>
      <c r="R6" s="25" t="s">
        <v>575</v>
      </c>
      <c r="S6" s="25" t="s">
        <v>576</v>
      </c>
      <c r="T6" s="25" t="s">
        <v>577</v>
      </c>
      <c r="U6" s="25" t="s">
        <v>578</v>
      </c>
      <c r="V6" s="25" t="s">
        <v>579</v>
      </c>
      <c r="W6" s="25" t="s">
        <v>580</v>
      </c>
      <c r="X6" s="25" t="s">
        <v>581</v>
      </c>
      <c r="Y6" s="25" t="s">
        <v>582</v>
      </c>
      <c r="Z6" s="25" t="s">
        <v>583</v>
      </c>
      <c r="AA6" s="25" t="s">
        <v>584</v>
      </c>
      <c r="AB6" s="25" t="s">
        <v>585</v>
      </c>
      <c r="AC6" s="25" t="s">
        <v>586</v>
      </c>
      <c r="AD6" s="25" t="s">
        <v>587</v>
      </c>
      <c r="AE6" s="25" t="s">
        <v>588</v>
      </c>
      <c r="AF6" s="25" t="s">
        <v>589</v>
      </c>
      <c r="AG6" s="25" t="s">
        <v>590</v>
      </c>
      <c r="AH6" s="25" t="s">
        <v>591</v>
      </c>
      <c r="AI6" s="25" t="s">
        <v>592</v>
      </c>
      <c r="AJ6" s="25" t="s">
        <v>593</v>
      </c>
      <c r="AK6" s="25" t="s">
        <v>594</v>
      </c>
      <c r="AL6" s="25" t="s">
        <v>595</v>
      </c>
      <c r="AM6" s="25" t="s">
        <v>596</v>
      </c>
      <c r="AN6" s="25" t="s">
        <v>597</v>
      </c>
      <c r="AO6" s="25" t="s">
        <v>598</v>
      </c>
      <c r="AP6" s="25" t="s">
        <v>599</v>
      </c>
      <c r="AQ6" s="25" t="s">
        <v>600</v>
      </c>
      <c r="AR6" s="25" t="s">
        <v>601</v>
      </c>
      <c r="AS6" s="25" t="s">
        <v>602</v>
      </c>
      <c r="AT6" s="25" t="s">
        <v>603</v>
      </c>
      <c r="AU6" s="25" t="s">
        <v>604</v>
      </c>
      <c r="AV6" s="25" t="s">
        <v>605</v>
      </c>
      <c r="AW6" s="25" t="s">
        <v>606</v>
      </c>
      <c r="AX6" s="25" t="s">
        <v>607</v>
      </c>
      <c r="AY6" s="25" t="s">
        <v>608</v>
      </c>
      <c r="AZ6" s="25" t="s">
        <v>528</v>
      </c>
      <c r="BA6" s="25" t="s">
        <v>529</v>
      </c>
      <c r="BB6" s="25" t="s">
        <v>530</v>
      </c>
      <c r="BC6" s="25" t="s">
        <v>531</v>
      </c>
      <c r="BD6" s="25" t="s">
        <v>532</v>
      </c>
      <c r="BE6" s="25" t="s">
        <v>533</v>
      </c>
      <c r="BF6" s="25" t="s">
        <v>534</v>
      </c>
      <c r="BG6" s="25" t="s">
        <v>535</v>
      </c>
      <c r="BH6" s="25" t="s">
        <v>536</v>
      </c>
      <c r="BI6" s="25" t="s">
        <v>537</v>
      </c>
      <c r="BJ6" s="25" t="s">
        <v>538</v>
      </c>
      <c r="BK6" s="25" t="s">
        <v>539</v>
      </c>
      <c r="BL6" s="25" t="s">
        <v>540</v>
      </c>
      <c r="BM6" s="25" t="s">
        <v>541</v>
      </c>
      <c r="BN6" s="25" t="s">
        <v>542</v>
      </c>
      <c r="BO6" s="25" t="s">
        <v>543</v>
      </c>
      <c r="BP6" s="25" t="s">
        <v>544</v>
      </c>
      <c r="BQ6" s="25" t="s">
        <v>545</v>
      </c>
      <c r="BR6" s="25" t="s">
        <v>546</v>
      </c>
      <c r="BS6" s="25" t="s">
        <v>547</v>
      </c>
      <c r="BT6" s="25" t="s">
        <v>548</v>
      </c>
      <c r="BU6" s="25" t="s">
        <v>549</v>
      </c>
      <c r="BV6" s="25" t="s">
        <v>550</v>
      </c>
      <c r="BW6" s="25" t="s">
        <v>551</v>
      </c>
      <c r="BX6" s="25" t="s">
        <v>552</v>
      </c>
      <c r="BY6" s="25" t="s">
        <v>553</v>
      </c>
      <c r="BZ6" s="25" t="s">
        <v>554</v>
      </c>
      <c r="CA6" s="25" t="s">
        <v>555</v>
      </c>
      <c r="CB6" s="25" t="s">
        <v>556</v>
      </c>
      <c r="CC6" s="25" t="s">
        <v>557</v>
      </c>
      <c r="CD6" s="25" t="s">
        <v>558</v>
      </c>
      <c r="CE6" s="25" t="s">
        <v>559</v>
      </c>
      <c r="CF6" s="25" t="s">
        <v>560</v>
      </c>
      <c r="CG6" s="25" t="s">
        <v>561</v>
      </c>
      <c r="CH6" s="25" t="s">
        <v>562</v>
      </c>
      <c r="CI6" s="25" t="s">
        <v>563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L37" sqref="L37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January 26</v>
      </c>
      <c r="O1" s="17" t="s">
        <v>29</v>
      </c>
      <c r="P1" s="17" t="s">
        <v>1518</v>
      </c>
      <c r="X1" s="21"/>
      <c r="Y1" s="22"/>
      <c r="Z1" s="17"/>
      <c r="AB1" s="72" t="s">
        <v>449</v>
      </c>
      <c r="AC1" s="72" t="s">
        <v>450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30</v>
      </c>
      <c r="X2" s="21"/>
      <c r="Y2" s="22"/>
      <c r="Z2" s="17"/>
      <c r="AB2" s="73" t="s">
        <v>451</v>
      </c>
      <c r="AC2" s="73" t="s">
        <v>452</v>
      </c>
    </row>
    <row r="3" spans="14:29" x14ac:dyDescent="0.25">
      <c r="O3" s="17" t="s">
        <v>1519</v>
      </c>
      <c r="X3" s="21"/>
      <c r="Y3" s="23"/>
      <c r="Z3" s="17"/>
      <c r="AB3" s="73" t="s">
        <v>453</v>
      </c>
      <c r="AC3" s="73" t="s">
        <v>454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35</v>
      </c>
      <c r="AC4" s="73" t="s">
        <v>455</v>
      </c>
    </row>
    <row r="5" spans="14:29" x14ac:dyDescent="0.25">
      <c r="X5" s="17"/>
      <c r="Y5" s="17"/>
      <c r="Z5" s="17"/>
      <c r="AB5" s="73" t="s">
        <v>456</v>
      </c>
      <c r="AC5" s="73" t="s">
        <v>457</v>
      </c>
    </row>
    <row r="6" spans="14:29" x14ac:dyDescent="0.25">
      <c r="X6" s="17"/>
      <c r="Y6" s="17"/>
      <c r="Z6" s="17"/>
      <c r="AB6" s="73" t="s">
        <v>36</v>
      </c>
      <c r="AC6" s="73" t="s">
        <v>458</v>
      </c>
    </row>
    <row r="7" spans="14:29" x14ac:dyDescent="0.25">
      <c r="X7" s="17"/>
      <c r="Y7" s="17"/>
      <c r="Z7" s="17"/>
      <c r="AB7" s="73" t="s">
        <v>459</v>
      </c>
      <c r="AC7" s="73" t="s">
        <v>460</v>
      </c>
    </row>
    <row r="8" spans="14:29" x14ac:dyDescent="0.25">
      <c r="X8" s="17"/>
      <c r="Y8" s="17"/>
      <c r="Z8" s="17"/>
      <c r="AB8" s="73" t="s">
        <v>38</v>
      </c>
      <c r="AC8" s="73" t="s">
        <v>461</v>
      </c>
    </row>
    <row r="9" spans="14:29" x14ac:dyDescent="0.25">
      <c r="X9" s="17"/>
      <c r="Y9" s="17"/>
      <c r="Z9" s="17"/>
      <c r="AB9" s="73" t="s">
        <v>462</v>
      </c>
      <c r="AC9" s="73" t="s">
        <v>463</v>
      </c>
    </row>
    <row r="10" spans="14:29" x14ac:dyDescent="0.25">
      <c r="AB10" s="73" t="s">
        <v>464</v>
      </c>
      <c r="AC10" s="73" t="s">
        <v>465</v>
      </c>
    </row>
    <row r="11" spans="14:29" x14ac:dyDescent="0.25">
      <c r="AB11" s="73" t="s">
        <v>466</v>
      </c>
      <c r="AC11" s="73" t="s">
        <v>467</v>
      </c>
    </row>
    <row r="12" spans="14:29" x14ac:dyDescent="0.25">
      <c r="AB12" s="73" t="s">
        <v>41</v>
      </c>
      <c r="AC12" s="73" t="s">
        <v>468</v>
      </c>
    </row>
    <row r="13" spans="14:29" x14ac:dyDescent="0.25">
      <c r="AB13" s="73" t="s">
        <v>42</v>
      </c>
      <c r="AC13" s="73" t="s">
        <v>469</v>
      </c>
    </row>
    <row r="14" spans="14:29" x14ac:dyDescent="0.25">
      <c r="AB14" s="73" t="s">
        <v>470</v>
      </c>
      <c r="AC14" s="73" t="s">
        <v>471</v>
      </c>
    </row>
    <row r="15" spans="14:29" x14ac:dyDescent="0.25">
      <c r="AB15" s="73" t="s">
        <v>44</v>
      </c>
      <c r="AC15" s="73" t="s">
        <v>472</v>
      </c>
    </row>
    <row r="16" spans="14:29" x14ac:dyDescent="0.25">
      <c r="AB16" s="73" t="s">
        <v>473</v>
      </c>
      <c r="AC16" s="73" t="s">
        <v>474</v>
      </c>
    </row>
    <row r="17" spans="28:29" x14ac:dyDescent="0.25">
      <c r="AB17" s="73" t="s">
        <v>46</v>
      </c>
      <c r="AC17" s="73" t="s">
        <v>475</v>
      </c>
    </row>
    <row r="18" spans="28:29" x14ac:dyDescent="0.25">
      <c r="AB18" s="73" t="s">
        <v>476</v>
      </c>
      <c r="AC18" s="73" t="s">
        <v>477</v>
      </c>
    </row>
    <row r="19" spans="28:29" x14ac:dyDescent="0.25">
      <c r="AB19" s="73" t="s">
        <v>478</v>
      </c>
      <c r="AC19" s="73" t="s">
        <v>479</v>
      </c>
    </row>
    <row r="20" spans="28:29" x14ac:dyDescent="0.25">
      <c r="AB20" s="73" t="s">
        <v>47</v>
      </c>
      <c r="AC20" s="73" t="s">
        <v>480</v>
      </c>
    </row>
    <row r="21" spans="28:29" x14ac:dyDescent="0.25">
      <c r="AB21" s="73" t="s">
        <v>48</v>
      </c>
      <c r="AC21" s="73" t="s">
        <v>481</v>
      </c>
    </row>
    <row r="22" spans="28:29" x14ac:dyDescent="0.25">
      <c r="AB22" s="73" t="s">
        <v>49</v>
      </c>
      <c r="AC22" s="73" t="s">
        <v>482</v>
      </c>
    </row>
    <row r="23" spans="28:29" x14ac:dyDescent="0.25">
      <c r="AB23" s="73" t="s">
        <v>50</v>
      </c>
      <c r="AC23" s="73" t="s">
        <v>483</v>
      </c>
    </row>
    <row r="24" spans="28:29" x14ac:dyDescent="0.25">
      <c r="AB24" s="73" t="s">
        <v>51</v>
      </c>
      <c r="AC24" s="73" t="s">
        <v>484</v>
      </c>
    </row>
    <row r="25" spans="28:29" x14ac:dyDescent="0.25">
      <c r="AB25" s="73" t="s">
        <v>52</v>
      </c>
      <c r="AC25" s="73" t="s">
        <v>485</v>
      </c>
    </row>
    <row r="26" spans="28:29" x14ac:dyDescent="0.25">
      <c r="AB26" s="73" t="s">
        <v>486</v>
      </c>
      <c r="AC26" s="73" t="s">
        <v>487</v>
      </c>
    </row>
    <row r="27" spans="28:29" x14ac:dyDescent="0.25">
      <c r="AB27" s="73" t="s">
        <v>53</v>
      </c>
      <c r="AC27" s="73" t="s">
        <v>488</v>
      </c>
    </row>
    <row r="28" spans="28:29" x14ac:dyDescent="0.25">
      <c r="AB28" s="73" t="s">
        <v>54</v>
      </c>
      <c r="AC28" s="73" t="s">
        <v>489</v>
      </c>
    </row>
    <row r="29" spans="28:29" x14ac:dyDescent="0.25">
      <c r="AB29" s="73" t="s">
        <v>55</v>
      </c>
      <c r="AC29" s="73" t="s">
        <v>490</v>
      </c>
    </row>
    <row r="30" spans="28:29" x14ac:dyDescent="0.25">
      <c r="AB30" s="73" t="s">
        <v>56</v>
      </c>
      <c r="AC30" s="73" t="s">
        <v>491</v>
      </c>
    </row>
    <row r="31" spans="28:29" x14ac:dyDescent="0.25">
      <c r="AB31" s="73" t="s">
        <v>57</v>
      </c>
      <c r="AC31" s="73" t="s">
        <v>492</v>
      </c>
    </row>
    <row r="32" spans="28:29" x14ac:dyDescent="0.25">
      <c r="AB32" s="73" t="s">
        <v>58</v>
      </c>
      <c r="AC32" s="73" t="s">
        <v>493</v>
      </c>
    </row>
    <row r="33" spans="28:29" x14ac:dyDescent="0.25">
      <c r="AB33" s="73" t="s">
        <v>59</v>
      </c>
      <c r="AC33" s="73" t="s">
        <v>494</v>
      </c>
    </row>
    <row r="34" spans="28:29" x14ac:dyDescent="0.25">
      <c r="AB34" s="73" t="s">
        <v>60</v>
      </c>
      <c r="AC34" s="73" t="s">
        <v>495</v>
      </c>
    </row>
    <row r="35" spans="28:29" x14ac:dyDescent="0.25">
      <c r="AB35" s="73" t="s">
        <v>61</v>
      </c>
      <c r="AC35" s="73" t="s">
        <v>496</v>
      </c>
    </row>
    <row r="36" spans="28:29" x14ac:dyDescent="0.25">
      <c r="AB36" s="73" t="s">
        <v>62</v>
      </c>
      <c r="AC36" s="73" t="s">
        <v>497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DJ5" activePane="bottomRight" state="frozen"/>
      <selection activeCell="D18" sqref="D18"/>
      <selection pane="topRight" activeCell="D18" sqref="D18"/>
      <selection pane="bottomLeft" activeCell="D18" sqref="D18"/>
      <selection pane="bottomRight" activeCell="B3" sqref="B3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83" t="s">
        <v>390</v>
      </c>
      <c r="C1" s="2" t="s">
        <v>0</v>
      </c>
      <c r="G1" s="84" t="s">
        <v>71</v>
      </c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85"/>
      <c r="DF1" s="85"/>
      <c r="DG1" s="85"/>
      <c r="DH1" s="85"/>
      <c r="DI1" s="85"/>
      <c r="DJ1" s="85"/>
      <c r="DK1" s="85"/>
      <c r="DL1" s="85"/>
      <c r="DM1" s="85"/>
      <c r="DN1" s="85"/>
      <c r="DO1" s="86"/>
      <c r="DP1" s="84" t="s">
        <v>72</v>
      </c>
      <c r="DQ1" s="85"/>
      <c r="DR1" s="85"/>
      <c r="DS1" s="85"/>
      <c r="DT1" s="85"/>
      <c r="DU1" s="85"/>
      <c r="DV1" s="85"/>
      <c r="DW1" s="85"/>
      <c r="DX1" s="85"/>
      <c r="DY1" s="85"/>
      <c r="DZ1" s="85"/>
      <c r="EA1" s="85"/>
      <c r="EB1" s="85"/>
      <c r="EC1" s="85"/>
      <c r="ED1" s="85"/>
      <c r="EE1" s="85"/>
      <c r="EF1" s="85"/>
      <c r="EG1" s="85"/>
      <c r="EH1" s="85"/>
      <c r="EI1" s="85"/>
      <c r="EJ1" s="85"/>
      <c r="EK1" s="85"/>
      <c r="EL1" s="85"/>
      <c r="EM1" s="85"/>
      <c r="EN1" s="85"/>
      <c r="EO1" s="85"/>
      <c r="EP1" s="85"/>
      <c r="EQ1" s="85"/>
      <c r="ER1" s="85"/>
      <c r="ES1" s="85"/>
      <c r="ET1" s="85"/>
      <c r="EU1" s="85"/>
      <c r="EV1" s="85"/>
      <c r="EW1" s="85"/>
      <c r="EX1" s="85"/>
      <c r="EY1" s="85"/>
      <c r="EZ1" s="85"/>
      <c r="FA1" s="85"/>
      <c r="FB1" s="85"/>
      <c r="FC1" s="85"/>
      <c r="FD1" s="85"/>
      <c r="FE1" s="85"/>
      <c r="FF1" s="85"/>
      <c r="FG1" s="85"/>
      <c r="FH1" s="85"/>
      <c r="FI1" s="85"/>
      <c r="FJ1" s="85"/>
      <c r="FK1" s="85"/>
      <c r="FL1" s="85"/>
      <c r="FM1" s="85"/>
      <c r="FN1" s="85"/>
      <c r="FO1" s="85"/>
      <c r="FP1" s="85"/>
      <c r="FQ1" s="85"/>
      <c r="FR1" s="85"/>
      <c r="FS1" s="85"/>
      <c r="FT1" s="85"/>
      <c r="FU1" s="85"/>
      <c r="FV1" s="85"/>
      <c r="FW1" s="85"/>
      <c r="FX1" s="85"/>
      <c r="FY1" s="85"/>
      <c r="FZ1" s="85"/>
      <c r="GA1" s="85"/>
      <c r="GB1" s="85"/>
      <c r="GC1" s="85"/>
      <c r="GD1" s="85"/>
      <c r="GE1" s="85"/>
      <c r="GF1" s="85"/>
      <c r="GG1" s="85"/>
      <c r="GH1" s="85"/>
      <c r="GI1" s="85"/>
      <c r="GJ1" s="85"/>
      <c r="GK1" s="85"/>
      <c r="GL1" s="85"/>
      <c r="GM1" s="85"/>
      <c r="GN1" s="85"/>
      <c r="GO1" s="85"/>
      <c r="GP1" s="85"/>
      <c r="GQ1" s="85"/>
      <c r="GR1" s="85"/>
      <c r="GS1" s="85"/>
      <c r="GT1" s="85"/>
      <c r="GU1" s="85"/>
      <c r="GV1" s="85"/>
      <c r="GW1" s="85"/>
      <c r="GX1" s="85"/>
      <c r="GY1" s="85"/>
      <c r="GZ1" s="85"/>
      <c r="HA1" s="85"/>
      <c r="HB1" s="85"/>
      <c r="HC1" s="85"/>
      <c r="HD1" s="85"/>
      <c r="HE1" s="85"/>
      <c r="HF1" s="85"/>
      <c r="HG1" s="85"/>
      <c r="HH1" s="85"/>
      <c r="HI1" s="85"/>
      <c r="HJ1" s="85"/>
      <c r="HK1" s="85"/>
      <c r="HL1" s="85"/>
      <c r="HM1" s="85"/>
      <c r="HN1" s="85"/>
      <c r="HO1" s="85"/>
      <c r="HP1" s="85"/>
      <c r="HQ1" s="85"/>
      <c r="HR1" s="85"/>
      <c r="HS1" s="85"/>
      <c r="HT1" s="85"/>
      <c r="HU1" s="85"/>
      <c r="HV1" s="85"/>
      <c r="HW1" s="85"/>
      <c r="HX1" s="85"/>
    </row>
    <row r="2" spans="1:232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58" t="s">
        <v>120</v>
      </c>
      <c r="H3" s="59" t="s">
        <v>123</v>
      </c>
      <c r="I3" s="59" t="s">
        <v>104</v>
      </c>
      <c r="J3" s="59" t="s">
        <v>124</v>
      </c>
      <c r="K3" s="59" t="s">
        <v>5</v>
      </c>
      <c r="L3" s="59" t="s">
        <v>117</v>
      </c>
      <c r="M3" s="59" t="s">
        <v>10</v>
      </c>
      <c r="N3" s="59" t="s">
        <v>118</v>
      </c>
      <c r="O3" s="59" t="s">
        <v>119</v>
      </c>
      <c r="P3" s="59" t="s">
        <v>116</v>
      </c>
      <c r="Q3" s="59" t="s">
        <v>20</v>
      </c>
      <c r="R3" s="59" t="s">
        <v>133</v>
      </c>
      <c r="S3" s="59" t="s">
        <v>134</v>
      </c>
      <c r="T3" s="59" t="s">
        <v>422</v>
      </c>
      <c r="U3" s="59" t="s">
        <v>77</v>
      </c>
      <c r="V3" s="59" t="s">
        <v>135</v>
      </c>
      <c r="W3" s="59" t="s">
        <v>136</v>
      </c>
      <c r="X3" s="59" t="s">
        <v>22</v>
      </c>
      <c r="Y3" s="59" t="s">
        <v>401</v>
      </c>
      <c r="Z3" s="59" t="s">
        <v>402</v>
      </c>
      <c r="AA3" s="59" t="s">
        <v>403</v>
      </c>
      <c r="AB3" s="59" t="s">
        <v>13</v>
      </c>
      <c r="AC3" s="59" t="s">
        <v>423</v>
      </c>
      <c r="AD3" s="59" t="s">
        <v>424</v>
      </c>
      <c r="AE3" s="59" t="s">
        <v>425</v>
      </c>
      <c r="AF3" s="59" t="s">
        <v>14</v>
      </c>
      <c r="AG3" s="59" t="s">
        <v>426</v>
      </c>
      <c r="AH3" s="59" t="s">
        <v>427</v>
      </c>
      <c r="AI3" s="59" t="s">
        <v>121</v>
      </c>
      <c r="AJ3" s="59" t="s">
        <v>137</v>
      </c>
      <c r="AK3" s="59" t="s">
        <v>80</v>
      </c>
      <c r="AL3" s="59" t="s">
        <v>428</v>
      </c>
      <c r="AM3" s="59" t="s">
        <v>404</v>
      </c>
      <c r="AN3" s="59" t="s">
        <v>405</v>
      </c>
      <c r="AO3" s="59" t="s">
        <v>429</v>
      </c>
      <c r="AP3" s="59" t="s">
        <v>138</v>
      </c>
      <c r="AQ3" s="59" t="s">
        <v>139</v>
      </c>
      <c r="AR3" s="59" t="s">
        <v>140</v>
      </c>
      <c r="AS3" s="59" t="s">
        <v>141</v>
      </c>
      <c r="AT3" s="59" t="s">
        <v>142</v>
      </c>
      <c r="AU3" s="59" t="s">
        <v>143</v>
      </c>
      <c r="AV3" s="59" t="s">
        <v>144</v>
      </c>
      <c r="AW3" s="59" t="s">
        <v>145</v>
      </c>
      <c r="AX3" s="59" t="s">
        <v>146</v>
      </c>
      <c r="AY3" s="59" t="s">
        <v>147</v>
      </c>
      <c r="AZ3" s="59" t="s">
        <v>148</v>
      </c>
      <c r="BA3" s="59" t="s">
        <v>149</v>
      </c>
      <c r="BB3" s="59" t="s">
        <v>150</v>
      </c>
      <c r="BC3" s="59" t="s">
        <v>151</v>
      </c>
      <c r="BD3" s="59" t="s">
        <v>152</v>
      </c>
      <c r="BE3" s="59" t="s">
        <v>153</v>
      </c>
      <c r="BF3" s="59" t="s">
        <v>154</v>
      </c>
      <c r="BG3" s="59" t="s">
        <v>155</v>
      </c>
      <c r="BH3" s="59" t="s">
        <v>156</v>
      </c>
      <c r="BI3" s="59" t="s">
        <v>157</v>
      </c>
      <c r="BJ3" s="59" t="s">
        <v>158</v>
      </c>
      <c r="BK3" s="59" t="s">
        <v>159</v>
      </c>
      <c r="BL3" s="59" t="s">
        <v>160</v>
      </c>
      <c r="BM3" s="59" t="s">
        <v>161</v>
      </c>
      <c r="BN3" s="59" t="s">
        <v>162</v>
      </c>
      <c r="BO3" s="59" t="s">
        <v>163</v>
      </c>
      <c r="BP3" s="59" t="s">
        <v>164</v>
      </c>
      <c r="BQ3" s="59" t="s">
        <v>165</v>
      </c>
      <c r="BR3" s="59" t="s">
        <v>166</v>
      </c>
      <c r="BS3" s="59" t="s">
        <v>167</v>
      </c>
      <c r="BT3" s="59" t="s">
        <v>168</v>
      </c>
      <c r="BU3" s="59" t="s">
        <v>169</v>
      </c>
      <c r="BV3" s="59" t="s">
        <v>170</v>
      </c>
      <c r="BW3" s="59" t="s">
        <v>171</v>
      </c>
      <c r="BX3" s="59" t="s">
        <v>172</v>
      </c>
      <c r="BY3" s="59" t="s">
        <v>173</v>
      </c>
      <c r="BZ3" s="59" t="s">
        <v>174</v>
      </c>
      <c r="CA3" s="59" t="s">
        <v>175</v>
      </c>
      <c r="CB3" s="59" t="s">
        <v>176</v>
      </c>
      <c r="CC3" s="59" t="s">
        <v>177</v>
      </c>
      <c r="CD3" s="59" t="s">
        <v>178</v>
      </c>
      <c r="CE3" s="59" t="s">
        <v>179</v>
      </c>
      <c r="CF3" s="59" t="s">
        <v>180</v>
      </c>
      <c r="CG3" s="59" t="s">
        <v>181</v>
      </c>
      <c r="CH3" s="59" t="s">
        <v>182</v>
      </c>
      <c r="CI3" s="59" t="s">
        <v>74</v>
      </c>
      <c r="CJ3" s="59" t="s">
        <v>15</v>
      </c>
      <c r="CK3" s="59" t="s">
        <v>122</v>
      </c>
      <c r="CL3" s="59" t="s">
        <v>18</v>
      </c>
      <c r="CM3" s="59" t="s">
        <v>183</v>
      </c>
      <c r="CN3" s="59" t="s">
        <v>184</v>
      </c>
      <c r="CO3" s="59" t="s">
        <v>110</v>
      </c>
      <c r="CP3" s="59" t="s">
        <v>76</v>
      </c>
      <c r="CQ3" s="59" t="s">
        <v>111</v>
      </c>
      <c r="CR3" s="59" t="s">
        <v>112</v>
      </c>
      <c r="CS3" s="59" t="s">
        <v>113</v>
      </c>
      <c r="CT3" s="59" t="s">
        <v>114</v>
      </c>
      <c r="CU3" s="59" t="s">
        <v>115</v>
      </c>
      <c r="CV3" s="59" t="s">
        <v>185</v>
      </c>
      <c r="CW3" s="59" t="s">
        <v>186</v>
      </c>
      <c r="CX3" s="59" t="s">
        <v>187</v>
      </c>
      <c r="CY3" s="59" t="s">
        <v>188</v>
      </c>
      <c r="CZ3" s="59" t="s">
        <v>189</v>
      </c>
      <c r="DA3" s="59" t="s">
        <v>190</v>
      </c>
      <c r="DB3" s="59" t="s">
        <v>191</v>
      </c>
      <c r="DC3" s="59" t="s">
        <v>192</v>
      </c>
      <c r="DD3" s="59" t="s">
        <v>193</v>
      </c>
      <c r="DE3" s="59" t="s">
        <v>194</v>
      </c>
      <c r="DF3" s="59" t="s">
        <v>195</v>
      </c>
      <c r="DG3" s="59" t="s">
        <v>196</v>
      </c>
      <c r="DH3" s="59" t="s">
        <v>197</v>
      </c>
      <c r="DI3" s="59" t="s">
        <v>198</v>
      </c>
      <c r="DJ3" s="59" t="s">
        <v>199</v>
      </c>
      <c r="DK3" s="59" t="s">
        <v>199</v>
      </c>
      <c r="DL3" s="59" t="s">
        <v>19</v>
      </c>
      <c r="DM3" s="59" t="s">
        <v>75</v>
      </c>
      <c r="DN3" s="59" t="s">
        <v>73</v>
      </c>
      <c r="DO3" s="59" t="s">
        <v>78</v>
      </c>
      <c r="DP3" s="58" t="s">
        <v>120</v>
      </c>
      <c r="DQ3" s="59" t="s">
        <v>123</v>
      </c>
      <c r="DR3" s="59" t="s">
        <v>104</v>
      </c>
      <c r="DS3" s="59" t="s">
        <v>124</v>
      </c>
      <c r="DT3" s="59" t="s">
        <v>5</v>
      </c>
      <c r="DU3" s="59" t="s">
        <v>117</v>
      </c>
      <c r="DV3" s="59" t="s">
        <v>10</v>
      </c>
      <c r="DW3" s="59" t="s">
        <v>118</v>
      </c>
      <c r="DX3" s="59" t="s">
        <v>119</v>
      </c>
      <c r="DY3" s="59" t="s">
        <v>116</v>
      </c>
      <c r="DZ3" s="59" t="s">
        <v>20</v>
      </c>
      <c r="EA3" s="59" t="s">
        <v>133</v>
      </c>
      <c r="EB3" s="59" t="s">
        <v>134</v>
      </c>
      <c r="EC3" s="59" t="s">
        <v>422</v>
      </c>
      <c r="ED3" s="59" t="s">
        <v>77</v>
      </c>
      <c r="EE3" s="59" t="s">
        <v>135</v>
      </c>
      <c r="EF3" s="59" t="s">
        <v>136</v>
      </c>
      <c r="EG3" s="59" t="s">
        <v>22</v>
      </c>
      <c r="EH3" s="59" t="s">
        <v>401</v>
      </c>
      <c r="EI3" s="59" t="s">
        <v>402</v>
      </c>
      <c r="EJ3" s="59" t="s">
        <v>403</v>
      </c>
      <c r="EK3" s="59" t="s">
        <v>13</v>
      </c>
      <c r="EL3" s="59" t="s">
        <v>423</v>
      </c>
      <c r="EM3" s="59" t="s">
        <v>424</v>
      </c>
      <c r="EN3" s="59" t="s">
        <v>425</v>
      </c>
      <c r="EO3" s="59" t="s">
        <v>14</v>
      </c>
      <c r="EP3" s="59" t="s">
        <v>426</v>
      </c>
      <c r="EQ3" s="59" t="s">
        <v>427</v>
      </c>
      <c r="ER3" s="59" t="s">
        <v>121</v>
      </c>
      <c r="ES3" s="59" t="s">
        <v>137</v>
      </c>
      <c r="ET3" s="59" t="s">
        <v>80</v>
      </c>
      <c r="EU3" s="59" t="s">
        <v>428</v>
      </c>
      <c r="EV3" s="59" t="s">
        <v>404</v>
      </c>
      <c r="EW3" s="59" t="s">
        <v>405</v>
      </c>
      <c r="EX3" s="59" t="s">
        <v>429</v>
      </c>
      <c r="EY3" s="59" t="s">
        <v>138</v>
      </c>
      <c r="EZ3" s="59" t="s">
        <v>139</v>
      </c>
      <c r="FA3" s="59" t="s">
        <v>140</v>
      </c>
      <c r="FB3" s="59" t="s">
        <v>141</v>
      </c>
      <c r="FC3" s="59" t="s">
        <v>142</v>
      </c>
      <c r="FD3" s="59" t="s">
        <v>143</v>
      </c>
      <c r="FE3" s="59" t="s">
        <v>144</v>
      </c>
      <c r="FF3" s="59" t="s">
        <v>145</v>
      </c>
      <c r="FG3" s="59" t="s">
        <v>146</v>
      </c>
      <c r="FH3" s="59" t="s">
        <v>147</v>
      </c>
      <c r="FI3" s="59" t="s">
        <v>148</v>
      </c>
      <c r="FJ3" s="59" t="s">
        <v>149</v>
      </c>
      <c r="FK3" s="59" t="s">
        <v>150</v>
      </c>
      <c r="FL3" s="59" t="s">
        <v>151</v>
      </c>
      <c r="FM3" s="59" t="s">
        <v>152</v>
      </c>
      <c r="FN3" s="59" t="s">
        <v>153</v>
      </c>
      <c r="FO3" s="59" t="s">
        <v>154</v>
      </c>
      <c r="FP3" s="59" t="s">
        <v>155</v>
      </c>
      <c r="FQ3" s="59" t="s">
        <v>156</v>
      </c>
      <c r="FR3" s="59" t="s">
        <v>157</v>
      </c>
      <c r="FS3" s="59" t="s">
        <v>158</v>
      </c>
      <c r="FT3" s="59" t="s">
        <v>159</v>
      </c>
      <c r="FU3" s="59" t="s">
        <v>160</v>
      </c>
      <c r="FV3" s="59" t="s">
        <v>161</v>
      </c>
      <c r="FW3" s="59" t="s">
        <v>162</v>
      </c>
      <c r="FX3" s="59" t="s">
        <v>163</v>
      </c>
      <c r="FY3" s="59" t="s">
        <v>164</v>
      </c>
      <c r="FZ3" s="59" t="s">
        <v>165</v>
      </c>
      <c r="GA3" s="59" t="s">
        <v>166</v>
      </c>
      <c r="GB3" s="59" t="s">
        <v>167</v>
      </c>
      <c r="GC3" s="59" t="s">
        <v>168</v>
      </c>
      <c r="GD3" s="59" t="s">
        <v>169</v>
      </c>
      <c r="GE3" s="59" t="s">
        <v>170</v>
      </c>
      <c r="GF3" s="59" t="s">
        <v>171</v>
      </c>
      <c r="GG3" s="59" t="s">
        <v>172</v>
      </c>
      <c r="GH3" s="59" t="s">
        <v>173</v>
      </c>
      <c r="GI3" s="59" t="s">
        <v>174</v>
      </c>
      <c r="GJ3" s="59" t="s">
        <v>175</v>
      </c>
      <c r="GK3" s="59" t="s">
        <v>176</v>
      </c>
      <c r="GL3" s="59" t="s">
        <v>177</v>
      </c>
      <c r="GM3" s="59" t="s">
        <v>178</v>
      </c>
      <c r="GN3" s="59" t="s">
        <v>179</v>
      </c>
      <c r="GO3" s="59" t="s">
        <v>180</v>
      </c>
      <c r="GP3" s="59" t="s">
        <v>181</v>
      </c>
      <c r="GQ3" s="59" t="s">
        <v>182</v>
      </c>
      <c r="GR3" s="59" t="s">
        <v>74</v>
      </c>
      <c r="GS3" s="59" t="s">
        <v>15</v>
      </c>
      <c r="GT3" s="59" t="s">
        <v>122</v>
      </c>
      <c r="GU3" s="59" t="s">
        <v>18</v>
      </c>
      <c r="GV3" s="59" t="s">
        <v>183</v>
      </c>
      <c r="GW3" s="59" t="s">
        <v>184</v>
      </c>
      <c r="GX3" s="59" t="s">
        <v>110</v>
      </c>
      <c r="GY3" s="59" t="s">
        <v>76</v>
      </c>
      <c r="GZ3" s="59" t="s">
        <v>111</v>
      </c>
      <c r="HA3" s="59" t="s">
        <v>112</v>
      </c>
      <c r="HB3" s="59" t="s">
        <v>113</v>
      </c>
      <c r="HC3" s="59" t="s">
        <v>114</v>
      </c>
      <c r="HD3" s="59" t="s">
        <v>115</v>
      </c>
      <c r="HE3" s="59" t="s">
        <v>185</v>
      </c>
      <c r="HF3" s="59" t="s">
        <v>186</v>
      </c>
      <c r="HG3" s="59" t="s">
        <v>187</v>
      </c>
      <c r="HH3" s="59" t="s">
        <v>188</v>
      </c>
      <c r="HI3" s="59" t="s">
        <v>189</v>
      </c>
      <c r="HJ3" s="59" t="s">
        <v>190</v>
      </c>
      <c r="HK3" s="59" t="s">
        <v>191</v>
      </c>
      <c r="HL3" s="59" t="s">
        <v>192</v>
      </c>
      <c r="HM3" s="59" t="s">
        <v>193</v>
      </c>
      <c r="HN3" s="59" t="s">
        <v>194</v>
      </c>
      <c r="HO3" s="59" t="s">
        <v>195</v>
      </c>
      <c r="HP3" s="59" t="s">
        <v>196</v>
      </c>
      <c r="HQ3" s="59" t="s">
        <v>197</v>
      </c>
      <c r="HR3" s="59" t="s">
        <v>198</v>
      </c>
      <c r="HS3" s="59" t="s">
        <v>199</v>
      </c>
      <c r="HT3" s="59" t="s">
        <v>199</v>
      </c>
      <c r="HU3" s="59" t="s">
        <v>19</v>
      </c>
      <c r="HV3" s="59" t="s">
        <v>75</v>
      </c>
      <c r="HW3" s="59" t="s">
        <v>73</v>
      </c>
      <c r="HX3" s="60" t="s">
        <v>78</v>
      </c>
    </row>
    <row r="4" spans="1:232" s="1" customFormat="1" ht="15" customHeight="1" x14ac:dyDescent="0.25">
      <c r="A4" s="3"/>
      <c r="B4" s="1" t="s">
        <v>444</v>
      </c>
      <c r="C4" s="7" t="s">
        <v>21</v>
      </c>
      <c r="D4" s="7" t="s">
        <v>67</v>
      </c>
      <c r="E4" s="7" t="s">
        <v>2</v>
      </c>
      <c r="F4" s="7" t="s">
        <v>3</v>
      </c>
      <c r="G4" s="10" t="s">
        <v>295</v>
      </c>
      <c r="H4" s="11" t="s">
        <v>397</v>
      </c>
      <c r="I4" s="11" t="s">
        <v>296</v>
      </c>
      <c r="J4" s="11" t="s">
        <v>398</v>
      </c>
      <c r="K4" s="11" t="s">
        <v>297</v>
      </c>
      <c r="L4" s="11" t="s">
        <v>399</v>
      </c>
      <c r="M4" s="11" t="s">
        <v>298</v>
      </c>
      <c r="N4" s="11" t="s">
        <v>400</v>
      </c>
      <c r="O4" s="11" t="s">
        <v>299</v>
      </c>
      <c r="P4" s="11" t="s">
        <v>300</v>
      </c>
      <c r="Q4" s="11" t="s">
        <v>301</v>
      </c>
      <c r="R4" s="11" t="s">
        <v>302</v>
      </c>
      <c r="S4" s="11" t="s">
        <v>303</v>
      </c>
      <c r="T4" s="11" t="s">
        <v>304</v>
      </c>
      <c r="U4" s="11" t="s">
        <v>305</v>
      </c>
      <c r="V4" s="11" t="s">
        <v>306</v>
      </c>
      <c r="W4" s="11" t="s">
        <v>307</v>
      </c>
      <c r="X4" s="11" t="s">
        <v>308</v>
      </c>
      <c r="Y4" s="11" t="s">
        <v>406</v>
      </c>
      <c r="Z4" s="11" t="s">
        <v>407</v>
      </c>
      <c r="AA4" s="11" t="s">
        <v>408</v>
      </c>
      <c r="AB4" s="11" t="s">
        <v>309</v>
      </c>
      <c r="AC4" s="11" t="s">
        <v>430</v>
      </c>
      <c r="AD4" s="11" t="s">
        <v>431</v>
      </c>
      <c r="AE4" s="11" t="s">
        <v>432</v>
      </c>
      <c r="AF4" s="11" t="s">
        <v>310</v>
      </c>
      <c r="AG4" s="11" t="s">
        <v>433</v>
      </c>
      <c r="AH4" s="11" t="s">
        <v>434</v>
      </c>
      <c r="AI4" s="11" t="s">
        <v>313</v>
      </c>
      <c r="AJ4" s="11" t="s">
        <v>311</v>
      </c>
      <c r="AK4" s="11" t="s">
        <v>312</v>
      </c>
      <c r="AL4" s="11" t="s">
        <v>435</v>
      </c>
      <c r="AM4" s="11" t="s">
        <v>409</v>
      </c>
      <c r="AN4" s="11" t="s">
        <v>410</v>
      </c>
      <c r="AO4" s="11" t="s">
        <v>411</v>
      </c>
      <c r="AP4" s="11" t="s">
        <v>314</v>
      </c>
      <c r="AQ4" s="11" t="s">
        <v>315</v>
      </c>
      <c r="AR4" s="11" t="s">
        <v>316</v>
      </c>
      <c r="AS4" s="11" t="s">
        <v>317</v>
      </c>
      <c r="AT4" s="11" t="s">
        <v>318</v>
      </c>
      <c r="AU4" s="11" t="s">
        <v>319</v>
      </c>
      <c r="AV4" s="11" t="s">
        <v>320</v>
      </c>
      <c r="AW4" s="11" t="s">
        <v>321</v>
      </c>
      <c r="AX4" s="11" t="s">
        <v>322</v>
      </c>
      <c r="AY4" s="11" t="s">
        <v>323</v>
      </c>
      <c r="AZ4" s="11" t="s">
        <v>324</v>
      </c>
      <c r="BA4" s="11" t="s">
        <v>325</v>
      </c>
      <c r="BB4" s="11" t="s">
        <v>326</v>
      </c>
      <c r="BC4" s="11" t="s">
        <v>327</v>
      </c>
      <c r="BD4" s="11" t="s">
        <v>328</v>
      </c>
      <c r="BE4" s="11" t="s">
        <v>329</v>
      </c>
      <c r="BF4" s="11" t="s">
        <v>330</v>
      </c>
      <c r="BG4" s="11" t="s">
        <v>331</v>
      </c>
      <c r="BH4" s="11" t="s">
        <v>332</v>
      </c>
      <c r="BI4" s="11" t="s">
        <v>333</v>
      </c>
      <c r="BJ4" s="11" t="s">
        <v>334</v>
      </c>
      <c r="BK4" s="11" t="s">
        <v>335</v>
      </c>
      <c r="BL4" s="11" t="s">
        <v>336</v>
      </c>
      <c r="BM4" s="11" t="s">
        <v>337</v>
      </c>
      <c r="BN4" s="11" t="s">
        <v>338</v>
      </c>
      <c r="BO4" s="11" t="s">
        <v>339</v>
      </c>
      <c r="BP4" s="11" t="s">
        <v>340</v>
      </c>
      <c r="BQ4" s="11" t="s">
        <v>341</v>
      </c>
      <c r="BR4" s="11" t="s">
        <v>342</v>
      </c>
      <c r="BS4" s="11" t="s">
        <v>343</v>
      </c>
      <c r="BT4" s="11" t="s">
        <v>344</v>
      </c>
      <c r="BU4" s="11" t="s">
        <v>345</v>
      </c>
      <c r="BV4" s="11" t="s">
        <v>346</v>
      </c>
      <c r="BW4" s="11" t="s">
        <v>347</v>
      </c>
      <c r="BX4" s="11" t="s">
        <v>348</v>
      </c>
      <c r="BY4" s="11" t="s">
        <v>349</v>
      </c>
      <c r="BZ4" s="11" t="s">
        <v>350</v>
      </c>
      <c r="CA4" s="11" t="s">
        <v>351</v>
      </c>
      <c r="CB4" s="11" t="s">
        <v>352</v>
      </c>
      <c r="CC4" s="11" t="s">
        <v>353</v>
      </c>
      <c r="CD4" s="11" t="s">
        <v>354</v>
      </c>
      <c r="CE4" s="11" t="s">
        <v>355</v>
      </c>
      <c r="CF4" s="11" t="s">
        <v>356</v>
      </c>
      <c r="CG4" s="11" t="s">
        <v>357</v>
      </c>
      <c r="CH4" s="11" t="s">
        <v>358</v>
      </c>
      <c r="CI4" s="11" t="s">
        <v>359</v>
      </c>
      <c r="CJ4" s="11" t="s">
        <v>360</v>
      </c>
      <c r="CK4" s="11" t="s">
        <v>412</v>
      </c>
      <c r="CL4" s="11" t="s">
        <v>361</v>
      </c>
      <c r="CM4" s="11" t="s">
        <v>362</v>
      </c>
      <c r="CN4" s="11" t="s">
        <v>363</v>
      </c>
      <c r="CO4" s="11" t="s">
        <v>364</v>
      </c>
      <c r="CP4" s="11" t="s">
        <v>365</v>
      </c>
      <c r="CQ4" s="11" t="s">
        <v>366</v>
      </c>
      <c r="CR4" s="11" t="s">
        <v>367</v>
      </c>
      <c r="CS4" s="11" t="s">
        <v>369</v>
      </c>
      <c r="CT4" s="11" t="s">
        <v>368</v>
      </c>
      <c r="CU4" s="11" t="s">
        <v>370</v>
      </c>
      <c r="CV4" s="11" t="s">
        <v>371</v>
      </c>
      <c r="CW4" s="11" t="s">
        <v>372</v>
      </c>
      <c r="CX4" s="11" t="s">
        <v>373</v>
      </c>
      <c r="CY4" s="11" t="s">
        <v>374</v>
      </c>
      <c r="CZ4" s="11" t="s">
        <v>375</v>
      </c>
      <c r="DA4" s="11" t="s">
        <v>376</v>
      </c>
      <c r="DB4" s="11" t="s">
        <v>377</v>
      </c>
      <c r="DC4" s="11" t="s">
        <v>378</v>
      </c>
      <c r="DD4" s="11" t="s">
        <v>379</v>
      </c>
      <c r="DE4" s="11" t="s">
        <v>380</v>
      </c>
      <c r="DF4" s="11" t="s">
        <v>381</v>
      </c>
      <c r="DG4" s="11" t="s">
        <v>382</v>
      </c>
      <c r="DH4" s="11" t="s">
        <v>383</v>
      </c>
      <c r="DI4" s="11" t="s">
        <v>384</v>
      </c>
      <c r="DJ4" s="11" t="s">
        <v>413</v>
      </c>
      <c r="DK4" s="11" t="s">
        <v>385</v>
      </c>
      <c r="DL4" s="11" t="s">
        <v>386</v>
      </c>
      <c r="DM4" s="11" t="s">
        <v>387</v>
      </c>
      <c r="DN4" s="11" t="s">
        <v>388</v>
      </c>
      <c r="DO4" s="11" t="s">
        <v>389</v>
      </c>
      <c r="DP4" s="10" t="s">
        <v>200</v>
      </c>
      <c r="DQ4" s="11" t="s">
        <v>396</v>
      </c>
      <c r="DR4" s="11" t="s">
        <v>201</v>
      </c>
      <c r="DS4" s="11" t="s">
        <v>394</v>
      </c>
      <c r="DT4" s="11" t="s">
        <v>202</v>
      </c>
      <c r="DU4" s="11" t="s">
        <v>395</v>
      </c>
      <c r="DV4" s="11" t="s">
        <v>203</v>
      </c>
      <c r="DW4" s="11" t="s">
        <v>393</v>
      </c>
      <c r="DX4" s="11" t="s">
        <v>204</v>
      </c>
      <c r="DY4" s="11" t="s">
        <v>205</v>
      </c>
      <c r="DZ4" s="11" t="s">
        <v>206</v>
      </c>
      <c r="EA4" s="11" t="s">
        <v>207</v>
      </c>
      <c r="EB4" s="11" t="s">
        <v>208</v>
      </c>
      <c r="EC4" s="11" t="s">
        <v>209</v>
      </c>
      <c r="ED4" s="11" t="s">
        <v>210</v>
      </c>
      <c r="EE4" s="11" t="s">
        <v>211</v>
      </c>
      <c r="EF4" s="11" t="s">
        <v>212</v>
      </c>
      <c r="EG4" s="11" t="s">
        <v>213</v>
      </c>
      <c r="EH4" s="11" t="s">
        <v>414</v>
      </c>
      <c r="EI4" s="11" t="s">
        <v>415</v>
      </c>
      <c r="EJ4" s="11" t="s">
        <v>416</v>
      </c>
      <c r="EK4" s="11" t="s">
        <v>214</v>
      </c>
      <c r="EL4" s="11" t="s">
        <v>436</v>
      </c>
      <c r="EM4" s="11" t="s">
        <v>437</v>
      </c>
      <c r="EN4" s="11" t="s">
        <v>438</v>
      </c>
      <c r="EO4" s="11" t="s">
        <v>215</v>
      </c>
      <c r="EP4" s="11" t="s">
        <v>439</v>
      </c>
      <c r="EQ4" s="11" t="s">
        <v>440</v>
      </c>
      <c r="ER4" s="11" t="s">
        <v>218</v>
      </c>
      <c r="ES4" s="11" t="s">
        <v>216</v>
      </c>
      <c r="ET4" s="11" t="s">
        <v>217</v>
      </c>
      <c r="EU4" s="11" t="s">
        <v>441</v>
      </c>
      <c r="EV4" s="11" t="s">
        <v>417</v>
      </c>
      <c r="EW4" s="11" t="s">
        <v>418</v>
      </c>
      <c r="EX4" s="11" t="s">
        <v>419</v>
      </c>
      <c r="EY4" s="11" t="s">
        <v>219</v>
      </c>
      <c r="EZ4" s="11" t="s">
        <v>220</v>
      </c>
      <c r="FA4" s="11" t="s">
        <v>221</v>
      </c>
      <c r="FB4" s="11" t="s">
        <v>222</v>
      </c>
      <c r="FC4" s="11" t="s">
        <v>223</v>
      </c>
      <c r="FD4" s="11" t="s">
        <v>224</v>
      </c>
      <c r="FE4" s="11" t="s">
        <v>225</v>
      </c>
      <c r="FF4" s="11" t="s">
        <v>226</v>
      </c>
      <c r="FG4" s="11" t="s">
        <v>227</v>
      </c>
      <c r="FH4" s="11" t="s">
        <v>228</v>
      </c>
      <c r="FI4" s="11" t="s">
        <v>229</v>
      </c>
      <c r="FJ4" s="11" t="s">
        <v>230</v>
      </c>
      <c r="FK4" s="11" t="s">
        <v>231</v>
      </c>
      <c r="FL4" s="11" t="s">
        <v>232</v>
      </c>
      <c r="FM4" s="11" t="s">
        <v>233</v>
      </c>
      <c r="FN4" s="11" t="s">
        <v>234</v>
      </c>
      <c r="FO4" s="11" t="s">
        <v>235</v>
      </c>
      <c r="FP4" s="11" t="s">
        <v>236</v>
      </c>
      <c r="FQ4" s="11" t="s">
        <v>237</v>
      </c>
      <c r="FR4" s="11" t="s">
        <v>238</v>
      </c>
      <c r="FS4" s="11" t="s">
        <v>239</v>
      </c>
      <c r="FT4" s="11" t="s">
        <v>240</v>
      </c>
      <c r="FU4" s="11" t="s">
        <v>241</v>
      </c>
      <c r="FV4" s="11" t="s">
        <v>242</v>
      </c>
      <c r="FW4" s="11" t="s">
        <v>243</v>
      </c>
      <c r="FX4" s="11" t="s">
        <v>244</v>
      </c>
      <c r="FY4" s="11" t="s">
        <v>245</v>
      </c>
      <c r="FZ4" s="11" t="s">
        <v>246</v>
      </c>
      <c r="GA4" s="11" t="s">
        <v>247</v>
      </c>
      <c r="GB4" s="11" t="s">
        <v>248</v>
      </c>
      <c r="GC4" s="11" t="s">
        <v>249</v>
      </c>
      <c r="GD4" s="11" t="s">
        <v>250</v>
      </c>
      <c r="GE4" s="11" t="s">
        <v>251</v>
      </c>
      <c r="GF4" s="11" t="s">
        <v>252</v>
      </c>
      <c r="GG4" s="11" t="s">
        <v>253</v>
      </c>
      <c r="GH4" s="11" t="s">
        <v>254</v>
      </c>
      <c r="GI4" s="11" t="s">
        <v>255</v>
      </c>
      <c r="GJ4" s="11" t="s">
        <v>256</v>
      </c>
      <c r="GK4" s="11" t="s">
        <v>257</v>
      </c>
      <c r="GL4" s="11" t="s">
        <v>258</v>
      </c>
      <c r="GM4" s="11" t="s">
        <v>259</v>
      </c>
      <c r="GN4" s="11" t="s">
        <v>260</v>
      </c>
      <c r="GO4" s="11" t="s">
        <v>261</v>
      </c>
      <c r="GP4" s="11" t="s">
        <v>262</v>
      </c>
      <c r="GQ4" s="11" t="s">
        <v>263</v>
      </c>
      <c r="GR4" s="11" t="s">
        <v>264</v>
      </c>
      <c r="GS4" s="11" t="s">
        <v>265</v>
      </c>
      <c r="GT4" s="11" t="s">
        <v>420</v>
      </c>
      <c r="GU4" s="11" t="s">
        <v>266</v>
      </c>
      <c r="GV4" s="11" t="s">
        <v>267</v>
      </c>
      <c r="GW4" s="11" t="s">
        <v>268</v>
      </c>
      <c r="GX4" s="11" t="s">
        <v>269</v>
      </c>
      <c r="GY4" s="11" t="s">
        <v>270</v>
      </c>
      <c r="GZ4" s="11" t="s">
        <v>271</v>
      </c>
      <c r="HA4" s="11" t="s">
        <v>272</v>
      </c>
      <c r="HB4" s="11" t="s">
        <v>274</v>
      </c>
      <c r="HC4" s="11" t="s">
        <v>273</v>
      </c>
      <c r="HD4" s="11" t="s">
        <v>275</v>
      </c>
      <c r="HE4" s="11" t="s">
        <v>276</v>
      </c>
      <c r="HF4" s="11" t="s">
        <v>277</v>
      </c>
      <c r="HG4" s="11" t="s">
        <v>278</v>
      </c>
      <c r="HH4" s="11" t="s">
        <v>279</v>
      </c>
      <c r="HI4" s="11" t="s">
        <v>280</v>
      </c>
      <c r="HJ4" s="11" t="s">
        <v>281</v>
      </c>
      <c r="HK4" s="11" t="s">
        <v>282</v>
      </c>
      <c r="HL4" s="11" t="s">
        <v>283</v>
      </c>
      <c r="HM4" s="11" t="s">
        <v>284</v>
      </c>
      <c r="HN4" s="11" t="s">
        <v>285</v>
      </c>
      <c r="HO4" s="11" t="s">
        <v>286</v>
      </c>
      <c r="HP4" s="11" t="s">
        <v>287</v>
      </c>
      <c r="HQ4" s="11" t="s">
        <v>288</v>
      </c>
      <c r="HR4" s="11" t="s">
        <v>289</v>
      </c>
      <c r="HS4" s="11" t="s">
        <v>421</v>
      </c>
      <c r="HT4" s="11" t="s">
        <v>290</v>
      </c>
      <c r="HU4" s="11" t="s">
        <v>291</v>
      </c>
      <c r="HV4" s="11" t="s">
        <v>292</v>
      </c>
      <c r="HW4" s="11" t="s">
        <v>293</v>
      </c>
      <c r="HX4" s="12" t="s">
        <v>294</v>
      </c>
    </row>
    <row r="5" spans="1:232" x14ac:dyDescent="0.25">
      <c r="A5" s="14"/>
      <c r="C5" s="1" t="s">
        <v>391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445</v>
      </c>
      <c r="C6" s="25" t="s">
        <v>66</v>
      </c>
      <c r="D6" s="25" t="s">
        <v>68</v>
      </c>
      <c r="E6" s="25" t="s">
        <v>69</v>
      </c>
      <c r="F6" s="25" t="s">
        <v>70</v>
      </c>
      <c r="G6" s="25" t="s">
        <v>295</v>
      </c>
      <c r="H6" s="25" t="s">
        <v>397</v>
      </c>
      <c r="I6" s="25" t="s">
        <v>296</v>
      </c>
      <c r="J6" s="25" t="s">
        <v>398</v>
      </c>
      <c r="K6" s="25" t="s">
        <v>297</v>
      </c>
      <c r="L6" s="25" t="s">
        <v>399</v>
      </c>
      <c r="M6" s="25" t="s">
        <v>298</v>
      </c>
      <c r="N6" s="25" t="s">
        <v>400</v>
      </c>
      <c r="O6" s="25" t="s">
        <v>299</v>
      </c>
      <c r="P6" s="25" t="s">
        <v>300</v>
      </c>
      <c r="Q6" s="25" t="s">
        <v>301</v>
      </c>
      <c r="R6" s="25" t="s">
        <v>302</v>
      </c>
      <c r="S6" s="25" t="s">
        <v>303</v>
      </c>
      <c r="T6" s="25" t="s">
        <v>304</v>
      </c>
      <c r="U6" s="25" t="s">
        <v>305</v>
      </c>
      <c r="V6" s="25" t="s">
        <v>306</v>
      </c>
      <c r="W6" s="25" t="s">
        <v>307</v>
      </c>
      <c r="X6" s="25" t="s">
        <v>308</v>
      </c>
      <c r="Y6" s="25" t="s">
        <v>406</v>
      </c>
      <c r="Z6" s="25" t="s">
        <v>407</v>
      </c>
      <c r="AA6" s="25" t="s">
        <v>408</v>
      </c>
      <c r="AB6" s="25" t="s">
        <v>309</v>
      </c>
      <c r="AC6" s="25" t="s">
        <v>430</v>
      </c>
      <c r="AD6" s="25" t="s">
        <v>431</v>
      </c>
      <c r="AE6" s="25" t="s">
        <v>432</v>
      </c>
      <c r="AF6" s="25" t="s">
        <v>310</v>
      </c>
      <c r="AG6" s="25" t="s">
        <v>433</v>
      </c>
      <c r="AH6" s="25" t="s">
        <v>434</v>
      </c>
      <c r="AI6" s="25" t="s">
        <v>313</v>
      </c>
      <c r="AJ6" s="25" t="s">
        <v>311</v>
      </c>
      <c r="AK6" s="25" t="s">
        <v>312</v>
      </c>
      <c r="AL6" s="25" t="s">
        <v>435</v>
      </c>
      <c r="AM6" s="25" t="s">
        <v>409</v>
      </c>
      <c r="AN6" s="25" t="s">
        <v>410</v>
      </c>
      <c r="AO6" s="25" t="s">
        <v>411</v>
      </c>
      <c r="AP6" s="25" t="s">
        <v>314</v>
      </c>
      <c r="AQ6" s="25" t="s">
        <v>315</v>
      </c>
      <c r="AR6" s="25" t="s">
        <v>316</v>
      </c>
      <c r="AS6" s="25" t="s">
        <v>317</v>
      </c>
      <c r="AT6" s="25" t="s">
        <v>318</v>
      </c>
      <c r="AU6" s="25" t="s">
        <v>319</v>
      </c>
      <c r="AV6" s="25" t="s">
        <v>320</v>
      </c>
      <c r="AW6" s="25" t="s">
        <v>321</v>
      </c>
      <c r="AX6" s="25" t="s">
        <v>322</v>
      </c>
      <c r="AY6" s="25" t="s">
        <v>323</v>
      </c>
      <c r="AZ6" s="25" t="s">
        <v>324</v>
      </c>
      <c r="BA6" s="25" t="s">
        <v>325</v>
      </c>
      <c r="BB6" s="25" t="s">
        <v>326</v>
      </c>
      <c r="BC6" s="25" t="s">
        <v>327</v>
      </c>
      <c r="BD6" s="25" t="s">
        <v>328</v>
      </c>
      <c r="BE6" s="25" t="s">
        <v>329</v>
      </c>
      <c r="BF6" s="25" t="s">
        <v>330</v>
      </c>
      <c r="BG6" s="25" t="s">
        <v>331</v>
      </c>
      <c r="BH6" s="25" t="s">
        <v>332</v>
      </c>
      <c r="BI6" s="25" t="s">
        <v>333</v>
      </c>
      <c r="BJ6" s="25" t="s">
        <v>334</v>
      </c>
      <c r="BK6" s="25" t="s">
        <v>335</v>
      </c>
      <c r="BL6" s="25" t="s">
        <v>336</v>
      </c>
      <c r="BM6" s="25" t="s">
        <v>337</v>
      </c>
      <c r="BN6" s="25" t="s">
        <v>338</v>
      </c>
      <c r="BO6" s="25" t="s">
        <v>339</v>
      </c>
      <c r="BP6" s="25" t="s">
        <v>340</v>
      </c>
      <c r="BQ6" s="25" t="s">
        <v>341</v>
      </c>
      <c r="BR6" s="25" t="s">
        <v>342</v>
      </c>
      <c r="BS6" s="25" t="s">
        <v>343</v>
      </c>
      <c r="BT6" s="25" t="s">
        <v>344</v>
      </c>
      <c r="BU6" s="25" t="s">
        <v>345</v>
      </c>
      <c r="BV6" s="25" t="s">
        <v>346</v>
      </c>
      <c r="BW6" s="25" t="s">
        <v>347</v>
      </c>
      <c r="BX6" s="25" t="s">
        <v>348</v>
      </c>
      <c r="BY6" s="25" t="s">
        <v>349</v>
      </c>
      <c r="BZ6" s="25" t="s">
        <v>350</v>
      </c>
      <c r="CA6" s="25" t="s">
        <v>351</v>
      </c>
      <c r="CB6" s="25" t="s">
        <v>352</v>
      </c>
      <c r="CC6" s="25" t="s">
        <v>353</v>
      </c>
      <c r="CD6" s="25" t="s">
        <v>354</v>
      </c>
      <c r="CE6" s="25" t="s">
        <v>355</v>
      </c>
      <c r="CF6" s="25" t="s">
        <v>356</v>
      </c>
      <c r="CG6" s="25" t="s">
        <v>357</v>
      </c>
      <c r="CH6" s="25" t="s">
        <v>358</v>
      </c>
      <c r="CI6" s="25" t="s">
        <v>359</v>
      </c>
      <c r="CJ6" s="25" t="s">
        <v>360</v>
      </c>
      <c r="CK6" s="25" t="s">
        <v>412</v>
      </c>
      <c r="CL6" s="25" t="s">
        <v>361</v>
      </c>
      <c r="CM6" s="25" t="s">
        <v>362</v>
      </c>
      <c r="CN6" s="25" t="s">
        <v>363</v>
      </c>
      <c r="CO6" s="25" t="s">
        <v>364</v>
      </c>
      <c r="CP6" s="25" t="s">
        <v>365</v>
      </c>
      <c r="CQ6" s="25" t="s">
        <v>366</v>
      </c>
      <c r="CR6" s="25" t="s">
        <v>367</v>
      </c>
      <c r="CS6" s="25" t="s">
        <v>369</v>
      </c>
      <c r="CT6" s="25" t="s">
        <v>368</v>
      </c>
      <c r="CU6" s="25" t="s">
        <v>370</v>
      </c>
      <c r="CV6" s="25" t="s">
        <v>371</v>
      </c>
      <c r="CW6" s="25" t="s">
        <v>372</v>
      </c>
      <c r="CX6" s="25" t="s">
        <v>373</v>
      </c>
      <c r="CY6" s="25" t="s">
        <v>374</v>
      </c>
      <c r="CZ6" s="25" t="s">
        <v>375</v>
      </c>
      <c r="DA6" s="25" t="s">
        <v>376</v>
      </c>
      <c r="DB6" s="25" t="s">
        <v>377</v>
      </c>
      <c r="DC6" s="25" t="s">
        <v>378</v>
      </c>
      <c r="DD6" s="25" t="s">
        <v>379</v>
      </c>
      <c r="DE6" s="25" t="s">
        <v>380</v>
      </c>
      <c r="DF6" s="25" t="s">
        <v>381</v>
      </c>
      <c r="DG6" s="25" t="s">
        <v>382</v>
      </c>
      <c r="DH6" s="25" t="s">
        <v>383</v>
      </c>
      <c r="DI6" s="25" t="s">
        <v>384</v>
      </c>
      <c r="DJ6" s="25" t="s">
        <v>413</v>
      </c>
      <c r="DK6" s="25" t="s">
        <v>385</v>
      </c>
      <c r="DL6" s="25" t="s">
        <v>386</v>
      </c>
      <c r="DM6" s="25" t="s">
        <v>387</v>
      </c>
      <c r="DN6" s="25" t="s">
        <v>388</v>
      </c>
      <c r="DO6" s="25" t="s">
        <v>389</v>
      </c>
      <c r="DP6" s="25" t="s">
        <v>200</v>
      </c>
      <c r="DQ6" s="25" t="s">
        <v>396</v>
      </c>
      <c r="DR6" s="25" t="s">
        <v>201</v>
      </c>
      <c r="DS6" s="25" t="s">
        <v>394</v>
      </c>
      <c r="DT6" s="25" t="s">
        <v>202</v>
      </c>
      <c r="DU6" s="25" t="s">
        <v>395</v>
      </c>
      <c r="DV6" s="25" t="s">
        <v>203</v>
      </c>
      <c r="DW6" s="25" t="s">
        <v>393</v>
      </c>
      <c r="DX6" s="25" t="s">
        <v>204</v>
      </c>
      <c r="DY6" s="25" t="s">
        <v>205</v>
      </c>
      <c r="DZ6" s="25" t="s">
        <v>206</v>
      </c>
      <c r="EA6" s="25" t="s">
        <v>207</v>
      </c>
      <c r="EB6" s="25" t="s">
        <v>208</v>
      </c>
      <c r="EC6" s="25" t="s">
        <v>209</v>
      </c>
      <c r="ED6" s="25" t="s">
        <v>210</v>
      </c>
      <c r="EE6" s="25" t="s">
        <v>211</v>
      </c>
      <c r="EF6" s="25" t="s">
        <v>212</v>
      </c>
      <c r="EG6" s="25" t="s">
        <v>213</v>
      </c>
      <c r="EH6" s="25" t="s">
        <v>414</v>
      </c>
      <c r="EI6" s="25" t="s">
        <v>415</v>
      </c>
      <c r="EJ6" s="25" t="s">
        <v>416</v>
      </c>
      <c r="EK6" s="25" t="s">
        <v>214</v>
      </c>
      <c r="EL6" s="25" t="s">
        <v>436</v>
      </c>
      <c r="EM6" s="25" t="s">
        <v>437</v>
      </c>
      <c r="EN6" s="25" t="s">
        <v>438</v>
      </c>
      <c r="EO6" s="25" t="s">
        <v>215</v>
      </c>
      <c r="EP6" s="25" t="s">
        <v>439</v>
      </c>
      <c r="EQ6" s="25" t="s">
        <v>440</v>
      </c>
      <c r="ER6" s="25" t="s">
        <v>218</v>
      </c>
      <c r="ES6" s="25" t="s">
        <v>216</v>
      </c>
      <c r="ET6" s="25" t="s">
        <v>217</v>
      </c>
      <c r="EU6" s="25" t="s">
        <v>441</v>
      </c>
      <c r="EV6" s="25" t="s">
        <v>417</v>
      </c>
      <c r="EW6" s="25" t="s">
        <v>418</v>
      </c>
      <c r="EX6" s="25" t="s">
        <v>419</v>
      </c>
      <c r="EY6" s="25" t="s">
        <v>219</v>
      </c>
      <c r="EZ6" s="25" t="s">
        <v>220</v>
      </c>
      <c r="FA6" s="25" t="s">
        <v>221</v>
      </c>
      <c r="FB6" s="25" t="s">
        <v>222</v>
      </c>
      <c r="FC6" s="25" t="s">
        <v>223</v>
      </c>
      <c r="FD6" s="25" t="s">
        <v>224</v>
      </c>
      <c r="FE6" s="25" t="s">
        <v>225</v>
      </c>
      <c r="FF6" s="25" t="s">
        <v>226</v>
      </c>
      <c r="FG6" s="25" t="s">
        <v>227</v>
      </c>
      <c r="FH6" s="25" t="s">
        <v>228</v>
      </c>
      <c r="FI6" s="25" t="s">
        <v>229</v>
      </c>
      <c r="FJ6" s="25" t="s">
        <v>230</v>
      </c>
      <c r="FK6" s="25" t="s">
        <v>231</v>
      </c>
      <c r="FL6" s="25" t="s">
        <v>232</v>
      </c>
      <c r="FM6" s="25" t="s">
        <v>233</v>
      </c>
      <c r="FN6" s="25" t="s">
        <v>234</v>
      </c>
      <c r="FO6" s="25" t="s">
        <v>235</v>
      </c>
      <c r="FP6" s="25" t="s">
        <v>236</v>
      </c>
      <c r="FQ6" s="25" t="s">
        <v>237</v>
      </c>
      <c r="FR6" s="25" t="s">
        <v>238</v>
      </c>
      <c r="FS6" s="25" t="s">
        <v>239</v>
      </c>
      <c r="FT6" s="25" t="s">
        <v>240</v>
      </c>
      <c r="FU6" s="25" t="s">
        <v>241</v>
      </c>
      <c r="FV6" s="25" t="s">
        <v>242</v>
      </c>
      <c r="FW6" s="25" t="s">
        <v>243</v>
      </c>
      <c r="FX6" s="25" t="s">
        <v>244</v>
      </c>
      <c r="FY6" s="25" t="s">
        <v>245</v>
      </c>
      <c r="FZ6" s="25" t="s">
        <v>246</v>
      </c>
      <c r="GA6" s="25" t="s">
        <v>247</v>
      </c>
      <c r="GB6" s="25" t="s">
        <v>248</v>
      </c>
      <c r="GC6" s="25" t="s">
        <v>249</v>
      </c>
      <c r="GD6" s="25" t="s">
        <v>250</v>
      </c>
      <c r="GE6" s="25" t="s">
        <v>251</v>
      </c>
      <c r="GF6" s="25" t="s">
        <v>252</v>
      </c>
      <c r="GG6" s="25" t="s">
        <v>253</v>
      </c>
      <c r="GH6" s="25" t="s">
        <v>254</v>
      </c>
      <c r="GI6" s="25" t="s">
        <v>255</v>
      </c>
      <c r="GJ6" s="25" t="s">
        <v>256</v>
      </c>
      <c r="GK6" s="25" t="s">
        <v>257</v>
      </c>
      <c r="GL6" s="25" t="s">
        <v>258</v>
      </c>
      <c r="GM6" s="25" t="s">
        <v>259</v>
      </c>
      <c r="GN6" s="25" t="s">
        <v>260</v>
      </c>
      <c r="GO6" s="25" t="s">
        <v>261</v>
      </c>
      <c r="GP6" s="25" t="s">
        <v>262</v>
      </c>
      <c r="GQ6" s="25" t="s">
        <v>263</v>
      </c>
      <c r="GR6" s="25" t="s">
        <v>264</v>
      </c>
      <c r="GS6" s="25" t="s">
        <v>265</v>
      </c>
      <c r="GT6" s="25" t="s">
        <v>420</v>
      </c>
      <c r="GU6" s="25" t="s">
        <v>266</v>
      </c>
      <c r="GV6" s="25" t="s">
        <v>267</v>
      </c>
      <c r="GW6" s="25" t="s">
        <v>268</v>
      </c>
      <c r="GX6" s="25" t="s">
        <v>269</v>
      </c>
      <c r="GY6" s="25" t="s">
        <v>270</v>
      </c>
      <c r="GZ6" s="25" t="s">
        <v>271</v>
      </c>
      <c r="HA6" s="25" t="s">
        <v>272</v>
      </c>
      <c r="HB6" s="25" t="s">
        <v>274</v>
      </c>
      <c r="HC6" s="25" t="s">
        <v>273</v>
      </c>
      <c r="HD6" s="25" t="s">
        <v>275</v>
      </c>
      <c r="HE6" s="25" t="s">
        <v>276</v>
      </c>
      <c r="HF6" s="25" t="s">
        <v>277</v>
      </c>
      <c r="HG6" s="25" t="s">
        <v>278</v>
      </c>
      <c r="HH6" s="25" t="s">
        <v>279</v>
      </c>
      <c r="HI6" s="25" t="s">
        <v>280</v>
      </c>
      <c r="HJ6" s="25" t="s">
        <v>281</v>
      </c>
      <c r="HK6" s="25" t="s">
        <v>282</v>
      </c>
      <c r="HL6" s="25" t="s">
        <v>283</v>
      </c>
      <c r="HM6" s="25" t="s">
        <v>284</v>
      </c>
      <c r="HN6" s="25" t="s">
        <v>285</v>
      </c>
      <c r="HO6" s="25" t="s">
        <v>286</v>
      </c>
      <c r="HP6" s="25" t="s">
        <v>287</v>
      </c>
      <c r="HQ6" s="25" t="s">
        <v>288</v>
      </c>
      <c r="HR6" s="25" t="s">
        <v>289</v>
      </c>
      <c r="HS6" s="25" t="s">
        <v>421</v>
      </c>
      <c r="HT6" s="25" t="s">
        <v>290</v>
      </c>
      <c r="HU6" s="25" t="s">
        <v>291</v>
      </c>
      <c r="HV6" s="25" t="s">
        <v>292</v>
      </c>
      <c r="HW6" s="25" t="s">
        <v>293</v>
      </c>
      <c r="HX6" s="25" t="s">
        <v>294</v>
      </c>
    </row>
    <row r="7" spans="1:232" x14ac:dyDescent="0.25">
      <c r="A7" s="15"/>
      <c r="B7" s="79" t="str">
        <f>targets[Dsnulist]&amp;" "&amp;targets[D_indicatortype]&amp;" "&amp;targets[D_mechanismid]</f>
        <v xml:space="preserve">  </v>
      </c>
      <c r="C7" s="39"/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9"/>
      <c r="C12"/>
      <c r="D12"/>
      <c r="E12"/>
      <c r="F12"/>
    </row>
    <row r="13" spans="1:232" x14ac:dyDescent="0.25">
      <c r="A13" s="19"/>
      <c r="C13"/>
      <c r="D13"/>
      <c r="E13"/>
      <c r="F13"/>
    </row>
    <row r="14" spans="1:232" x14ac:dyDescent="0.25">
      <c r="A14" s="19"/>
      <c r="C14"/>
      <c r="D14"/>
      <c r="E14"/>
      <c r="F14"/>
    </row>
    <row r="15" spans="1:232" x14ac:dyDescent="0.25">
      <c r="A15" s="19"/>
      <c r="C15"/>
      <c r="D15"/>
      <c r="E15"/>
      <c r="F15"/>
    </row>
    <row r="16" spans="1:232" x14ac:dyDescent="0.25">
      <c r="A16" s="19"/>
      <c r="C16"/>
      <c r="D16"/>
      <c r="E16"/>
      <c r="F16"/>
    </row>
    <row r="17" spans="1:6" x14ac:dyDescent="0.25">
      <c r="A17" s="19"/>
      <c r="C17"/>
      <c r="D17"/>
      <c r="E17"/>
      <c r="F17"/>
    </row>
    <row r="18" spans="1:6" x14ac:dyDescent="0.25">
      <c r="A18" s="19"/>
      <c r="C18"/>
      <c r="D18"/>
      <c r="E18"/>
      <c r="F18"/>
    </row>
    <row r="19" spans="1:6" x14ac:dyDescent="0.25">
      <c r="A19" s="19"/>
      <c r="C19"/>
      <c r="D19"/>
      <c r="E19"/>
      <c r="F19"/>
    </row>
    <row r="20" spans="1:6" x14ac:dyDescent="0.25">
      <c r="A20" s="19"/>
      <c r="C20"/>
      <c r="D20"/>
      <c r="E20"/>
      <c r="F20"/>
    </row>
    <row r="21" spans="1:6" x14ac:dyDescent="0.25">
      <c r="A21" s="19"/>
      <c r="C21"/>
      <c r="D21"/>
      <c r="E21"/>
      <c r="F21"/>
    </row>
    <row r="22" spans="1:6" x14ac:dyDescent="0.25">
      <c r="A22" s="19"/>
      <c r="C22"/>
      <c r="D22"/>
      <c r="E22"/>
      <c r="F22"/>
    </row>
    <row r="23" spans="1:6" x14ac:dyDescent="0.25">
      <c r="A23" s="19"/>
      <c r="C23"/>
      <c r="D23"/>
      <c r="E23"/>
      <c r="F23"/>
    </row>
    <row r="24" spans="1:6" x14ac:dyDescent="0.25">
      <c r="A24" s="19"/>
      <c r="C24"/>
      <c r="D24"/>
      <c r="E24"/>
      <c r="F24"/>
    </row>
    <row r="25" spans="1:6" x14ac:dyDescent="0.25">
      <c r="A25" s="19"/>
      <c r="C25"/>
      <c r="D25"/>
      <c r="E25"/>
      <c r="F25"/>
    </row>
    <row r="26" spans="1:6" x14ac:dyDescent="0.25">
      <c r="A26" s="19"/>
      <c r="C26"/>
      <c r="D26"/>
      <c r="E26"/>
      <c r="F26"/>
    </row>
    <row r="27" spans="1:6" x14ac:dyDescent="0.25">
      <c r="A27" s="19"/>
      <c r="C27"/>
      <c r="D27"/>
      <c r="E27"/>
      <c r="F27"/>
    </row>
    <row r="28" spans="1:6" x14ac:dyDescent="0.25">
      <c r="A28" s="19"/>
      <c r="C28"/>
      <c r="D28"/>
      <c r="E28"/>
      <c r="F28"/>
    </row>
    <row r="29" spans="1:6" x14ac:dyDescent="0.25">
      <c r="A29" s="19"/>
      <c r="C29"/>
      <c r="D29"/>
      <c r="E29"/>
      <c r="F29"/>
    </row>
    <row r="30" spans="1:6" x14ac:dyDescent="0.25">
      <c r="A30" s="19"/>
      <c r="C30"/>
      <c r="D30"/>
      <c r="E30"/>
      <c r="F30"/>
    </row>
    <row r="31" spans="1:6" x14ac:dyDescent="0.25">
      <c r="A31" s="19"/>
      <c r="C31"/>
      <c r="D31"/>
      <c r="E31"/>
      <c r="F31"/>
    </row>
    <row r="32" spans="1:6" x14ac:dyDescent="0.25">
      <c r="A32" s="19"/>
      <c r="C32"/>
      <c r="D32"/>
      <c r="E32"/>
      <c r="F32"/>
    </row>
    <row r="33" spans="1:6" x14ac:dyDescent="0.25">
      <c r="A33" s="19"/>
      <c r="C33"/>
      <c r="D33"/>
      <c r="E33"/>
      <c r="F33"/>
    </row>
    <row r="34" spans="1:6" x14ac:dyDescent="0.25">
      <c r="A34" s="19"/>
      <c r="C34"/>
      <c r="D34"/>
      <c r="E34"/>
      <c r="F34"/>
    </row>
    <row r="35" spans="1:6" x14ac:dyDescent="0.25">
      <c r="A35" s="19"/>
      <c r="C35"/>
      <c r="D35"/>
      <c r="E35"/>
      <c r="F35"/>
    </row>
    <row r="36" spans="1:6" x14ac:dyDescent="0.25">
      <c r="A36" s="19"/>
      <c r="C36"/>
      <c r="D36"/>
      <c r="E36"/>
      <c r="F36"/>
    </row>
    <row r="37" spans="1:6" x14ac:dyDescent="0.25">
      <c r="A37" s="19"/>
      <c r="C37"/>
      <c r="D37"/>
      <c r="E37"/>
      <c r="F37"/>
    </row>
    <row r="38" spans="1:6" x14ac:dyDescent="0.25">
      <c r="A38" s="19"/>
      <c r="C38"/>
      <c r="D38"/>
      <c r="E38"/>
      <c r="F38"/>
    </row>
    <row r="39" spans="1:6" x14ac:dyDescent="0.25">
      <c r="A39" s="19"/>
      <c r="C39"/>
      <c r="D39"/>
      <c r="E39"/>
      <c r="F39"/>
    </row>
    <row r="40" spans="1:6" x14ac:dyDescent="0.25">
      <c r="A40" s="19"/>
      <c r="C40"/>
      <c r="D40"/>
      <c r="E40"/>
      <c r="F40"/>
    </row>
    <row r="41" spans="1:6" x14ac:dyDescent="0.25">
      <c r="A41" s="19"/>
      <c r="C41"/>
      <c r="D41"/>
      <c r="E41"/>
      <c r="F41"/>
    </row>
    <row r="42" spans="1:6" x14ac:dyDescent="0.25">
      <c r="A42" s="19"/>
      <c r="C42"/>
      <c r="D42"/>
      <c r="E42"/>
      <c r="F42"/>
    </row>
    <row r="43" spans="1:6" x14ac:dyDescent="0.25">
      <c r="A43" s="19"/>
      <c r="C43"/>
      <c r="D43"/>
      <c r="E43"/>
      <c r="F43"/>
    </row>
    <row r="44" spans="1:6" x14ac:dyDescent="0.25">
      <c r="A44" s="19"/>
      <c r="C44"/>
      <c r="D44"/>
      <c r="E44"/>
      <c r="F44"/>
    </row>
    <row r="45" spans="1:6" x14ac:dyDescent="0.25">
      <c r="A45" s="19"/>
      <c r="C45"/>
      <c r="D45"/>
      <c r="E45"/>
      <c r="F45"/>
    </row>
    <row r="46" spans="1:6" x14ac:dyDescent="0.25">
      <c r="A46" s="19"/>
      <c r="C46"/>
      <c r="D46"/>
      <c r="E46"/>
      <c r="F46"/>
    </row>
    <row r="47" spans="1:6" x14ac:dyDescent="0.25">
      <c r="A47" s="19"/>
      <c r="C47"/>
      <c r="D47"/>
      <c r="E47"/>
      <c r="F47"/>
    </row>
    <row r="48" spans="1:6" x14ac:dyDescent="0.25">
      <c r="A48" s="19"/>
      <c r="C48"/>
      <c r="D48"/>
      <c r="E48"/>
      <c r="F48"/>
    </row>
    <row r="49" spans="1:6" x14ac:dyDescent="0.25">
      <c r="A49" s="19"/>
      <c r="C49"/>
      <c r="D49"/>
      <c r="E49"/>
      <c r="F49"/>
    </row>
    <row r="50" spans="1:6" x14ac:dyDescent="0.25">
      <c r="A50" s="19"/>
      <c r="C50"/>
      <c r="D50"/>
      <c r="E50"/>
      <c r="F50"/>
    </row>
    <row r="51" spans="1:6" x14ac:dyDescent="0.25">
      <c r="A51" s="19"/>
      <c r="C51"/>
      <c r="D51"/>
      <c r="E51"/>
      <c r="F51"/>
    </row>
    <row r="52" spans="1:6" x14ac:dyDescent="0.25">
      <c r="A52" s="19"/>
      <c r="C52"/>
      <c r="D52"/>
      <c r="E52"/>
      <c r="F52"/>
    </row>
    <row r="53" spans="1:6" x14ac:dyDescent="0.25">
      <c r="A53" s="19"/>
      <c r="C53"/>
      <c r="D53"/>
      <c r="E53"/>
      <c r="F53"/>
    </row>
    <row r="54" spans="1:6" x14ac:dyDescent="0.25">
      <c r="A54" s="19"/>
      <c r="C54"/>
      <c r="D54"/>
      <c r="E54"/>
      <c r="F54"/>
    </row>
    <row r="55" spans="1:6" x14ac:dyDescent="0.25">
      <c r="A55" s="19"/>
      <c r="C55"/>
      <c r="D55"/>
      <c r="E55"/>
      <c r="F55"/>
    </row>
    <row r="56" spans="1:6" x14ac:dyDescent="0.25">
      <c r="A56" s="19"/>
      <c r="C56"/>
      <c r="D56"/>
      <c r="E56"/>
      <c r="F56"/>
    </row>
    <row r="57" spans="1:6" x14ac:dyDescent="0.25">
      <c r="A57" s="19"/>
      <c r="C57"/>
      <c r="D57"/>
      <c r="E57"/>
      <c r="F57"/>
    </row>
    <row r="58" spans="1:6" x14ac:dyDescent="0.25">
      <c r="A58" s="19"/>
      <c r="C58"/>
      <c r="D58"/>
      <c r="E58"/>
      <c r="F58"/>
    </row>
    <row r="59" spans="1:6" x14ac:dyDescent="0.25">
      <c r="A59" s="19"/>
      <c r="C59"/>
      <c r="D59"/>
      <c r="E59"/>
      <c r="F59"/>
    </row>
    <row r="60" spans="1:6" x14ac:dyDescent="0.25">
      <c r="A60" s="19"/>
      <c r="C60"/>
      <c r="D60"/>
      <c r="E60"/>
      <c r="F60"/>
    </row>
    <row r="61" spans="1:6" x14ac:dyDescent="0.25">
      <c r="A61" s="19"/>
      <c r="C61"/>
      <c r="D61"/>
      <c r="E61"/>
      <c r="F61"/>
    </row>
    <row r="62" spans="1:6" x14ac:dyDescent="0.25">
      <c r="A62" s="19"/>
      <c r="C62"/>
      <c r="D62"/>
      <c r="E62"/>
      <c r="F62"/>
    </row>
    <row r="63" spans="1:6" x14ac:dyDescent="0.25">
      <c r="A63" s="19"/>
      <c r="C63"/>
      <c r="D63"/>
      <c r="E63"/>
      <c r="F63"/>
    </row>
    <row r="64" spans="1:6" x14ac:dyDescent="0.25">
      <c r="A64" s="19"/>
      <c r="C64"/>
      <c r="D64"/>
      <c r="E64"/>
      <c r="F64"/>
    </row>
    <row r="65" spans="1:6" x14ac:dyDescent="0.25">
      <c r="A65" s="19"/>
      <c r="C65"/>
      <c r="D65"/>
      <c r="E65"/>
      <c r="F65"/>
    </row>
    <row r="66" spans="1:6" x14ac:dyDescent="0.25">
      <c r="A66" s="19"/>
      <c r="C66"/>
      <c r="D66"/>
      <c r="E66"/>
      <c r="F66"/>
    </row>
    <row r="67" spans="1:6" x14ac:dyDescent="0.25">
      <c r="A67" s="19"/>
      <c r="C67"/>
      <c r="D67"/>
      <c r="E67"/>
      <c r="F67"/>
    </row>
    <row r="68" spans="1:6" x14ac:dyDescent="0.25">
      <c r="A68" s="19"/>
      <c r="C68"/>
      <c r="D68"/>
      <c r="E68"/>
      <c r="F68"/>
    </row>
    <row r="69" spans="1:6" x14ac:dyDescent="0.25">
      <c r="A69" s="19"/>
      <c r="C69"/>
      <c r="D69"/>
      <c r="E69"/>
      <c r="F69"/>
    </row>
    <row r="70" spans="1:6" x14ac:dyDescent="0.25">
      <c r="A70" s="19"/>
      <c r="C70"/>
      <c r="D70"/>
      <c r="E70"/>
      <c r="F70"/>
    </row>
    <row r="71" spans="1:6" x14ac:dyDescent="0.25">
      <c r="A71" s="19"/>
      <c r="C71"/>
      <c r="D71"/>
      <c r="E71"/>
      <c r="F71"/>
    </row>
    <row r="72" spans="1:6" x14ac:dyDescent="0.25">
      <c r="A72" s="19"/>
      <c r="C72"/>
      <c r="D72"/>
      <c r="E72"/>
      <c r="F72"/>
    </row>
    <row r="73" spans="1:6" x14ac:dyDescent="0.25">
      <c r="A73" s="19"/>
      <c r="C73"/>
      <c r="D73"/>
      <c r="E73"/>
      <c r="F73"/>
    </row>
    <row r="74" spans="1:6" x14ac:dyDescent="0.25">
      <c r="A74" s="19"/>
      <c r="C74"/>
      <c r="D74"/>
      <c r="E74"/>
      <c r="F74"/>
    </row>
    <row r="75" spans="1:6" x14ac:dyDescent="0.25">
      <c r="A75" s="19"/>
      <c r="C75"/>
      <c r="D75"/>
      <c r="E75"/>
      <c r="F75"/>
    </row>
    <row r="76" spans="1:6" x14ac:dyDescent="0.25">
      <c r="A76" s="19"/>
      <c r="C76"/>
      <c r="D76"/>
      <c r="E76"/>
      <c r="F76"/>
    </row>
    <row r="77" spans="1:6" x14ac:dyDescent="0.25">
      <c r="A77" s="19"/>
      <c r="C77"/>
      <c r="D77"/>
      <c r="E77"/>
      <c r="F77"/>
    </row>
    <row r="78" spans="1:6" x14ac:dyDescent="0.25">
      <c r="A78" s="19"/>
      <c r="C78"/>
      <c r="D78"/>
      <c r="E78"/>
      <c r="F78"/>
    </row>
    <row r="79" spans="1:6" x14ac:dyDescent="0.25">
      <c r="A79" s="19"/>
      <c r="C79"/>
      <c r="D79"/>
      <c r="E79"/>
      <c r="F79"/>
    </row>
    <row r="80" spans="1:6" x14ac:dyDescent="0.25">
      <c r="A80" s="19"/>
      <c r="C80"/>
      <c r="D80"/>
      <c r="E80"/>
      <c r="F80"/>
    </row>
    <row r="81" spans="1:6" x14ac:dyDescent="0.25">
      <c r="A81" s="19"/>
      <c r="C81"/>
      <c r="D81"/>
      <c r="E81"/>
      <c r="F81"/>
    </row>
    <row r="82" spans="1:6" x14ac:dyDescent="0.25">
      <c r="A82" s="19"/>
      <c r="C82"/>
      <c r="D82"/>
      <c r="E82"/>
      <c r="F82"/>
    </row>
    <row r="83" spans="1:6" x14ac:dyDescent="0.25">
      <c r="A83" s="19"/>
      <c r="C83"/>
      <c r="D83"/>
      <c r="E83"/>
      <c r="F83"/>
    </row>
    <row r="84" spans="1:6" x14ac:dyDescent="0.25">
      <c r="A84" s="19"/>
      <c r="C84"/>
      <c r="D84"/>
      <c r="E84"/>
      <c r="F84"/>
    </row>
    <row r="85" spans="1:6" x14ac:dyDescent="0.25">
      <c r="A85" s="19"/>
      <c r="C85"/>
      <c r="D85"/>
      <c r="E85"/>
      <c r="F85"/>
    </row>
    <row r="86" spans="1:6" x14ac:dyDescent="0.25">
      <c r="A86" s="19"/>
      <c r="C86"/>
      <c r="D86"/>
      <c r="E86"/>
      <c r="F86"/>
    </row>
    <row r="87" spans="1:6" x14ac:dyDescent="0.25">
      <c r="A87" s="19"/>
      <c r="C87"/>
      <c r="D87"/>
      <c r="E87"/>
      <c r="F87"/>
    </row>
    <row r="88" spans="1:6" x14ac:dyDescent="0.25">
      <c r="A88" s="19"/>
      <c r="C88"/>
      <c r="D88"/>
      <c r="E88"/>
      <c r="F88"/>
    </row>
    <row r="89" spans="1:6" x14ac:dyDescent="0.25">
      <c r="A89" s="19"/>
      <c r="C89"/>
      <c r="D89"/>
      <c r="E89"/>
      <c r="F89"/>
    </row>
    <row r="90" spans="1:6" x14ac:dyDescent="0.25">
      <c r="A90" s="19"/>
      <c r="C90"/>
      <c r="D90"/>
      <c r="E90"/>
      <c r="F90"/>
    </row>
    <row r="91" spans="1:6" x14ac:dyDescent="0.25">
      <c r="A91" s="19"/>
      <c r="C91"/>
      <c r="D91"/>
      <c r="E91"/>
      <c r="F91"/>
    </row>
    <row r="92" spans="1:6" x14ac:dyDescent="0.25">
      <c r="A92" s="19"/>
      <c r="C92"/>
      <c r="D92"/>
      <c r="E92"/>
      <c r="F92"/>
    </row>
    <row r="93" spans="1:6" x14ac:dyDescent="0.25">
      <c r="A93" s="19"/>
      <c r="C93"/>
      <c r="D93"/>
      <c r="E93"/>
      <c r="F93"/>
    </row>
    <row r="94" spans="1:6" x14ac:dyDescent="0.25">
      <c r="A94" s="19"/>
      <c r="C94"/>
      <c r="D94"/>
      <c r="E94"/>
      <c r="F94"/>
    </row>
    <row r="95" spans="1:6" x14ac:dyDescent="0.25">
      <c r="A95" s="19"/>
      <c r="C95"/>
      <c r="D95"/>
      <c r="E95"/>
      <c r="F95"/>
    </row>
    <row r="96" spans="1:6" x14ac:dyDescent="0.25">
      <c r="A96" s="19"/>
      <c r="C96"/>
      <c r="D96"/>
      <c r="E96"/>
      <c r="F96"/>
    </row>
    <row r="97" spans="1:6" x14ac:dyDescent="0.25">
      <c r="A97" s="19"/>
      <c r="C97"/>
      <c r="D97"/>
      <c r="E97"/>
      <c r="F97"/>
    </row>
    <row r="98" spans="1:6" x14ac:dyDescent="0.25">
      <c r="A98" s="19"/>
      <c r="C98"/>
      <c r="D98"/>
      <c r="E98"/>
      <c r="F98"/>
    </row>
    <row r="99" spans="1:6" x14ac:dyDescent="0.25">
      <c r="A99" s="19"/>
      <c r="C99"/>
      <c r="D99"/>
      <c r="E99"/>
      <c r="F99"/>
    </row>
    <row r="100" spans="1:6" x14ac:dyDescent="0.25">
      <c r="A100" s="19"/>
      <c r="C100"/>
      <c r="D100"/>
      <c r="E100"/>
      <c r="F100"/>
    </row>
    <row r="101" spans="1:6" x14ac:dyDescent="0.25">
      <c r="A101" s="19"/>
      <c r="C101"/>
      <c r="D101"/>
      <c r="E101"/>
      <c r="F101"/>
    </row>
    <row r="102" spans="1:6" x14ac:dyDescent="0.25">
      <c r="A102" s="19"/>
      <c r="C102"/>
      <c r="D102"/>
      <c r="E102"/>
      <c r="F102"/>
    </row>
    <row r="103" spans="1:6" x14ac:dyDescent="0.25">
      <c r="A103" s="19"/>
      <c r="C103"/>
      <c r="D103"/>
      <c r="E103"/>
      <c r="F103"/>
    </row>
    <row r="104" spans="1:6" x14ac:dyDescent="0.25">
      <c r="A104" s="19"/>
      <c r="C104"/>
      <c r="D104"/>
      <c r="E104"/>
      <c r="F104"/>
    </row>
    <row r="105" spans="1:6" x14ac:dyDescent="0.25">
      <c r="A105" s="19"/>
      <c r="C105"/>
      <c r="D105"/>
      <c r="E105"/>
      <c r="F105"/>
    </row>
    <row r="106" spans="1:6" x14ac:dyDescent="0.25">
      <c r="A106" s="19"/>
      <c r="C106"/>
      <c r="D106"/>
      <c r="E106"/>
      <c r="F106"/>
    </row>
    <row r="107" spans="1:6" x14ac:dyDescent="0.25">
      <c r="A107" s="19"/>
      <c r="C107"/>
      <c r="D107"/>
      <c r="E107"/>
      <c r="F107"/>
    </row>
    <row r="108" spans="1:6" x14ac:dyDescent="0.25">
      <c r="A108" s="19"/>
      <c r="C108"/>
      <c r="D108"/>
      <c r="E108"/>
      <c r="F108"/>
    </row>
    <row r="109" spans="1:6" x14ac:dyDescent="0.25">
      <c r="A109" s="19"/>
      <c r="C109"/>
      <c r="D109"/>
      <c r="E109"/>
      <c r="F109"/>
    </row>
    <row r="110" spans="1:6" x14ac:dyDescent="0.25">
      <c r="A110" s="19"/>
      <c r="C110"/>
      <c r="D110"/>
      <c r="E110"/>
      <c r="F110"/>
    </row>
    <row r="111" spans="1:6" x14ac:dyDescent="0.25">
      <c r="A111" s="19"/>
      <c r="C111"/>
      <c r="D111"/>
      <c r="E111"/>
      <c r="F111"/>
    </row>
    <row r="112" spans="1:6" x14ac:dyDescent="0.25">
      <c r="A112" s="19"/>
      <c r="C112"/>
      <c r="D112"/>
      <c r="E112"/>
      <c r="F112"/>
    </row>
    <row r="113" spans="1:6" x14ac:dyDescent="0.25">
      <c r="A113" s="19"/>
      <c r="C113"/>
      <c r="D113"/>
      <c r="E113"/>
      <c r="F113"/>
    </row>
    <row r="114" spans="1:6" x14ac:dyDescent="0.25">
      <c r="A114" s="19"/>
      <c r="C114"/>
      <c r="D114"/>
      <c r="E114"/>
      <c r="F114"/>
    </row>
    <row r="115" spans="1:6" x14ac:dyDescent="0.25">
      <c r="A115" s="19"/>
      <c r="C115"/>
      <c r="D115"/>
      <c r="E115"/>
      <c r="F115"/>
    </row>
    <row r="116" spans="1:6" x14ac:dyDescent="0.25">
      <c r="A116" s="19"/>
      <c r="C116"/>
      <c r="D116"/>
      <c r="E116"/>
      <c r="F116"/>
    </row>
    <row r="117" spans="1:6" x14ac:dyDescent="0.25">
      <c r="A117" s="19"/>
      <c r="C117"/>
      <c r="D117"/>
      <c r="E117"/>
      <c r="F117"/>
    </row>
    <row r="118" spans="1:6" x14ac:dyDescent="0.25">
      <c r="A118" s="19"/>
      <c r="C118"/>
      <c r="D118"/>
      <c r="E118"/>
      <c r="F118"/>
    </row>
    <row r="119" spans="1:6" x14ac:dyDescent="0.25">
      <c r="A119" s="19"/>
      <c r="C119"/>
      <c r="D119"/>
      <c r="E119"/>
      <c r="F119"/>
    </row>
    <row r="120" spans="1:6" x14ac:dyDescent="0.25">
      <c r="A120" s="19"/>
      <c r="C120"/>
      <c r="D120"/>
      <c r="E120"/>
      <c r="F120"/>
    </row>
    <row r="121" spans="1:6" x14ac:dyDescent="0.25">
      <c r="A121" s="19"/>
      <c r="C121"/>
      <c r="D121"/>
      <c r="E121"/>
      <c r="F121"/>
    </row>
    <row r="122" spans="1:6" x14ac:dyDescent="0.25">
      <c r="A122" s="19"/>
      <c r="C122"/>
      <c r="D122"/>
      <c r="E122"/>
      <c r="F122"/>
    </row>
    <row r="123" spans="1:6" x14ac:dyDescent="0.25">
      <c r="A123" s="19"/>
      <c r="C123"/>
      <c r="D123"/>
      <c r="E123"/>
      <c r="F123"/>
    </row>
    <row r="124" spans="1:6" x14ac:dyDescent="0.25">
      <c r="A124" s="19"/>
      <c r="C124"/>
      <c r="D124"/>
      <c r="E124"/>
      <c r="F124"/>
    </row>
    <row r="125" spans="1:6" x14ac:dyDescent="0.25">
      <c r="A125" s="19"/>
      <c r="C125"/>
      <c r="D125"/>
      <c r="E125"/>
      <c r="F125"/>
    </row>
    <row r="126" spans="1:6" x14ac:dyDescent="0.25">
      <c r="A126" s="19"/>
      <c r="C126"/>
      <c r="D126"/>
      <c r="E126"/>
      <c r="F126"/>
    </row>
    <row r="127" spans="1:6" x14ac:dyDescent="0.25">
      <c r="A127" s="19"/>
      <c r="C127"/>
      <c r="D127"/>
      <c r="E127"/>
      <c r="F127"/>
    </row>
    <row r="128" spans="1:6" x14ac:dyDescent="0.25">
      <c r="A128" s="19"/>
      <c r="C128"/>
      <c r="D128"/>
      <c r="E128"/>
      <c r="F128"/>
    </row>
    <row r="129" spans="1:6" x14ac:dyDescent="0.25">
      <c r="A129" s="19"/>
      <c r="C129"/>
      <c r="D129"/>
      <c r="E129"/>
      <c r="F129"/>
    </row>
    <row r="130" spans="1:6" x14ac:dyDescent="0.25">
      <c r="A130" s="19"/>
      <c r="C130"/>
      <c r="D130"/>
      <c r="E130"/>
      <c r="F130"/>
    </row>
    <row r="131" spans="1:6" x14ac:dyDescent="0.25">
      <c r="A131" s="19"/>
      <c r="C131"/>
      <c r="D131"/>
      <c r="E131"/>
      <c r="F131"/>
    </row>
    <row r="132" spans="1:6" x14ac:dyDescent="0.25">
      <c r="A132" s="19"/>
      <c r="C132"/>
      <c r="D132"/>
      <c r="E132"/>
      <c r="F132"/>
    </row>
    <row r="133" spans="1:6" x14ac:dyDescent="0.25">
      <c r="A133" s="19"/>
      <c r="C133"/>
      <c r="D133"/>
      <c r="E133"/>
      <c r="F133"/>
    </row>
    <row r="134" spans="1:6" x14ac:dyDescent="0.25">
      <c r="A134" s="19"/>
      <c r="C134"/>
      <c r="D134"/>
      <c r="E134"/>
      <c r="F134"/>
    </row>
    <row r="135" spans="1:6" x14ac:dyDescent="0.25">
      <c r="A135" s="19"/>
      <c r="C135"/>
      <c r="D135"/>
      <c r="E135"/>
      <c r="F135"/>
    </row>
    <row r="136" spans="1:6" x14ac:dyDescent="0.25">
      <c r="A136" s="19"/>
      <c r="C136"/>
      <c r="D136"/>
      <c r="E136"/>
      <c r="F136"/>
    </row>
    <row r="137" spans="1:6" x14ac:dyDescent="0.25">
      <c r="A137" s="19"/>
      <c r="C137"/>
      <c r="D137"/>
      <c r="E137"/>
      <c r="F137"/>
    </row>
    <row r="138" spans="1:6" x14ac:dyDescent="0.25">
      <c r="A138" s="19"/>
      <c r="C138"/>
      <c r="D138"/>
      <c r="E138"/>
      <c r="F138"/>
    </row>
    <row r="139" spans="1:6" x14ac:dyDescent="0.25">
      <c r="A139" s="19"/>
      <c r="C139"/>
      <c r="D139"/>
      <c r="E139"/>
      <c r="F139"/>
    </row>
    <row r="140" spans="1:6" x14ac:dyDescent="0.25">
      <c r="A140" s="19"/>
      <c r="C140"/>
      <c r="D140"/>
      <c r="E140"/>
      <c r="F140"/>
    </row>
    <row r="141" spans="1:6" x14ac:dyDescent="0.25">
      <c r="A141" s="19"/>
      <c r="C141"/>
      <c r="D141"/>
      <c r="E141"/>
      <c r="F141"/>
    </row>
    <row r="142" spans="1:6" x14ac:dyDescent="0.25">
      <c r="A142" s="19"/>
      <c r="C142"/>
      <c r="D142"/>
      <c r="E142"/>
      <c r="F142"/>
    </row>
    <row r="143" spans="1:6" x14ac:dyDescent="0.25">
      <c r="A143" s="19"/>
      <c r="C143"/>
      <c r="D143"/>
      <c r="E143"/>
      <c r="F143"/>
    </row>
    <row r="144" spans="1:6" x14ac:dyDescent="0.25">
      <c r="A144" s="19"/>
      <c r="C144"/>
      <c r="D144"/>
      <c r="E144"/>
      <c r="F144"/>
    </row>
    <row r="145" spans="1:6" x14ac:dyDescent="0.25">
      <c r="A145" s="19"/>
      <c r="C145"/>
      <c r="D145"/>
      <c r="E145"/>
      <c r="F145"/>
    </row>
    <row r="146" spans="1:6" x14ac:dyDescent="0.25">
      <c r="A146" s="19"/>
      <c r="C146"/>
      <c r="D146"/>
      <c r="E146"/>
      <c r="F146"/>
    </row>
    <row r="147" spans="1:6" x14ac:dyDescent="0.25">
      <c r="A147" s="19"/>
      <c r="C147"/>
      <c r="D147"/>
      <c r="E147"/>
      <c r="F147"/>
    </row>
    <row r="148" spans="1:6" x14ac:dyDescent="0.25">
      <c r="A148" s="19"/>
      <c r="C148"/>
      <c r="D148"/>
      <c r="E148"/>
      <c r="F148"/>
    </row>
    <row r="149" spans="1:6" x14ac:dyDescent="0.25">
      <c r="A149" s="19"/>
      <c r="C149"/>
      <c r="D149"/>
      <c r="E149"/>
      <c r="F149"/>
    </row>
    <row r="150" spans="1:6" x14ac:dyDescent="0.25">
      <c r="A150" s="19"/>
      <c r="C150"/>
      <c r="D150"/>
      <c r="E150"/>
      <c r="F150"/>
    </row>
    <row r="151" spans="1:6" x14ac:dyDescent="0.25">
      <c r="A151" s="19"/>
      <c r="C151"/>
      <c r="D151"/>
      <c r="E151"/>
      <c r="F151"/>
    </row>
    <row r="152" spans="1:6" x14ac:dyDescent="0.25">
      <c r="A152" s="19"/>
      <c r="C152"/>
      <c r="D152"/>
      <c r="E152"/>
      <c r="F152"/>
    </row>
    <row r="153" spans="1:6" x14ac:dyDescent="0.25">
      <c r="A153" s="19"/>
      <c r="C153"/>
      <c r="D153"/>
      <c r="E153"/>
      <c r="F153"/>
    </row>
    <row r="154" spans="1:6" x14ac:dyDescent="0.25">
      <c r="A154" s="19"/>
      <c r="C154"/>
      <c r="D154"/>
      <c r="E154"/>
      <c r="F154"/>
    </row>
    <row r="155" spans="1:6" x14ac:dyDescent="0.25">
      <c r="A155" s="19"/>
      <c r="C155"/>
      <c r="D155"/>
      <c r="E155"/>
      <c r="F155"/>
    </row>
    <row r="156" spans="1:6" x14ac:dyDescent="0.25">
      <c r="A156" s="19"/>
      <c r="C156"/>
      <c r="D156"/>
      <c r="E156"/>
      <c r="F156"/>
    </row>
    <row r="157" spans="1:6" x14ac:dyDescent="0.25">
      <c r="A157" s="19"/>
      <c r="C157"/>
      <c r="D157"/>
      <c r="E157"/>
      <c r="F157"/>
    </row>
    <row r="158" spans="1:6" x14ac:dyDescent="0.25">
      <c r="A158" s="19"/>
      <c r="C158"/>
      <c r="D158"/>
      <c r="E158"/>
      <c r="F158"/>
    </row>
    <row r="159" spans="1:6" x14ac:dyDescent="0.25">
      <c r="A159" s="19"/>
      <c r="C159"/>
      <c r="D159"/>
      <c r="E159"/>
      <c r="F159"/>
    </row>
    <row r="160" spans="1:6" x14ac:dyDescent="0.25">
      <c r="A160" s="19"/>
      <c r="C160"/>
      <c r="D160"/>
      <c r="E160"/>
      <c r="F160"/>
    </row>
    <row r="161" spans="1:6" x14ac:dyDescent="0.25">
      <c r="A161" s="19"/>
      <c r="C161"/>
      <c r="D161"/>
      <c r="E161"/>
      <c r="F161"/>
    </row>
    <row r="162" spans="1:6" x14ac:dyDescent="0.25">
      <c r="A162" s="19"/>
      <c r="C162"/>
      <c r="D162"/>
      <c r="E162"/>
      <c r="F162"/>
    </row>
    <row r="163" spans="1:6" x14ac:dyDescent="0.25">
      <c r="A163" s="19"/>
      <c r="C163"/>
      <c r="D163"/>
      <c r="E163"/>
      <c r="F163"/>
    </row>
    <row r="164" spans="1:6" x14ac:dyDescent="0.25">
      <c r="A164" s="19"/>
      <c r="C164"/>
      <c r="D164"/>
      <c r="E164"/>
      <c r="F164"/>
    </row>
    <row r="165" spans="1:6" x14ac:dyDescent="0.25">
      <c r="A165" s="19"/>
      <c r="C165"/>
      <c r="D165"/>
      <c r="E165"/>
      <c r="F165"/>
    </row>
    <row r="166" spans="1:6" x14ac:dyDescent="0.25">
      <c r="A166" s="19"/>
      <c r="C166"/>
      <c r="D166"/>
      <c r="E166"/>
      <c r="F166"/>
    </row>
    <row r="167" spans="1:6" x14ac:dyDescent="0.25">
      <c r="A167" s="19"/>
      <c r="C167"/>
      <c r="D167"/>
      <c r="E167"/>
      <c r="F167"/>
    </row>
    <row r="168" spans="1:6" x14ac:dyDescent="0.25">
      <c r="A168" s="19"/>
      <c r="C168"/>
      <c r="D168"/>
      <c r="E168"/>
      <c r="F168"/>
    </row>
    <row r="169" spans="1:6" x14ac:dyDescent="0.25">
      <c r="A169" s="19"/>
      <c r="C169"/>
      <c r="D169"/>
      <c r="E169"/>
      <c r="F169"/>
    </row>
    <row r="170" spans="1:6" x14ac:dyDescent="0.25">
      <c r="A170" s="19"/>
      <c r="C170"/>
      <c r="D170"/>
      <c r="E170"/>
      <c r="F170"/>
    </row>
    <row r="171" spans="1:6" x14ac:dyDescent="0.25">
      <c r="A171" s="19"/>
      <c r="C171"/>
      <c r="D171"/>
      <c r="E171"/>
      <c r="F171"/>
    </row>
    <row r="172" spans="1:6" x14ac:dyDescent="0.25">
      <c r="A172" s="19"/>
      <c r="C172"/>
      <c r="D172"/>
      <c r="E172"/>
      <c r="F172"/>
    </row>
    <row r="173" spans="1:6" x14ac:dyDescent="0.25">
      <c r="A173" s="19"/>
      <c r="C173"/>
      <c r="D173"/>
      <c r="E173"/>
      <c r="F173"/>
    </row>
    <row r="174" spans="1:6" x14ac:dyDescent="0.25">
      <c r="A174" s="19"/>
      <c r="C174"/>
      <c r="D174"/>
      <c r="E174"/>
      <c r="F174"/>
    </row>
    <row r="175" spans="1:6" x14ac:dyDescent="0.25">
      <c r="A175" s="19"/>
      <c r="C175"/>
      <c r="D175"/>
      <c r="E175"/>
      <c r="F175"/>
    </row>
    <row r="176" spans="1:6" x14ac:dyDescent="0.25">
      <c r="A176" s="19"/>
      <c r="C176"/>
      <c r="D176"/>
      <c r="E176"/>
      <c r="F176"/>
    </row>
    <row r="177" spans="1:6" x14ac:dyDescent="0.25">
      <c r="A177" s="19"/>
      <c r="C177"/>
      <c r="D177"/>
      <c r="E177"/>
      <c r="F177"/>
    </row>
    <row r="178" spans="1:6" x14ac:dyDescent="0.25">
      <c r="A178" s="19"/>
      <c r="C178"/>
      <c r="D178"/>
      <c r="E178"/>
      <c r="F178"/>
    </row>
    <row r="179" spans="1:6" x14ac:dyDescent="0.25">
      <c r="A179" s="19"/>
      <c r="C179"/>
      <c r="D179"/>
      <c r="E179"/>
      <c r="F179"/>
    </row>
    <row r="180" spans="1:6" x14ac:dyDescent="0.25">
      <c r="A180" s="19"/>
      <c r="C180"/>
      <c r="D180"/>
      <c r="E180"/>
      <c r="F180"/>
    </row>
    <row r="181" spans="1:6" x14ac:dyDescent="0.25">
      <c r="A181" s="19"/>
      <c r="C181"/>
      <c r="D181"/>
      <c r="E181"/>
      <c r="F181"/>
    </row>
    <row r="182" spans="1:6" x14ac:dyDescent="0.25">
      <c r="A182" s="19"/>
      <c r="C182"/>
      <c r="D182"/>
      <c r="E182"/>
      <c r="F182"/>
    </row>
    <row r="183" spans="1:6" x14ac:dyDescent="0.25">
      <c r="A183" s="19"/>
      <c r="C183"/>
      <c r="D183"/>
      <c r="E183"/>
      <c r="F183"/>
    </row>
    <row r="184" spans="1:6" x14ac:dyDescent="0.25">
      <c r="A184" s="19"/>
      <c r="C184"/>
      <c r="D184"/>
      <c r="E184"/>
      <c r="F184"/>
    </row>
    <row r="185" spans="1:6" x14ac:dyDescent="0.25">
      <c r="A185" s="19"/>
      <c r="C185"/>
      <c r="D185"/>
      <c r="E185"/>
      <c r="F185"/>
    </row>
    <row r="186" spans="1:6" x14ac:dyDescent="0.25">
      <c r="A186" s="19"/>
      <c r="C186"/>
      <c r="D186"/>
      <c r="E186"/>
      <c r="F186"/>
    </row>
    <row r="187" spans="1:6" x14ac:dyDescent="0.25">
      <c r="A187" s="19"/>
      <c r="C187"/>
      <c r="D187"/>
      <c r="E187"/>
      <c r="F187"/>
    </row>
    <row r="188" spans="1:6" x14ac:dyDescent="0.25">
      <c r="A188" s="19"/>
      <c r="C188"/>
      <c r="D188"/>
      <c r="E188"/>
      <c r="F188"/>
    </row>
    <row r="189" spans="1:6" x14ac:dyDescent="0.25">
      <c r="A189" s="19"/>
      <c r="C189"/>
      <c r="D189"/>
      <c r="E189"/>
      <c r="F189"/>
    </row>
    <row r="190" spans="1:6" x14ac:dyDescent="0.25">
      <c r="A190" s="19"/>
      <c r="C190"/>
      <c r="D190"/>
      <c r="E190"/>
      <c r="F190"/>
    </row>
    <row r="191" spans="1:6" x14ac:dyDescent="0.25">
      <c r="A191" s="19"/>
      <c r="C191"/>
      <c r="D191"/>
      <c r="E191"/>
      <c r="F191"/>
    </row>
    <row r="192" spans="1:6" x14ac:dyDescent="0.25">
      <c r="A192" s="19"/>
      <c r="C192"/>
      <c r="D192"/>
      <c r="E192"/>
      <c r="F192"/>
    </row>
    <row r="193" spans="1:6" x14ac:dyDescent="0.25">
      <c r="A193" s="19"/>
      <c r="C193"/>
      <c r="D193"/>
      <c r="E193"/>
      <c r="F193"/>
    </row>
    <row r="194" spans="1:6" x14ac:dyDescent="0.25">
      <c r="A194" s="19"/>
      <c r="C194"/>
      <c r="D194"/>
      <c r="E194"/>
      <c r="F194"/>
    </row>
    <row r="195" spans="1:6" x14ac:dyDescent="0.25">
      <c r="A195" s="19"/>
      <c r="C195"/>
      <c r="D195"/>
      <c r="E195"/>
      <c r="F195"/>
    </row>
    <row r="196" spans="1:6" x14ac:dyDescent="0.25">
      <c r="A196" s="19"/>
      <c r="C196"/>
      <c r="D196"/>
      <c r="E196"/>
      <c r="F196"/>
    </row>
    <row r="197" spans="1:6" x14ac:dyDescent="0.25">
      <c r="A197" s="19"/>
      <c r="C197"/>
      <c r="D197"/>
      <c r="E197"/>
      <c r="F197"/>
    </row>
    <row r="198" spans="1:6" x14ac:dyDescent="0.25">
      <c r="A198" s="19"/>
      <c r="C198"/>
      <c r="D198"/>
      <c r="E198"/>
      <c r="F198"/>
    </row>
    <row r="199" spans="1:6" x14ac:dyDescent="0.25">
      <c r="A199" s="19"/>
      <c r="C199"/>
      <c r="D199"/>
      <c r="E199"/>
      <c r="F199"/>
    </row>
    <row r="200" spans="1:6" x14ac:dyDescent="0.25">
      <c r="A200" s="19"/>
      <c r="C200"/>
      <c r="D200"/>
      <c r="E200"/>
      <c r="F200"/>
    </row>
    <row r="201" spans="1:6" x14ac:dyDescent="0.25">
      <c r="A201" s="19"/>
      <c r="C201"/>
      <c r="D201"/>
      <c r="E201"/>
      <c r="F201"/>
    </row>
    <row r="202" spans="1:6" x14ac:dyDescent="0.25">
      <c r="A202" s="19"/>
      <c r="C202"/>
      <c r="D202"/>
      <c r="E202"/>
      <c r="F202"/>
    </row>
    <row r="203" spans="1:6" x14ac:dyDescent="0.25">
      <c r="A203" s="19"/>
      <c r="C203"/>
      <c r="D203"/>
      <c r="E203"/>
      <c r="F203"/>
    </row>
    <row r="204" spans="1:6" x14ac:dyDescent="0.25">
      <c r="A204" s="19"/>
      <c r="C204"/>
      <c r="D204"/>
      <c r="E204"/>
      <c r="F204"/>
    </row>
    <row r="205" spans="1:6" x14ac:dyDescent="0.25">
      <c r="A205" s="19"/>
      <c r="C205"/>
      <c r="D205"/>
      <c r="E205"/>
      <c r="F205"/>
    </row>
    <row r="206" spans="1:6" x14ac:dyDescent="0.25">
      <c r="A206" s="19"/>
      <c r="C206"/>
      <c r="D206"/>
      <c r="E206"/>
      <c r="F206"/>
    </row>
    <row r="207" spans="1:6" x14ac:dyDescent="0.25">
      <c r="A207" s="19"/>
      <c r="C207"/>
      <c r="D207"/>
      <c r="E207"/>
      <c r="F207"/>
    </row>
    <row r="208" spans="1:6" x14ac:dyDescent="0.25">
      <c r="A208" s="19"/>
      <c r="C208"/>
      <c r="D208"/>
      <c r="E208"/>
      <c r="F208"/>
    </row>
    <row r="209" spans="1:6" x14ac:dyDescent="0.25">
      <c r="A209" s="19"/>
      <c r="C209"/>
      <c r="D209"/>
      <c r="E209"/>
      <c r="F209"/>
    </row>
    <row r="210" spans="1:6" x14ac:dyDescent="0.25">
      <c r="A210" s="19"/>
      <c r="C210"/>
      <c r="D210"/>
      <c r="E210"/>
      <c r="F210"/>
    </row>
    <row r="211" spans="1:6" x14ac:dyDescent="0.25">
      <c r="A211" s="19"/>
      <c r="C211"/>
      <c r="D211"/>
      <c r="E211"/>
      <c r="F211"/>
    </row>
    <row r="212" spans="1:6" x14ac:dyDescent="0.25">
      <c r="A212" s="19"/>
      <c r="C212"/>
      <c r="D212"/>
      <c r="E212"/>
      <c r="F212"/>
    </row>
    <row r="213" spans="1:6" x14ac:dyDescent="0.25">
      <c r="A213" s="19"/>
      <c r="C213"/>
      <c r="D213"/>
      <c r="E213"/>
      <c r="F213"/>
    </row>
    <row r="214" spans="1:6" x14ac:dyDescent="0.25">
      <c r="A214" s="19"/>
      <c r="C214"/>
      <c r="D214"/>
      <c r="E214"/>
      <c r="F214"/>
    </row>
    <row r="215" spans="1:6" x14ac:dyDescent="0.25">
      <c r="A215" s="19"/>
      <c r="C215"/>
      <c r="D215"/>
      <c r="E215"/>
      <c r="F215"/>
    </row>
    <row r="216" spans="1:6" x14ac:dyDescent="0.25">
      <c r="A216" s="19"/>
      <c r="C216"/>
      <c r="D216"/>
      <c r="E216"/>
      <c r="F216"/>
    </row>
    <row r="217" spans="1:6" x14ac:dyDescent="0.25">
      <c r="A217" s="19"/>
      <c r="C217"/>
      <c r="D217"/>
      <c r="E217"/>
      <c r="F217"/>
    </row>
    <row r="218" spans="1:6" x14ac:dyDescent="0.25">
      <c r="A218" s="19"/>
      <c r="C218"/>
      <c r="D218"/>
      <c r="E218"/>
      <c r="F218"/>
    </row>
    <row r="219" spans="1:6" x14ac:dyDescent="0.25">
      <c r="A219" s="19"/>
      <c r="C219"/>
      <c r="D219"/>
      <c r="E219"/>
      <c r="F219"/>
    </row>
    <row r="220" spans="1:6" x14ac:dyDescent="0.25">
      <c r="A220" s="19"/>
      <c r="C220"/>
      <c r="D220"/>
      <c r="E220"/>
      <c r="F220"/>
    </row>
    <row r="221" spans="1:6" x14ac:dyDescent="0.25">
      <c r="A221" s="19"/>
      <c r="C221"/>
      <c r="D221"/>
      <c r="E221"/>
      <c r="F221"/>
    </row>
    <row r="222" spans="1:6" x14ac:dyDescent="0.25">
      <c r="A222" s="19"/>
      <c r="C222"/>
      <c r="D222"/>
      <c r="E222"/>
      <c r="F222"/>
    </row>
    <row r="223" spans="1:6" x14ac:dyDescent="0.25">
      <c r="A223" s="19"/>
      <c r="C223"/>
      <c r="D223"/>
      <c r="E223"/>
      <c r="F223"/>
    </row>
    <row r="224" spans="1:6" x14ac:dyDescent="0.25">
      <c r="A224" s="19"/>
      <c r="C224"/>
      <c r="D224"/>
      <c r="E224"/>
      <c r="F224"/>
    </row>
    <row r="225" spans="1:6" x14ac:dyDescent="0.25">
      <c r="A225" s="19"/>
      <c r="C225"/>
      <c r="D225"/>
      <c r="E225"/>
      <c r="F225"/>
    </row>
    <row r="226" spans="1:6" x14ac:dyDescent="0.25">
      <c r="A226" s="19"/>
      <c r="C226"/>
      <c r="D226"/>
      <c r="E226"/>
      <c r="F226"/>
    </row>
    <row r="227" spans="1:6" x14ac:dyDescent="0.25">
      <c r="A227" s="19"/>
      <c r="C227"/>
      <c r="D227"/>
      <c r="E227"/>
      <c r="F227"/>
    </row>
    <row r="228" spans="1:6" x14ac:dyDescent="0.25">
      <c r="A228" s="19"/>
      <c r="C228"/>
      <c r="D228"/>
      <c r="E228"/>
      <c r="F228"/>
    </row>
    <row r="229" spans="1:6" x14ac:dyDescent="0.25">
      <c r="A229" s="19"/>
      <c r="C229"/>
      <c r="D229"/>
      <c r="E229"/>
      <c r="F229"/>
    </row>
    <row r="230" spans="1:6" x14ac:dyDescent="0.25">
      <c r="A230" s="19"/>
      <c r="C230"/>
      <c r="D230"/>
      <c r="E230"/>
      <c r="F230"/>
    </row>
    <row r="231" spans="1:6" x14ac:dyDescent="0.25">
      <c r="A231" s="19"/>
      <c r="C231"/>
      <c r="D231"/>
      <c r="E231"/>
      <c r="F231"/>
    </row>
    <row r="232" spans="1:6" x14ac:dyDescent="0.25">
      <c r="A232" s="19"/>
      <c r="C232"/>
      <c r="D232"/>
      <c r="E232"/>
      <c r="F232"/>
    </row>
    <row r="233" spans="1:6" x14ac:dyDescent="0.25">
      <c r="A233" s="19"/>
      <c r="C233"/>
      <c r="D233"/>
      <c r="E233"/>
      <c r="F233"/>
    </row>
    <row r="234" spans="1:6" x14ac:dyDescent="0.25">
      <c r="A234" s="19"/>
      <c r="C234"/>
      <c r="D234"/>
      <c r="E234"/>
      <c r="F234"/>
    </row>
    <row r="235" spans="1:6" x14ac:dyDescent="0.25">
      <c r="A235" s="19"/>
      <c r="C235"/>
      <c r="D235"/>
      <c r="E235"/>
      <c r="F235"/>
    </row>
    <row r="236" spans="1:6" x14ac:dyDescent="0.25">
      <c r="A236" s="19"/>
      <c r="C236"/>
      <c r="D236"/>
      <c r="E236"/>
      <c r="F236"/>
    </row>
    <row r="237" spans="1:6" x14ac:dyDescent="0.25">
      <c r="A237" s="19"/>
      <c r="C237"/>
      <c r="D237"/>
      <c r="E237"/>
      <c r="F237"/>
    </row>
    <row r="238" spans="1:6" x14ac:dyDescent="0.25">
      <c r="A238" s="19"/>
      <c r="C238"/>
      <c r="D238"/>
      <c r="E238"/>
      <c r="F238"/>
    </row>
    <row r="239" spans="1:6" x14ac:dyDescent="0.25">
      <c r="A239" s="19"/>
      <c r="C239"/>
      <c r="D239"/>
      <c r="E239"/>
      <c r="F239"/>
    </row>
    <row r="240" spans="1:6" x14ac:dyDescent="0.25">
      <c r="A240" s="19"/>
      <c r="C240"/>
      <c r="D240"/>
      <c r="E240"/>
      <c r="F240"/>
    </row>
    <row r="241" spans="1:6" x14ac:dyDescent="0.25">
      <c r="A241" s="19"/>
      <c r="C241"/>
      <c r="D241"/>
      <c r="E241"/>
      <c r="F241"/>
    </row>
    <row r="242" spans="1:6" x14ac:dyDescent="0.25">
      <c r="A242" s="19"/>
      <c r="C242"/>
      <c r="D242"/>
      <c r="E242"/>
      <c r="F242"/>
    </row>
    <row r="243" spans="1:6" x14ac:dyDescent="0.25">
      <c r="A243" s="19"/>
      <c r="C243"/>
      <c r="D243"/>
      <c r="E243"/>
      <c r="F243"/>
    </row>
    <row r="244" spans="1:6" x14ac:dyDescent="0.25">
      <c r="A244" s="19"/>
      <c r="C244"/>
      <c r="D244"/>
      <c r="E244"/>
      <c r="F244"/>
    </row>
    <row r="245" spans="1:6" x14ac:dyDescent="0.25">
      <c r="A245" s="19"/>
      <c r="C245"/>
      <c r="D245"/>
      <c r="E245"/>
      <c r="F245"/>
    </row>
    <row r="246" spans="1:6" x14ac:dyDescent="0.25">
      <c r="A246" s="19"/>
      <c r="C246"/>
      <c r="D246"/>
      <c r="E246"/>
      <c r="F246"/>
    </row>
    <row r="247" spans="1:6" x14ac:dyDescent="0.25">
      <c r="A247" s="19"/>
      <c r="C247"/>
      <c r="D247"/>
      <c r="E247"/>
      <c r="F247"/>
    </row>
    <row r="248" spans="1:6" x14ac:dyDescent="0.25">
      <c r="A248" s="19"/>
      <c r="C248"/>
      <c r="D248"/>
      <c r="E248"/>
      <c r="F248"/>
    </row>
    <row r="249" spans="1:6" x14ac:dyDescent="0.25">
      <c r="A249" s="19"/>
      <c r="C249"/>
      <c r="D249"/>
      <c r="E249"/>
      <c r="F249"/>
    </row>
    <row r="250" spans="1:6" x14ac:dyDescent="0.25">
      <c r="A250" s="19"/>
      <c r="C250"/>
      <c r="D250"/>
      <c r="E250"/>
      <c r="F250"/>
    </row>
    <row r="251" spans="1:6" x14ac:dyDescent="0.25">
      <c r="A251" s="19"/>
      <c r="C251"/>
      <c r="D251"/>
      <c r="E251"/>
      <c r="F251"/>
    </row>
    <row r="252" spans="1:6" x14ac:dyDescent="0.25">
      <c r="A252" s="19"/>
      <c r="C252"/>
      <c r="D252"/>
      <c r="E252"/>
      <c r="F252"/>
    </row>
    <row r="253" spans="1:6" x14ac:dyDescent="0.25">
      <c r="A253" s="19"/>
      <c r="C253"/>
      <c r="D253"/>
      <c r="E253"/>
      <c r="F253"/>
    </row>
    <row r="254" spans="1:6" x14ac:dyDescent="0.25">
      <c r="A254" s="19"/>
      <c r="C254"/>
      <c r="D254"/>
      <c r="E254"/>
      <c r="F254"/>
    </row>
    <row r="255" spans="1:6" x14ac:dyDescent="0.25">
      <c r="A255" s="19"/>
      <c r="C255"/>
      <c r="D255"/>
      <c r="E255"/>
      <c r="F255"/>
    </row>
    <row r="256" spans="1:6" x14ac:dyDescent="0.25">
      <c r="A256" s="19"/>
      <c r="C256"/>
      <c r="D256"/>
      <c r="E256"/>
      <c r="F256"/>
    </row>
    <row r="257" spans="1:6" x14ac:dyDescent="0.25">
      <c r="A257" s="19"/>
      <c r="C257"/>
      <c r="D257"/>
      <c r="E257"/>
      <c r="F257"/>
    </row>
    <row r="258" spans="1:6" x14ac:dyDescent="0.25">
      <c r="A258" s="19"/>
      <c r="C258"/>
      <c r="D258"/>
      <c r="E258"/>
      <c r="F258"/>
    </row>
    <row r="259" spans="1:6" x14ac:dyDescent="0.25">
      <c r="A259" s="19"/>
      <c r="C259"/>
      <c r="D259"/>
      <c r="E259"/>
      <c r="F259"/>
    </row>
    <row r="260" spans="1:6" x14ac:dyDescent="0.25">
      <c r="A260" s="19"/>
      <c r="C260"/>
      <c r="D260"/>
      <c r="E260"/>
      <c r="F260"/>
    </row>
    <row r="261" spans="1:6" x14ac:dyDescent="0.25">
      <c r="A261" s="19"/>
      <c r="C261"/>
      <c r="D261"/>
      <c r="E261"/>
      <c r="F261"/>
    </row>
    <row r="262" spans="1:6" x14ac:dyDescent="0.25">
      <c r="A262" s="19"/>
      <c r="C262"/>
      <c r="D262"/>
      <c r="E262"/>
      <c r="F262"/>
    </row>
    <row r="263" spans="1:6" x14ac:dyDescent="0.25">
      <c r="A263" s="19"/>
      <c r="C263"/>
      <c r="D263"/>
      <c r="E263"/>
      <c r="F263"/>
    </row>
    <row r="264" spans="1:6" x14ac:dyDescent="0.25">
      <c r="A264" s="19"/>
      <c r="C264"/>
      <c r="D264"/>
      <c r="E264"/>
      <c r="F264"/>
    </row>
    <row r="265" spans="1:6" x14ac:dyDescent="0.25">
      <c r="A265" s="19"/>
      <c r="C265"/>
      <c r="D265"/>
      <c r="E265"/>
      <c r="F265"/>
    </row>
    <row r="266" spans="1:6" x14ac:dyDescent="0.25">
      <c r="A266" s="19"/>
      <c r="C266"/>
      <c r="D266"/>
      <c r="E266"/>
      <c r="F266"/>
    </row>
    <row r="267" spans="1:6" x14ac:dyDescent="0.25">
      <c r="A267" s="19"/>
      <c r="C267"/>
      <c r="D267"/>
      <c r="E267"/>
      <c r="F267"/>
    </row>
    <row r="268" spans="1:6" x14ac:dyDescent="0.25">
      <c r="A268" s="19"/>
      <c r="C268"/>
      <c r="D268"/>
      <c r="E268"/>
      <c r="F268"/>
    </row>
    <row r="269" spans="1:6" x14ac:dyDescent="0.25">
      <c r="A269" s="19"/>
      <c r="C269"/>
      <c r="D269"/>
      <c r="E269"/>
      <c r="F269"/>
    </row>
    <row r="270" spans="1:6" x14ac:dyDescent="0.25">
      <c r="A270" s="19"/>
      <c r="C270"/>
      <c r="D270"/>
      <c r="E270"/>
      <c r="F270"/>
    </row>
    <row r="271" spans="1:6" x14ac:dyDescent="0.25">
      <c r="A271" s="19"/>
      <c r="C271"/>
      <c r="D271"/>
      <c r="E271"/>
      <c r="F271"/>
    </row>
    <row r="272" spans="1:6" x14ac:dyDescent="0.25">
      <c r="A272" s="19"/>
      <c r="C272"/>
      <c r="D272"/>
      <c r="E272"/>
      <c r="F272"/>
    </row>
    <row r="273" spans="1:6" x14ac:dyDescent="0.25">
      <c r="A273" s="19"/>
      <c r="C273"/>
      <c r="D273"/>
      <c r="E273"/>
      <c r="F273"/>
    </row>
    <row r="274" spans="1:6" x14ac:dyDescent="0.25">
      <c r="A274" s="19"/>
      <c r="C274"/>
      <c r="D274"/>
      <c r="E274"/>
      <c r="F274"/>
    </row>
    <row r="275" spans="1:6" x14ac:dyDescent="0.25">
      <c r="A275" s="19"/>
      <c r="C275"/>
      <c r="D275"/>
      <c r="E275"/>
      <c r="F275"/>
    </row>
    <row r="276" spans="1:6" x14ac:dyDescent="0.25">
      <c r="A276" s="19"/>
      <c r="C276"/>
      <c r="D276"/>
      <c r="E276"/>
      <c r="F276"/>
    </row>
    <row r="277" spans="1:6" x14ac:dyDescent="0.25">
      <c r="A277" s="19"/>
      <c r="C277"/>
      <c r="D277"/>
      <c r="E277"/>
      <c r="F277"/>
    </row>
    <row r="278" spans="1:6" x14ac:dyDescent="0.25">
      <c r="A278" s="19"/>
      <c r="C278"/>
      <c r="D278"/>
      <c r="E278"/>
      <c r="F278"/>
    </row>
    <row r="279" spans="1:6" x14ac:dyDescent="0.25">
      <c r="A279" s="19"/>
      <c r="C279"/>
      <c r="D279"/>
      <c r="E279"/>
      <c r="F279"/>
    </row>
    <row r="280" spans="1:6" x14ac:dyDescent="0.25">
      <c r="A280" s="19"/>
      <c r="C280"/>
      <c r="D280"/>
      <c r="E280"/>
      <c r="F280"/>
    </row>
    <row r="281" spans="1:6" x14ac:dyDescent="0.25">
      <c r="A281" s="19"/>
      <c r="C281"/>
      <c r="D281"/>
      <c r="E281"/>
      <c r="F281"/>
    </row>
    <row r="282" spans="1:6" x14ac:dyDescent="0.25">
      <c r="A282" s="19"/>
      <c r="C282"/>
      <c r="D282"/>
      <c r="E282"/>
      <c r="F282"/>
    </row>
    <row r="283" spans="1:6" x14ac:dyDescent="0.25">
      <c r="A283" s="19"/>
      <c r="C283"/>
      <c r="D283"/>
      <c r="E283"/>
      <c r="F283"/>
    </row>
    <row r="284" spans="1:6" x14ac:dyDescent="0.25">
      <c r="A284" s="19"/>
      <c r="C284"/>
      <c r="D284"/>
      <c r="E284"/>
      <c r="F284"/>
    </row>
    <row r="285" spans="1:6" x14ac:dyDescent="0.25">
      <c r="A285" s="19"/>
      <c r="C285"/>
      <c r="D285"/>
      <c r="E285"/>
      <c r="F285"/>
    </row>
    <row r="286" spans="1:6" x14ac:dyDescent="0.25">
      <c r="A286" s="19"/>
      <c r="C286"/>
      <c r="D286"/>
      <c r="E286"/>
      <c r="F286"/>
    </row>
    <row r="287" spans="1:6" x14ac:dyDescent="0.25">
      <c r="A287" s="19"/>
      <c r="C287"/>
      <c r="D287"/>
      <c r="E287"/>
      <c r="F287"/>
    </row>
    <row r="288" spans="1:6" x14ac:dyDescent="0.25">
      <c r="A288" s="19"/>
      <c r="C288"/>
      <c r="D288"/>
      <c r="E288"/>
      <c r="F288"/>
    </row>
    <row r="289" spans="1:6" x14ac:dyDescent="0.25">
      <c r="A289" s="19"/>
      <c r="C289"/>
      <c r="D289"/>
      <c r="E289"/>
      <c r="F289"/>
    </row>
    <row r="290" spans="1:6" x14ac:dyDescent="0.25">
      <c r="A290" s="19"/>
      <c r="C290"/>
      <c r="D290"/>
      <c r="E290"/>
      <c r="F290"/>
    </row>
    <row r="291" spans="1:6" x14ac:dyDescent="0.25">
      <c r="A291" s="19"/>
      <c r="C291"/>
      <c r="D291"/>
      <c r="E291"/>
      <c r="F291"/>
    </row>
    <row r="292" spans="1:6" x14ac:dyDescent="0.25">
      <c r="A292" s="19"/>
      <c r="C292"/>
      <c r="D292"/>
      <c r="E292"/>
      <c r="F292"/>
    </row>
    <row r="293" spans="1:6" x14ac:dyDescent="0.25">
      <c r="A293" s="19"/>
      <c r="C293"/>
      <c r="D293"/>
      <c r="E293"/>
      <c r="F293"/>
    </row>
    <row r="294" spans="1:6" x14ac:dyDescent="0.25">
      <c r="A294" s="19"/>
      <c r="C294"/>
      <c r="D294"/>
      <c r="E294"/>
      <c r="F294"/>
    </row>
    <row r="295" spans="1:6" x14ac:dyDescent="0.25">
      <c r="A295" s="19"/>
      <c r="C295"/>
      <c r="D295"/>
      <c r="E295"/>
      <c r="F295"/>
    </row>
    <row r="296" spans="1:6" x14ac:dyDescent="0.25">
      <c r="A296" s="19"/>
      <c r="C296"/>
      <c r="D296"/>
      <c r="E296"/>
      <c r="F296"/>
    </row>
    <row r="297" spans="1:6" x14ac:dyDescent="0.25">
      <c r="A297" s="19"/>
      <c r="C297"/>
      <c r="D297"/>
      <c r="E297"/>
      <c r="F297"/>
    </row>
    <row r="298" spans="1:6" x14ac:dyDescent="0.25">
      <c r="A298" s="19"/>
      <c r="C298"/>
      <c r="D298"/>
      <c r="E298"/>
      <c r="F298"/>
    </row>
    <row r="299" spans="1:6" x14ac:dyDescent="0.25">
      <c r="A299" s="19"/>
      <c r="C299"/>
      <c r="D299"/>
      <c r="E299"/>
      <c r="F299"/>
    </row>
    <row r="300" spans="1:6" x14ac:dyDescent="0.25">
      <c r="A300" s="19"/>
      <c r="C300"/>
      <c r="D300"/>
      <c r="E300"/>
      <c r="F300"/>
    </row>
    <row r="301" spans="1:6" x14ac:dyDescent="0.25">
      <c r="A301" s="19"/>
      <c r="C301"/>
      <c r="D301"/>
      <c r="E301"/>
      <c r="F301"/>
    </row>
    <row r="302" spans="1:6" x14ac:dyDescent="0.25">
      <c r="A302" s="19"/>
      <c r="C302"/>
      <c r="D302"/>
      <c r="E302"/>
      <c r="F302"/>
    </row>
    <row r="303" spans="1:6" x14ac:dyDescent="0.25">
      <c r="A303" s="19"/>
      <c r="C303"/>
      <c r="D303"/>
      <c r="E303"/>
      <c r="F303"/>
    </row>
    <row r="304" spans="1:6" x14ac:dyDescent="0.25">
      <c r="A304" s="19"/>
      <c r="C304"/>
      <c r="D304"/>
      <c r="E304"/>
      <c r="F304"/>
    </row>
    <row r="305" spans="1:6" x14ac:dyDescent="0.25">
      <c r="A305" s="19"/>
      <c r="C305"/>
      <c r="D305"/>
      <c r="E305"/>
      <c r="F305"/>
    </row>
    <row r="306" spans="1:6" x14ac:dyDescent="0.25">
      <c r="A306" s="19"/>
      <c r="C306"/>
      <c r="D306"/>
      <c r="E306"/>
      <c r="F306"/>
    </row>
    <row r="307" spans="1:6" x14ac:dyDescent="0.25">
      <c r="A307" s="19"/>
      <c r="C307"/>
      <c r="D307"/>
      <c r="E307"/>
      <c r="F307"/>
    </row>
    <row r="308" spans="1:6" x14ac:dyDescent="0.25">
      <c r="A308" s="19"/>
      <c r="C308"/>
      <c r="D308"/>
      <c r="E308"/>
      <c r="F308"/>
    </row>
    <row r="309" spans="1:6" x14ac:dyDescent="0.25">
      <c r="A309" s="19"/>
      <c r="C309"/>
      <c r="D309"/>
      <c r="E309"/>
      <c r="F309"/>
    </row>
    <row r="310" spans="1:6" x14ac:dyDescent="0.25">
      <c r="A310" s="19"/>
      <c r="C310"/>
      <c r="D310"/>
      <c r="E310"/>
      <c r="F310"/>
    </row>
    <row r="311" spans="1:6" x14ac:dyDescent="0.25">
      <c r="A311" s="19"/>
      <c r="C311"/>
      <c r="D311"/>
      <c r="E311"/>
      <c r="F311"/>
    </row>
    <row r="312" spans="1:6" x14ac:dyDescent="0.25">
      <c r="A312" s="19"/>
      <c r="C312"/>
      <c r="D312"/>
      <c r="E312"/>
      <c r="F312"/>
    </row>
    <row r="313" spans="1:6" x14ac:dyDescent="0.25">
      <c r="A313" s="19"/>
      <c r="C313"/>
      <c r="D313"/>
      <c r="E313"/>
      <c r="F313"/>
    </row>
    <row r="314" spans="1:6" x14ac:dyDescent="0.25">
      <c r="A314" s="19"/>
      <c r="C314"/>
      <c r="D314"/>
      <c r="E314"/>
      <c r="F314"/>
    </row>
    <row r="315" spans="1:6" x14ac:dyDescent="0.25">
      <c r="A315" s="19"/>
      <c r="C315"/>
      <c r="D315"/>
      <c r="E315"/>
      <c r="F315"/>
    </row>
    <row r="316" spans="1:6" x14ac:dyDescent="0.25">
      <c r="A316" s="19"/>
      <c r="C316"/>
      <c r="D316"/>
      <c r="E316"/>
      <c r="F316"/>
    </row>
    <row r="317" spans="1:6" x14ac:dyDescent="0.25">
      <c r="A317" s="19"/>
      <c r="C317"/>
      <c r="D317"/>
      <c r="E317"/>
      <c r="F317"/>
    </row>
    <row r="318" spans="1:6" x14ac:dyDescent="0.25">
      <c r="A318" s="19"/>
      <c r="C318"/>
      <c r="D318"/>
      <c r="E318"/>
      <c r="F318"/>
    </row>
    <row r="319" spans="1:6" x14ac:dyDescent="0.25">
      <c r="A319" s="19"/>
      <c r="C319"/>
      <c r="D319"/>
      <c r="E319"/>
      <c r="F319"/>
    </row>
    <row r="320" spans="1:6" x14ac:dyDescent="0.25">
      <c r="A320" s="19"/>
      <c r="C320"/>
      <c r="D320"/>
      <c r="E320"/>
      <c r="F320"/>
    </row>
    <row r="321" spans="1:6" x14ac:dyDescent="0.25">
      <c r="A321" s="19"/>
      <c r="C321"/>
      <c r="D321"/>
      <c r="E321"/>
      <c r="F321"/>
    </row>
    <row r="322" spans="1:6" x14ac:dyDescent="0.25">
      <c r="A322" s="19"/>
      <c r="C322"/>
      <c r="D322"/>
      <c r="E322"/>
      <c r="F322"/>
    </row>
    <row r="323" spans="1:6" x14ac:dyDescent="0.25">
      <c r="A323" s="19"/>
      <c r="C323"/>
      <c r="D323"/>
      <c r="E323"/>
      <c r="F323"/>
    </row>
    <row r="324" spans="1:6" x14ac:dyDescent="0.25">
      <c r="A324" s="19"/>
      <c r="C324"/>
      <c r="D324"/>
      <c r="E324"/>
      <c r="F324"/>
    </row>
    <row r="325" spans="1:6" x14ac:dyDescent="0.25">
      <c r="A325" s="19"/>
      <c r="C325"/>
      <c r="D325"/>
      <c r="E325"/>
      <c r="F325"/>
    </row>
    <row r="326" spans="1:6" x14ac:dyDescent="0.25">
      <c r="A326" s="19"/>
      <c r="C326"/>
      <c r="D326"/>
      <c r="E326"/>
      <c r="F326"/>
    </row>
    <row r="327" spans="1:6" x14ac:dyDescent="0.25">
      <c r="A327" s="19"/>
      <c r="C327"/>
      <c r="D327"/>
      <c r="E327"/>
      <c r="F327"/>
    </row>
    <row r="328" spans="1:6" x14ac:dyDescent="0.25">
      <c r="A328" s="19"/>
      <c r="C328"/>
      <c r="D328"/>
      <c r="E328"/>
      <c r="F328"/>
    </row>
    <row r="329" spans="1:6" x14ac:dyDescent="0.25">
      <c r="A329" s="19"/>
      <c r="C329"/>
      <c r="D329"/>
      <c r="E329"/>
      <c r="F329"/>
    </row>
    <row r="330" spans="1:6" x14ac:dyDescent="0.25">
      <c r="A330" s="19"/>
      <c r="C330"/>
      <c r="D330"/>
      <c r="E330"/>
      <c r="F330"/>
    </row>
    <row r="331" spans="1:6" x14ac:dyDescent="0.25">
      <c r="A331" s="19"/>
      <c r="C331"/>
      <c r="D331"/>
      <c r="E331"/>
      <c r="F331"/>
    </row>
    <row r="332" spans="1:6" x14ac:dyDescent="0.25">
      <c r="A332" s="19"/>
      <c r="C332"/>
      <c r="D332"/>
      <c r="E332"/>
      <c r="F332"/>
    </row>
    <row r="333" spans="1:6" x14ac:dyDescent="0.25">
      <c r="A333" s="19"/>
      <c r="C333"/>
      <c r="D333"/>
      <c r="E333"/>
      <c r="F333"/>
    </row>
    <row r="334" spans="1:6" x14ac:dyDescent="0.25">
      <c r="A334" s="19"/>
      <c r="C334"/>
      <c r="D334"/>
      <c r="E334"/>
      <c r="F334"/>
    </row>
    <row r="335" spans="1:6" x14ac:dyDescent="0.25">
      <c r="A335" s="19"/>
      <c r="C335"/>
      <c r="D335"/>
      <c r="E335"/>
      <c r="F335"/>
    </row>
    <row r="336" spans="1:6" x14ac:dyDescent="0.25">
      <c r="A336" s="19"/>
      <c r="C336"/>
      <c r="D336"/>
      <c r="E336"/>
      <c r="F336"/>
    </row>
    <row r="337" spans="1:6" x14ac:dyDescent="0.25">
      <c r="A337" s="19"/>
      <c r="C337"/>
      <c r="D337"/>
      <c r="E337"/>
      <c r="F337"/>
    </row>
    <row r="338" spans="1:6" x14ac:dyDescent="0.25">
      <c r="A338" s="19"/>
      <c r="C338"/>
      <c r="D338"/>
      <c r="E338"/>
      <c r="F338"/>
    </row>
    <row r="339" spans="1:6" x14ac:dyDescent="0.25">
      <c r="A339" s="19"/>
      <c r="C339"/>
      <c r="D339"/>
      <c r="E339"/>
      <c r="F339"/>
    </row>
    <row r="340" spans="1:6" x14ac:dyDescent="0.25">
      <c r="A340" s="19"/>
      <c r="C340"/>
      <c r="D340"/>
      <c r="E340"/>
      <c r="F340"/>
    </row>
    <row r="341" spans="1:6" x14ac:dyDescent="0.25">
      <c r="A341" s="19"/>
      <c r="C341"/>
      <c r="D341"/>
      <c r="E341"/>
      <c r="F341"/>
    </row>
    <row r="342" spans="1:6" x14ac:dyDescent="0.25">
      <c r="A342" s="19"/>
      <c r="C342"/>
      <c r="D342"/>
      <c r="E342"/>
      <c r="F342"/>
    </row>
    <row r="343" spans="1:6" x14ac:dyDescent="0.25">
      <c r="A343" s="19"/>
      <c r="C343"/>
      <c r="D343"/>
      <c r="E343"/>
      <c r="F343"/>
    </row>
    <row r="344" spans="1:6" x14ac:dyDescent="0.25">
      <c r="A344" s="19"/>
      <c r="C344"/>
      <c r="D344"/>
      <c r="E344"/>
      <c r="F344"/>
    </row>
    <row r="345" spans="1:6" x14ac:dyDescent="0.25">
      <c r="A345" s="19"/>
      <c r="C345"/>
      <c r="D345"/>
      <c r="E345"/>
      <c r="F345"/>
    </row>
    <row r="346" spans="1:6" x14ac:dyDescent="0.25">
      <c r="A346" s="19"/>
      <c r="C346"/>
      <c r="D346"/>
      <c r="E346"/>
      <c r="F346"/>
    </row>
    <row r="347" spans="1:6" x14ac:dyDescent="0.25">
      <c r="A347" s="19"/>
      <c r="C347"/>
      <c r="D347"/>
      <c r="E347"/>
      <c r="F347"/>
    </row>
    <row r="348" spans="1:6" x14ac:dyDescent="0.25">
      <c r="A348" s="19"/>
      <c r="C348"/>
      <c r="D348"/>
      <c r="E348"/>
      <c r="F348"/>
    </row>
    <row r="349" spans="1:6" x14ac:dyDescent="0.25">
      <c r="A349" s="19"/>
      <c r="C349"/>
      <c r="D349"/>
      <c r="E349"/>
      <c r="F349"/>
    </row>
    <row r="350" spans="1:6" x14ac:dyDescent="0.25">
      <c r="A350" s="19"/>
      <c r="C350"/>
      <c r="D350"/>
      <c r="E350"/>
      <c r="F350"/>
    </row>
    <row r="351" spans="1:6" x14ac:dyDescent="0.25">
      <c r="A351" s="19"/>
      <c r="C351"/>
      <c r="D351"/>
      <c r="E351"/>
      <c r="F351"/>
    </row>
    <row r="352" spans="1:6" x14ac:dyDescent="0.25">
      <c r="A352" s="19"/>
      <c r="C352"/>
      <c r="D352"/>
      <c r="E352"/>
      <c r="F352"/>
    </row>
    <row r="353" spans="1:6" x14ac:dyDescent="0.25">
      <c r="A353" s="19"/>
      <c r="C353"/>
      <c r="D353"/>
      <c r="E353"/>
      <c r="F353"/>
    </row>
    <row r="354" spans="1:6" x14ac:dyDescent="0.25">
      <c r="A354" s="19"/>
      <c r="C354"/>
      <c r="D354"/>
      <c r="E354"/>
      <c r="F354"/>
    </row>
    <row r="355" spans="1:6" x14ac:dyDescent="0.25">
      <c r="A355" s="19"/>
      <c r="C355"/>
      <c r="D355"/>
      <c r="E355"/>
      <c r="F355"/>
    </row>
    <row r="356" spans="1:6" x14ac:dyDescent="0.25">
      <c r="A356" s="19"/>
      <c r="C356"/>
      <c r="D356"/>
      <c r="E356"/>
      <c r="F356"/>
    </row>
    <row r="357" spans="1:6" x14ac:dyDescent="0.25">
      <c r="A357" s="19"/>
      <c r="C357"/>
      <c r="D357"/>
      <c r="E357"/>
      <c r="F357"/>
    </row>
    <row r="358" spans="1:6" x14ac:dyDescent="0.25">
      <c r="A358" s="19"/>
      <c r="C358"/>
      <c r="D358"/>
      <c r="E358"/>
      <c r="F358"/>
    </row>
    <row r="359" spans="1:6" x14ac:dyDescent="0.25">
      <c r="A359" s="19"/>
      <c r="C359"/>
      <c r="D359"/>
      <c r="E359"/>
      <c r="F359"/>
    </row>
    <row r="360" spans="1:6" x14ac:dyDescent="0.25">
      <c r="A360" s="19"/>
      <c r="C360"/>
      <c r="D360"/>
      <c r="E360"/>
      <c r="F360"/>
    </row>
    <row r="361" spans="1:6" x14ac:dyDescent="0.25">
      <c r="A361" s="19"/>
      <c r="C361"/>
      <c r="D361"/>
      <c r="E361"/>
      <c r="F361"/>
    </row>
    <row r="362" spans="1:6" x14ac:dyDescent="0.25">
      <c r="A362" s="19"/>
      <c r="C362"/>
      <c r="D362"/>
      <c r="E362"/>
      <c r="F362"/>
    </row>
    <row r="363" spans="1:6" x14ac:dyDescent="0.25">
      <c r="A363" s="19"/>
      <c r="C363"/>
      <c r="D363"/>
      <c r="E363"/>
      <c r="F363"/>
    </row>
    <row r="364" spans="1:6" x14ac:dyDescent="0.25">
      <c r="A364" s="19"/>
      <c r="C364"/>
      <c r="D364"/>
      <c r="E364"/>
      <c r="F364"/>
    </row>
    <row r="365" spans="1:6" x14ac:dyDescent="0.25">
      <c r="A365" s="19"/>
      <c r="C365"/>
      <c r="D365"/>
      <c r="E365"/>
      <c r="F365"/>
    </row>
    <row r="366" spans="1:6" x14ac:dyDescent="0.25">
      <c r="A366" s="19"/>
      <c r="C366"/>
      <c r="D366"/>
      <c r="E366"/>
      <c r="F366"/>
    </row>
    <row r="367" spans="1:6" x14ac:dyDescent="0.25">
      <c r="A367" s="19"/>
      <c r="C367"/>
      <c r="D367"/>
      <c r="E367"/>
      <c r="F367"/>
    </row>
    <row r="368" spans="1:6" x14ac:dyDescent="0.25">
      <c r="A368" s="19"/>
      <c r="C368"/>
      <c r="D368"/>
      <c r="E368"/>
      <c r="F368"/>
    </row>
    <row r="369" spans="1:6" x14ac:dyDescent="0.25">
      <c r="A369" s="19"/>
      <c r="C369"/>
      <c r="D369"/>
      <c r="E369"/>
      <c r="F369"/>
    </row>
    <row r="370" spans="1:6" x14ac:dyDescent="0.25">
      <c r="A370" s="19"/>
      <c r="C370"/>
      <c r="D370"/>
      <c r="E370"/>
      <c r="F370"/>
    </row>
    <row r="371" spans="1:6" x14ac:dyDescent="0.25">
      <c r="A371" s="19"/>
      <c r="C371"/>
      <c r="D371"/>
      <c r="E371"/>
      <c r="F371"/>
    </row>
    <row r="372" spans="1:6" x14ac:dyDescent="0.25">
      <c r="A372" s="19"/>
      <c r="C372"/>
      <c r="D372"/>
      <c r="E372"/>
      <c r="F372"/>
    </row>
    <row r="373" spans="1:6" x14ac:dyDescent="0.25">
      <c r="A373" s="19"/>
      <c r="C373"/>
      <c r="D373"/>
      <c r="E373"/>
      <c r="F373"/>
    </row>
    <row r="374" spans="1:6" x14ac:dyDescent="0.25">
      <c r="A374" s="19"/>
      <c r="C374"/>
      <c r="D374"/>
      <c r="E374"/>
      <c r="F374"/>
    </row>
    <row r="375" spans="1:6" x14ac:dyDescent="0.25">
      <c r="A375" s="19"/>
      <c r="C375"/>
      <c r="D375"/>
      <c r="E375"/>
      <c r="F375"/>
    </row>
    <row r="376" spans="1:6" x14ac:dyDescent="0.25">
      <c r="A376" s="19"/>
      <c r="C376"/>
      <c r="D376"/>
      <c r="E376"/>
      <c r="F376"/>
    </row>
    <row r="377" spans="1:6" x14ac:dyDescent="0.25">
      <c r="A377" s="19"/>
      <c r="C377"/>
      <c r="D377"/>
      <c r="E377"/>
      <c r="F377"/>
    </row>
    <row r="378" spans="1:6" x14ac:dyDescent="0.25">
      <c r="A378" s="19"/>
      <c r="C378"/>
      <c r="D378"/>
      <c r="E378"/>
      <c r="F378"/>
    </row>
    <row r="379" spans="1:6" x14ac:dyDescent="0.25">
      <c r="A379" s="19"/>
      <c r="C379"/>
      <c r="D379"/>
      <c r="E379"/>
      <c r="F379"/>
    </row>
    <row r="380" spans="1:6" x14ac:dyDescent="0.25">
      <c r="A380" s="19"/>
      <c r="C380"/>
      <c r="D380"/>
      <c r="E380"/>
      <c r="F380"/>
    </row>
    <row r="381" spans="1:6" x14ac:dyDescent="0.25">
      <c r="A381" s="19"/>
      <c r="C381"/>
      <c r="D381"/>
      <c r="E381"/>
      <c r="F381"/>
    </row>
    <row r="382" spans="1:6" x14ac:dyDescent="0.25">
      <c r="A382" s="19"/>
      <c r="C382"/>
      <c r="D382"/>
      <c r="E382"/>
      <c r="F382"/>
    </row>
    <row r="383" spans="1:6" x14ac:dyDescent="0.25">
      <c r="A383" s="19"/>
      <c r="C383"/>
      <c r="D383"/>
      <c r="E383"/>
      <c r="F383"/>
    </row>
    <row r="384" spans="1:6" x14ac:dyDescent="0.25">
      <c r="A384" s="19"/>
      <c r="C384"/>
      <c r="D384"/>
      <c r="E384"/>
      <c r="F384"/>
    </row>
    <row r="385" spans="1:6" x14ac:dyDescent="0.25">
      <c r="A385" s="19"/>
      <c r="C385"/>
      <c r="D385"/>
      <c r="E385"/>
      <c r="F385"/>
    </row>
    <row r="386" spans="1:6" x14ac:dyDescent="0.25">
      <c r="A386" s="19"/>
      <c r="C386"/>
      <c r="D386"/>
      <c r="E386"/>
      <c r="F386"/>
    </row>
    <row r="387" spans="1:6" x14ac:dyDescent="0.25">
      <c r="A387" s="19"/>
      <c r="C387"/>
      <c r="D387"/>
      <c r="E387"/>
      <c r="F387"/>
    </row>
    <row r="388" spans="1:6" x14ac:dyDescent="0.25">
      <c r="A388" s="19"/>
      <c r="C388"/>
      <c r="D388"/>
      <c r="E388"/>
      <c r="F388"/>
    </row>
    <row r="389" spans="1:6" x14ac:dyDescent="0.25">
      <c r="A389" s="19"/>
      <c r="C389"/>
      <c r="D389"/>
      <c r="E389"/>
      <c r="F389"/>
    </row>
    <row r="390" spans="1:6" x14ac:dyDescent="0.25">
      <c r="A390" s="19"/>
      <c r="C390"/>
      <c r="D390"/>
      <c r="E390"/>
      <c r="F390"/>
    </row>
    <row r="391" spans="1:6" x14ac:dyDescent="0.25">
      <c r="A391" s="19"/>
      <c r="C391"/>
      <c r="D391"/>
      <c r="E391"/>
      <c r="F391"/>
    </row>
    <row r="392" spans="1:6" x14ac:dyDescent="0.25">
      <c r="A392" s="19"/>
      <c r="C392"/>
      <c r="D392"/>
      <c r="E392"/>
      <c r="F392"/>
    </row>
    <row r="393" spans="1:6" x14ac:dyDescent="0.25">
      <c r="A393" s="19"/>
      <c r="C393"/>
      <c r="D393"/>
      <c r="E393"/>
      <c r="F393"/>
    </row>
    <row r="394" spans="1:6" x14ac:dyDescent="0.25">
      <c r="A394" s="19"/>
      <c r="C394"/>
      <c r="D394"/>
      <c r="E394"/>
      <c r="F394"/>
    </row>
    <row r="395" spans="1:6" x14ac:dyDescent="0.25">
      <c r="A395" s="19"/>
      <c r="C395"/>
      <c r="D395"/>
      <c r="E395"/>
      <c r="F395"/>
    </row>
    <row r="396" spans="1:6" x14ac:dyDescent="0.25">
      <c r="A396" s="19"/>
      <c r="C396"/>
      <c r="D396"/>
      <c r="E396"/>
      <c r="F396"/>
    </row>
    <row r="397" spans="1:6" x14ac:dyDescent="0.25">
      <c r="A397" s="19"/>
      <c r="C397"/>
      <c r="D397"/>
      <c r="E397"/>
      <c r="F397"/>
    </row>
    <row r="398" spans="1:6" x14ac:dyDescent="0.25">
      <c r="A398" s="19"/>
      <c r="C398"/>
      <c r="D398"/>
      <c r="E398"/>
      <c r="F398"/>
    </row>
    <row r="399" spans="1:6" x14ac:dyDescent="0.25">
      <c r="A399" s="19"/>
      <c r="C399"/>
      <c r="D399"/>
      <c r="E399"/>
      <c r="F399"/>
    </row>
    <row r="400" spans="1:6" x14ac:dyDescent="0.25">
      <c r="A400" s="19"/>
      <c r="C400"/>
      <c r="D400"/>
      <c r="E400"/>
      <c r="F400"/>
    </row>
    <row r="401" spans="1:6" x14ac:dyDescent="0.25">
      <c r="A401" s="19"/>
      <c r="C401"/>
      <c r="D401"/>
      <c r="E401"/>
      <c r="F401"/>
    </row>
    <row r="402" spans="1:6" x14ac:dyDescent="0.25">
      <c r="A402" s="19"/>
      <c r="C402"/>
      <c r="D402"/>
      <c r="E402"/>
      <c r="F402"/>
    </row>
    <row r="403" spans="1:6" x14ac:dyDescent="0.25">
      <c r="A403" s="19"/>
      <c r="C403"/>
      <c r="D403"/>
      <c r="E403"/>
      <c r="F403"/>
    </row>
    <row r="404" spans="1:6" x14ac:dyDescent="0.25">
      <c r="A404" s="19"/>
      <c r="C404"/>
      <c r="D404"/>
      <c r="E404"/>
      <c r="F404"/>
    </row>
    <row r="405" spans="1:6" x14ac:dyDescent="0.25">
      <c r="A405" s="19"/>
      <c r="C405"/>
      <c r="D405"/>
      <c r="E405"/>
      <c r="F405"/>
    </row>
    <row r="406" spans="1:6" x14ac:dyDescent="0.25">
      <c r="A406" s="19"/>
      <c r="C406"/>
      <c r="D406"/>
      <c r="E406"/>
      <c r="F406"/>
    </row>
    <row r="407" spans="1:6" x14ac:dyDescent="0.25">
      <c r="A407" s="19"/>
      <c r="C407"/>
      <c r="D407"/>
      <c r="E407"/>
      <c r="F407"/>
    </row>
    <row r="408" spans="1:6" x14ac:dyDescent="0.25">
      <c r="A408" s="19"/>
      <c r="C408"/>
      <c r="D408"/>
      <c r="E408"/>
      <c r="F408"/>
    </row>
    <row r="409" spans="1:6" x14ac:dyDescent="0.25">
      <c r="A409" s="19"/>
      <c r="C409"/>
      <c r="D409"/>
      <c r="E409"/>
      <c r="F409"/>
    </row>
    <row r="410" spans="1:6" x14ac:dyDescent="0.25">
      <c r="A410" s="19"/>
      <c r="C410"/>
      <c r="D410"/>
      <c r="E410"/>
      <c r="F410"/>
    </row>
    <row r="411" spans="1:6" x14ac:dyDescent="0.25">
      <c r="A411" s="19"/>
      <c r="C411"/>
      <c r="D411"/>
      <c r="E411"/>
      <c r="F411"/>
    </row>
    <row r="412" spans="1:6" x14ac:dyDescent="0.25">
      <c r="A412" s="19"/>
      <c r="C412"/>
      <c r="D412"/>
      <c r="E412"/>
      <c r="F412"/>
    </row>
    <row r="413" spans="1:6" x14ac:dyDescent="0.25">
      <c r="A413" s="19"/>
      <c r="C413"/>
      <c r="D413"/>
      <c r="E413"/>
      <c r="F413"/>
    </row>
    <row r="414" spans="1:6" x14ac:dyDescent="0.25">
      <c r="A414" s="19"/>
      <c r="C414"/>
      <c r="D414"/>
      <c r="E414"/>
      <c r="F414"/>
    </row>
    <row r="415" spans="1:6" x14ac:dyDescent="0.25">
      <c r="A415" s="19"/>
      <c r="C415"/>
      <c r="D415"/>
      <c r="E415"/>
      <c r="F415"/>
    </row>
    <row r="416" spans="1:6" x14ac:dyDescent="0.25">
      <c r="A416" s="19"/>
      <c r="C416"/>
      <c r="D416"/>
      <c r="E416"/>
      <c r="F416"/>
    </row>
    <row r="417" spans="1:6" x14ac:dyDescent="0.25">
      <c r="A417" s="19"/>
      <c r="C417"/>
      <c r="D417"/>
      <c r="E417"/>
      <c r="F417"/>
    </row>
    <row r="418" spans="1:6" x14ac:dyDescent="0.25">
      <c r="A418" s="19"/>
      <c r="C418"/>
      <c r="D418"/>
      <c r="E418"/>
      <c r="F418"/>
    </row>
    <row r="419" spans="1:6" x14ac:dyDescent="0.25">
      <c r="A419" s="19"/>
      <c r="C419"/>
      <c r="D419"/>
      <c r="E419"/>
      <c r="F419"/>
    </row>
    <row r="420" spans="1:6" x14ac:dyDescent="0.25">
      <c r="A420" s="19"/>
      <c r="C420"/>
      <c r="D420"/>
      <c r="E420"/>
      <c r="F420"/>
    </row>
    <row r="421" spans="1:6" x14ac:dyDescent="0.25">
      <c r="A421" s="19"/>
      <c r="C421"/>
      <c r="D421"/>
      <c r="E421"/>
      <c r="F421"/>
    </row>
    <row r="422" spans="1:6" x14ac:dyDescent="0.25">
      <c r="A422" s="19"/>
      <c r="C422"/>
      <c r="D422"/>
      <c r="E422"/>
      <c r="F422"/>
    </row>
    <row r="423" spans="1:6" x14ac:dyDescent="0.25">
      <c r="A423" s="19"/>
      <c r="C423"/>
      <c r="D423"/>
      <c r="E423"/>
      <c r="F423"/>
    </row>
    <row r="424" spans="1:6" x14ac:dyDescent="0.25">
      <c r="A424" s="19"/>
      <c r="C424"/>
      <c r="D424"/>
      <c r="E424"/>
      <c r="F424"/>
    </row>
    <row r="425" spans="1:6" x14ac:dyDescent="0.25">
      <c r="A425" s="19"/>
      <c r="C425"/>
      <c r="D425"/>
      <c r="E425"/>
      <c r="F425"/>
    </row>
    <row r="426" spans="1:6" x14ac:dyDescent="0.25">
      <c r="A426" s="19"/>
      <c r="C426"/>
      <c r="D426"/>
      <c r="E426"/>
      <c r="F426"/>
    </row>
    <row r="427" spans="1:6" x14ac:dyDescent="0.25">
      <c r="A427" s="19"/>
      <c r="C427"/>
      <c r="D427"/>
      <c r="E427"/>
      <c r="F427"/>
    </row>
    <row r="428" spans="1:6" x14ac:dyDescent="0.25">
      <c r="A428" s="19"/>
      <c r="C428"/>
      <c r="D428"/>
      <c r="E428"/>
      <c r="F428"/>
    </row>
    <row r="429" spans="1:6" x14ac:dyDescent="0.25">
      <c r="A429" s="19"/>
      <c r="C429"/>
      <c r="D429"/>
      <c r="E429"/>
      <c r="F429"/>
    </row>
    <row r="430" spans="1:6" x14ac:dyDescent="0.25">
      <c r="A430" s="19"/>
      <c r="C430"/>
      <c r="D430"/>
      <c r="E430"/>
      <c r="F430"/>
    </row>
    <row r="431" spans="1:6" x14ac:dyDescent="0.25">
      <c r="A431" s="19"/>
      <c r="C431"/>
      <c r="D431"/>
      <c r="E431"/>
      <c r="F431"/>
    </row>
    <row r="432" spans="1:6" x14ac:dyDescent="0.25">
      <c r="A432" s="19"/>
      <c r="C432"/>
      <c r="D432"/>
      <c r="E432"/>
      <c r="F432"/>
    </row>
    <row r="433" spans="1:6" x14ac:dyDescent="0.25">
      <c r="A433" s="19"/>
      <c r="C433"/>
      <c r="D433"/>
      <c r="E433"/>
      <c r="F433"/>
    </row>
    <row r="434" spans="1:6" x14ac:dyDescent="0.25">
      <c r="A434" s="19"/>
      <c r="C434"/>
      <c r="D434"/>
      <c r="E434"/>
      <c r="F434"/>
    </row>
    <row r="435" spans="1:6" x14ac:dyDescent="0.25">
      <c r="A435" s="19"/>
      <c r="C435"/>
      <c r="D435"/>
      <c r="E435"/>
      <c r="F435"/>
    </row>
    <row r="436" spans="1:6" x14ac:dyDescent="0.25">
      <c r="A436" s="19"/>
      <c r="C436"/>
      <c r="D436"/>
      <c r="E436"/>
      <c r="F436"/>
    </row>
    <row r="437" spans="1:6" x14ac:dyDescent="0.25">
      <c r="A437" s="19"/>
      <c r="C437"/>
      <c r="D437"/>
      <c r="E437"/>
      <c r="F437"/>
    </row>
    <row r="438" spans="1:6" x14ac:dyDescent="0.25">
      <c r="A438" s="19"/>
      <c r="C438"/>
      <c r="D438"/>
      <c r="E438"/>
      <c r="F438"/>
    </row>
    <row r="439" spans="1:6" x14ac:dyDescent="0.25">
      <c r="A439" s="19"/>
      <c r="C439"/>
      <c r="D439"/>
      <c r="E439"/>
      <c r="F439"/>
    </row>
    <row r="440" spans="1:6" x14ac:dyDescent="0.25">
      <c r="A440" s="19"/>
      <c r="C440"/>
      <c r="D440"/>
      <c r="E440"/>
      <c r="F440"/>
    </row>
    <row r="441" spans="1:6" x14ac:dyDescent="0.25">
      <c r="A441" s="19"/>
      <c r="C441"/>
      <c r="D441"/>
      <c r="E441"/>
      <c r="F441"/>
    </row>
    <row r="442" spans="1:6" x14ac:dyDescent="0.25">
      <c r="A442" s="19"/>
      <c r="C442"/>
      <c r="D442"/>
      <c r="E442"/>
      <c r="F442"/>
    </row>
    <row r="443" spans="1:6" x14ac:dyDescent="0.25">
      <c r="A443" s="19"/>
      <c r="C443"/>
      <c r="D443"/>
      <c r="E443"/>
      <c r="F443"/>
    </row>
    <row r="444" spans="1:6" x14ac:dyDescent="0.25">
      <c r="A444" s="19"/>
      <c r="C444"/>
      <c r="D444"/>
      <c r="E444"/>
      <c r="F444"/>
    </row>
    <row r="445" spans="1:6" x14ac:dyDescent="0.25">
      <c r="A445" s="19"/>
      <c r="C445"/>
      <c r="D445"/>
      <c r="E445"/>
      <c r="F445"/>
    </row>
    <row r="446" spans="1:6" x14ac:dyDescent="0.25">
      <c r="A446" s="19"/>
      <c r="C446"/>
      <c r="D446"/>
      <c r="E446"/>
      <c r="F446"/>
    </row>
    <row r="447" spans="1:6" x14ac:dyDescent="0.25">
      <c r="A447" s="19"/>
      <c r="C447"/>
      <c r="D447"/>
      <c r="E447"/>
      <c r="F447"/>
    </row>
    <row r="448" spans="1:6" x14ac:dyDescent="0.25">
      <c r="A448" s="19"/>
      <c r="C448"/>
      <c r="D448"/>
      <c r="E448"/>
      <c r="F448"/>
    </row>
    <row r="449" spans="1:6" x14ac:dyDescent="0.25">
      <c r="A449" s="19"/>
      <c r="C449"/>
      <c r="D449"/>
      <c r="E449"/>
      <c r="F449"/>
    </row>
    <row r="450" spans="1:6" x14ac:dyDescent="0.25">
      <c r="A450" s="19"/>
      <c r="C450"/>
      <c r="D450"/>
      <c r="E450"/>
      <c r="F450"/>
    </row>
    <row r="451" spans="1:6" x14ac:dyDescent="0.25">
      <c r="A451" s="19"/>
      <c r="C451"/>
      <c r="D451"/>
      <c r="E451"/>
      <c r="F451"/>
    </row>
    <row r="452" spans="1:6" x14ac:dyDescent="0.25">
      <c r="A452" s="19"/>
      <c r="C452"/>
      <c r="D452"/>
      <c r="E452"/>
      <c r="F452"/>
    </row>
    <row r="453" spans="1:6" x14ac:dyDescent="0.25">
      <c r="A453" s="19"/>
      <c r="C453"/>
      <c r="D453"/>
      <c r="E453"/>
      <c r="F453"/>
    </row>
    <row r="454" spans="1:6" x14ac:dyDescent="0.25">
      <c r="A454" s="19"/>
      <c r="C454"/>
      <c r="D454"/>
      <c r="E454"/>
      <c r="F454"/>
    </row>
    <row r="455" spans="1:6" x14ac:dyDescent="0.25">
      <c r="A455" s="19"/>
      <c r="C455"/>
      <c r="D455"/>
      <c r="E455"/>
      <c r="F455"/>
    </row>
    <row r="456" spans="1:6" x14ac:dyDescent="0.25">
      <c r="A456" s="19"/>
      <c r="C456"/>
      <c r="D456"/>
      <c r="E456"/>
      <c r="F456"/>
    </row>
    <row r="457" spans="1:6" x14ac:dyDescent="0.25">
      <c r="A457" s="19"/>
      <c r="C457"/>
      <c r="D457"/>
      <c r="E457"/>
      <c r="F457"/>
    </row>
    <row r="458" spans="1:6" x14ac:dyDescent="0.25">
      <c r="A458" s="19"/>
      <c r="C458"/>
      <c r="D458"/>
      <c r="E458"/>
      <c r="F458"/>
    </row>
    <row r="459" spans="1:6" x14ac:dyDescent="0.25">
      <c r="A459" s="19"/>
      <c r="C459"/>
      <c r="D459"/>
      <c r="E459"/>
      <c r="F459"/>
    </row>
    <row r="460" spans="1:6" x14ac:dyDescent="0.25">
      <c r="A460" s="19"/>
      <c r="C460"/>
      <c r="D460"/>
      <c r="E460"/>
      <c r="F460"/>
    </row>
    <row r="461" spans="1:6" x14ac:dyDescent="0.25">
      <c r="A461" s="19"/>
      <c r="C461"/>
      <c r="D461"/>
      <c r="E461"/>
      <c r="F461"/>
    </row>
    <row r="462" spans="1:6" x14ac:dyDescent="0.25">
      <c r="A462" s="19"/>
      <c r="C462"/>
      <c r="D462"/>
      <c r="E462"/>
      <c r="F462"/>
    </row>
    <row r="463" spans="1:6" x14ac:dyDescent="0.25">
      <c r="A463" s="19"/>
      <c r="C463"/>
      <c r="D463"/>
      <c r="E463"/>
      <c r="F463"/>
    </row>
    <row r="464" spans="1:6" x14ac:dyDescent="0.25">
      <c r="A464" s="19"/>
      <c r="C464"/>
      <c r="D464"/>
      <c r="E464"/>
      <c r="F464"/>
    </row>
    <row r="465" spans="1:6" x14ac:dyDescent="0.25">
      <c r="A465" s="19"/>
      <c r="C465"/>
      <c r="D465"/>
      <c r="E465"/>
      <c r="F465"/>
    </row>
    <row r="466" spans="1:6" x14ac:dyDescent="0.25">
      <c r="A466" s="19"/>
      <c r="C466"/>
      <c r="D466"/>
      <c r="E466"/>
      <c r="F466"/>
    </row>
    <row r="467" spans="1:6" x14ac:dyDescent="0.25">
      <c r="A467" s="19"/>
      <c r="C467"/>
      <c r="D467"/>
      <c r="E467"/>
      <c r="F467"/>
    </row>
    <row r="468" spans="1:6" x14ac:dyDescent="0.25">
      <c r="A468" s="19"/>
      <c r="C468"/>
      <c r="D468"/>
      <c r="E468"/>
      <c r="F468"/>
    </row>
    <row r="469" spans="1:6" x14ac:dyDescent="0.25">
      <c r="A469" s="19"/>
      <c r="C469"/>
      <c r="D469"/>
      <c r="E469"/>
      <c r="F469"/>
    </row>
    <row r="470" spans="1:6" x14ac:dyDescent="0.25">
      <c r="A470" s="19"/>
      <c r="C470"/>
      <c r="D470"/>
      <c r="E470"/>
      <c r="F470"/>
    </row>
    <row r="471" spans="1:6" x14ac:dyDescent="0.25">
      <c r="A471" s="19"/>
      <c r="C471"/>
      <c r="D471"/>
      <c r="E471"/>
      <c r="F471"/>
    </row>
    <row r="472" spans="1:6" x14ac:dyDescent="0.25">
      <c r="A472" s="19"/>
      <c r="C472"/>
      <c r="D472"/>
      <c r="E472"/>
      <c r="F472"/>
    </row>
    <row r="473" spans="1:6" x14ac:dyDescent="0.25">
      <c r="A473" s="19"/>
      <c r="C473"/>
      <c r="D473"/>
      <c r="E473"/>
      <c r="F473"/>
    </row>
    <row r="474" spans="1:6" x14ac:dyDescent="0.25">
      <c r="A474" s="19"/>
      <c r="C474"/>
      <c r="D474"/>
      <c r="E474"/>
      <c r="F474"/>
    </row>
    <row r="475" spans="1:6" x14ac:dyDescent="0.25">
      <c r="A475" s="19"/>
      <c r="C475"/>
      <c r="D475"/>
      <c r="E475"/>
      <c r="F475"/>
    </row>
    <row r="476" spans="1:6" x14ac:dyDescent="0.25">
      <c r="A476" s="19"/>
      <c r="C476"/>
      <c r="D476"/>
      <c r="E476"/>
      <c r="F476"/>
    </row>
    <row r="477" spans="1:6" x14ac:dyDescent="0.25">
      <c r="A477" s="19"/>
      <c r="C477"/>
      <c r="D477"/>
      <c r="E477"/>
      <c r="F477"/>
    </row>
    <row r="478" spans="1:6" x14ac:dyDescent="0.25">
      <c r="A478" s="19"/>
      <c r="C478"/>
      <c r="D478"/>
      <c r="E478"/>
      <c r="F478"/>
    </row>
    <row r="479" spans="1:6" x14ac:dyDescent="0.25">
      <c r="A479" s="19"/>
      <c r="C479"/>
      <c r="D479"/>
      <c r="E479"/>
      <c r="F479"/>
    </row>
    <row r="480" spans="1:6" x14ac:dyDescent="0.25">
      <c r="A480" s="19"/>
      <c r="C480"/>
      <c r="D480"/>
      <c r="E480"/>
      <c r="F480"/>
    </row>
    <row r="481" spans="1:6" x14ac:dyDescent="0.25">
      <c r="A481" s="19"/>
      <c r="C481"/>
      <c r="D481"/>
      <c r="E481"/>
      <c r="F481"/>
    </row>
    <row r="482" spans="1:6" x14ac:dyDescent="0.25">
      <c r="A482" s="19"/>
      <c r="C482"/>
      <c r="D482"/>
      <c r="E482"/>
      <c r="F482"/>
    </row>
    <row r="483" spans="1:6" x14ac:dyDescent="0.25">
      <c r="A483" s="19"/>
      <c r="C483"/>
      <c r="D483"/>
      <c r="E483"/>
      <c r="F483"/>
    </row>
    <row r="484" spans="1:6" x14ac:dyDescent="0.25">
      <c r="A484" s="19"/>
      <c r="C484"/>
      <c r="D484"/>
      <c r="E484"/>
      <c r="F484"/>
    </row>
    <row r="485" spans="1:6" x14ac:dyDescent="0.25">
      <c r="A485" s="19"/>
      <c r="C485"/>
      <c r="D485"/>
      <c r="E485"/>
      <c r="F485"/>
    </row>
    <row r="486" spans="1:6" x14ac:dyDescent="0.25">
      <c r="A486" s="19"/>
      <c r="C486"/>
      <c r="D486"/>
      <c r="E486"/>
      <c r="F486"/>
    </row>
    <row r="487" spans="1:6" x14ac:dyDescent="0.25">
      <c r="A487" s="19"/>
      <c r="C487"/>
      <c r="D487"/>
      <c r="E487"/>
      <c r="F487"/>
    </row>
    <row r="488" spans="1:6" x14ac:dyDescent="0.25">
      <c r="A488" s="19"/>
      <c r="C488"/>
      <c r="D488"/>
      <c r="E488"/>
      <c r="F488"/>
    </row>
    <row r="489" spans="1:6" x14ac:dyDescent="0.25">
      <c r="A489" s="19"/>
      <c r="C489"/>
      <c r="D489"/>
      <c r="E489"/>
      <c r="F489"/>
    </row>
    <row r="490" spans="1:6" x14ac:dyDescent="0.25">
      <c r="A490" s="19"/>
      <c r="C490"/>
      <c r="D490"/>
      <c r="E490"/>
      <c r="F490"/>
    </row>
    <row r="491" spans="1:6" x14ac:dyDescent="0.25">
      <c r="A491" s="19"/>
      <c r="C491"/>
      <c r="D491"/>
      <c r="E491"/>
      <c r="F491"/>
    </row>
    <row r="492" spans="1:6" x14ac:dyDescent="0.25">
      <c r="A492" s="19"/>
      <c r="C492"/>
      <c r="D492"/>
      <c r="E492"/>
      <c r="F492"/>
    </row>
    <row r="493" spans="1:6" x14ac:dyDescent="0.25">
      <c r="A493" s="19"/>
      <c r="C493"/>
      <c r="D493"/>
      <c r="E493"/>
      <c r="F493"/>
    </row>
    <row r="494" spans="1:6" x14ac:dyDescent="0.25">
      <c r="A494" s="19"/>
      <c r="C494"/>
      <c r="D494"/>
      <c r="E494"/>
      <c r="F494"/>
    </row>
    <row r="495" spans="1:6" x14ac:dyDescent="0.25">
      <c r="A495" s="19"/>
      <c r="C495"/>
      <c r="D495"/>
      <c r="E495"/>
      <c r="F495"/>
    </row>
    <row r="496" spans="1:6" x14ac:dyDescent="0.25">
      <c r="A496" s="19"/>
      <c r="C496"/>
      <c r="D496"/>
      <c r="E496"/>
      <c r="F496"/>
    </row>
    <row r="497" spans="1:6" x14ac:dyDescent="0.25">
      <c r="A497" s="19"/>
      <c r="C497"/>
      <c r="D497"/>
      <c r="E497"/>
      <c r="F497"/>
    </row>
    <row r="498" spans="1:6" x14ac:dyDescent="0.25">
      <c r="A498" s="19"/>
      <c r="C498"/>
      <c r="D498"/>
      <c r="E498"/>
      <c r="F498"/>
    </row>
    <row r="499" spans="1:6" x14ac:dyDescent="0.25">
      <c r="A499" s="19"/>
      <c r="C499"/>
      <c r="D499"/>
      <c r="E499"/>
      <c r="F499"/>
    </row>
    <row r="500" spans="1:6" x14ac:dyDescent="0.25">
      <c r="A500" s="19"/>
      <c r="C500"/>
      <c r="D500"/>
      <c r="E500"/>
      <c r="F500"/>
    </row>
    <row r="501" spans="1:6" x14ac:dyDescent="0.25">
      <c r="A501" s="19"/>
      <c r="C501"/>
      <c r="D501"/>
      <c r="E501"/>
      <c r="F501"/>
    </row>
    <row r="502" spans="1:6" x14ac:dyDescent="0.25">
      <c r="A502" s="19"/>
      <c r="C502"/>
      <c r="D502"/>
      <c r="E502"/>
      <c r="F502"/>
    </row>
    <row r="503" spans="1:6" x14ac:dyDescent="0.25">
      <c r="A503" s="19"/>
      <c r="C503"/>
      <c r="D503"/>
      <c r="E503"/>
      <c r="F503"/>
    </row>
    <row r="504" spans="1:6" x14ac:dyDescent="0.25">
      <c r="A504" s="19"/>
      <c r="C504"/>
      <c r="D504"/>
      <c r="E504"/>
      <c r="F504"/>
    </row>
    <row r="505" spans="1:6" x14ac:dyDescent="0.25">
      <c r="A505" s="19"/>
      <c r="C505"/>
      <c r="D505"/>
      <c r="E505"/>
      <c r="F505"/>
    </row>
    <row r="506" spans="1:6" x14ac:dyDescent="0.25">
      <c r="A506" s="19"/>
      <c r="C506"/>
      <c r="D506"/>
      <c r="E506"/>
      <c r="F506"/>
    </row>
    <row r="507" spans="1:6" x14ac:dyDescent="0.25">
      <c r="A507" s="19"/>
      <c r="C507"/>
      <c r="D507"/>
      <c r="E507"/>
      <c r="F507"/>
    </row>
    <row r="508" spans="1:6" x14ac:dyDescent="0.25">
      <c r="A508" s="19"/>
      <c r="C508"/>
      <c r="D508"/>
      <c r="E508"/>
      <c r="F508"/>
    </row>
    <row r="509" spans="1:6" x14ac:dyDescent="0.25">
      <c r="A509" s="19"/>
      <c r="C509"/>
      <c r="D509"/>
      <c r="E509"/>
      <c r="F509"/>
    </row>
    <row r="510" spans="1:6" x14ac:dyDescent="0.25">
      <c r="A510" s="19"/>
      <c r="C510"/>
      <c r="D510"/>
      <c r="E510"/>
      <c r="F510"/>
    </row>
    <row r="511" spans="1:6" x14ac:dyDescent="0.25">
      <c r="A511" s="19"/>
      <c r="C511"/>
      <c r="D511"/>
      <c r="E511"/>
      <c r="F511"/>
    </row>
    <row r="512" spans="1:6" x14ac:dyDescent="0.25">
      <c r="A512" s="19"/>
      <c r="C512"/>
      <c r="D512"/>
      <c r="E512"/>
      <c r="F512"/>
    </row>
    <row r="513" spans="1:6" x14ac:dyDescent="0.25">
      <c r="A513" s="19"/>
      <c r="C513"/>
      <c r="D513"/>
      <c r="E513"/>
      <c r="F513"/>
    </row>
    <row r="514" spans="1:6" x14ac:dyDescent="0.25">
      <c r="A514" s="19"/>
      <c r="C514"/>
      <c r="D514"/>
      <c r="E514"/>
      <c r="F514"/>
    </row>
    <row r="515" spans="1:6" x14ac:dyDescent="0.25">
      <c r="A515" s="19"/>
      <c r="C515"/>
      <c r="D515"/>
      <c r="E515"/>
      <c r="F515"/>
    </row>
    <row r="516" spans="1:6" x14ac:dyDescent="0.25">
      <c r="A516" s="19"/>
      <c r="C516"/>
      <c r="D516"/>
      <c r="E516"/>
      <c r="F516"/>
    </row>
    <row r="517" spans="1:6" x14ac:dyDescent="0.25">
      <c r="A517" s="19"/>
      <c r="C517"/>
      <c r="D517"/>
      <c r="E517"/>
      <c r="F517"/>
    </row>
    <row r="518" spans="1:6" x14ac:dyDescent="0.25">
      <c r="A518" s="19"/>
      <c r="C518"/>
      <c r="D518"/>
      <c r="E518"/>
      <c r="F518"/>
    </row>
    <row r="519" spans="1:6" x14ac:dyDescent="0.25">
      <c r="A519" s="19"/>
      <c r="C519"/>
      <c r="D519"/>
      <c r="E519"/>
      <c r="F519"/>
    </row>
    <row r="520" spans="1:6" x14ac:dyDescent="0.25">
      <c r="A520" s="19"/>
      <c r="C520"/>
      <c r="D520"/>
      <c r="E520"/>
      <c r="F520"/>
    </row>
    <row r="521" spans="1:6" x14ac:dyDescent="0.25">
      <c r="A521" s="19"/>
      <c r="C521"/>
      <c r="D521"/>
      <c r="E521"/>
      <c r="F521"/>
    </row>
    <row r="522" spans="1:6" x14ac:dyDescent="0.25">
      <c r="A522" s="19"/>
      <c r="C522"/>
      <c r="D522"/>
      <c r="E522"/>
      <c r="F522"/>
    </row>
    <row r="523" spans="1:6" x14ac:dyDescent="0.25">
      <c r="A523" s="19"/>
      <c r="C523"/>
      <c r="D523"/>
      <c r="E523"/>
      <c r="F523"/>
    </row>
    <row r="524" spans="1:6" x14ac:dyDescent="0.25">
      <c r="A524" s="19"/>
      <c r="C524"/>
      <c r="D524"/>
      <c r="E524"/>
      <c r="F524"/>
    </row>
    <row r="525" spans="1:6" x14ac:dyDescent="0.25">
      <c r="A525" s="19"/>
      <c r="C525"/>
      <c r="D525"/>
      <c r="E525"/>
      <c r="F525"/>
    </row>
    <row r="526" spans="1:6" x14ac:dyDescent="0.25">
      <c r="A526" s="19"/>
      <c r="C526"/>
      <c r="D526"/>
      <c r="E526"/>
      <c r="F526"/>
    </row>
    <row r="527" spans="1:6" x14ac:dyDescent="0.25">
      <c r="A527" s="19"/>
      <c r="C527"/>
      <c r="D527"/>
      <c r="E527"/>
      <c r="F527"/>
    </row>
    <row r="528" spans="1:6" x14ac:dyDescent="0.25">
      <c r="A528" s="19"/>
      <c r="C528"/>
      <c r="D528"/>
      <c r="E528"/>
      <c r="F528"/>
    </row>
    <row r="529" spans="1:6" x14ac:dyDescent="0.25">
      <c r="A529" s="19"/>
      <c r="C529"/>
      <c r="D529"/>
      <c r="E529"/>
      <c r="F529"/>
    </row>
    <row r="530" spans="1:6" x14ac:dyDescent="0.25">
      <c r="A530" s="19"/>
      <c r="C530"/>
      <c r="D530"/>
      <c r="E530"/>
      <c r="F530"/>
    </row>
    <row r="531" spans="1:6" x14ac:dyDescent="0.25">
      <c r="A531" s="19"/>
      <c r="C531"/>
      <c r="D531"/>
      <c r="E531"/>
      <c r="F531"/>
    </row>
    <row r="532" spans="1:6" x14ac:dyDescent="0.25">
      <c r="A532" s="19"/>
      <c r="C532"/>
      <c r="D532"/>
      <c r="E532"/>
      <c r="F532"/>
    </row>
    <row r="533" spans="1:6" x14ac:dyDescent="0.25">
      <c r="A533" s="19"/>
      <c r="C533"/>
      <c r="D533"/>
      <c r="E533"/>
      <c r="F533"/>
    </row>
    <row r="534" spans="1:6" x14ac:dyDescent="0.25">
      <c r="A534" s="19"/>
      <c r="C534"/>
      <c r="D534"/>
      <c r="E534"/>
      <c r="F534"/>
    </row>
    <row r="535" spans="1:6" x14ac:dyDescent="0.25">
      <c r="A535" s="19"/>
      <c r="C535"/>
      <c r="D535"/>
      <c r="E535"/>
      <c r="F535"/>
    </row>
    <row r="536" spans="1:6" x14ac:dyDescent="0.25">
      <c r="A536" s="19"/>
      <c r="C536"/>
      <c r="D536"/>
      <c r="E536"/>
      <c r="F536"/>
    </row>
    <row r="537" spans="1:6" x14ac:dyDescent="0.25">
      <c r="A537" s="19"/>
      <c r="C537"/>
      <c r="D537"/>
      <c r="E537"/>
      <c r="F537"/>
    </row>
    <row r="538" spans="1:6" x14ac:dyDescent="0.25">
      <c r="A538" s="19"/>
      <c r="C538"/>
      <c r="D538"/>
      <c r="E538"/>
      <c r="F538"/>
    </row>
    <row r="539" spans="1:6" x14ac:dyDescent="0.25">
      <c r="A539" s="19"/>
      <c r="C539"/>
      <c r="D539"/>
      <c r="E539"/>
      <c r="F539"/>
    </row>
    <row r="540" spans="1:6" x14ac:dyDescent="0.25">
      <c r="A540" s="19"/>
      <c r="C540"/>
      <c r="D540"/>
      <c r="E540"/>
      <c r="F540"/>
    </row>
    <row r="541" spans="1:6" x14ac:dyDescent="0.25">
      <c r="A541" s="19"/>
      <c r="C541"/>
      <c r="D541"/>
      <c r="E541"/>
      <c r="F541"/>
    </row>
    <row r="542" spans="1:6" x14ac:dyDescent="0.25">
      <c r="A542" s="19"/>
      <c r="C542"/>
      <c r="D542"/>
      <c r="E542"/>
      <c r="F542"/>
    </row>
    <row r="543" spans="1:6" x14ac:dyDescent="0.25">
      <c r="A543" s="19"/>
      <c r="C543"/>
      <c r="D543"/>
      <c r="E543"/>
      <c r="F543"/>
    </row>
    <row r="544" spans="1:6" x14ac:dyDescent="0.25">
      <c r="A544" s="19"/>
      <c r="C544"/>
      <c r="D544"/>
      <c r="E544"/>
      <c r="F544"/>
    </row>
    <row r="545" spans="1:6" x14ac:dyDescent="0.25">
      <c r="A545" s="19"/>
      <c r="C545"/>
      <c r="D545"/>
      <c r="E545"/>
      <c r="F545"/>
    </row>
    <row r="546" spans="1:6" x14ac:dyDescent="0.25">
      <c r="A546" s="19"/>
      <c r="C546"/>
      <c r="D546"/>
      <c r="E546"/>
      <c r="F546"/>
    </row>
    <row r="547" spans="1:6" x14ac:dyDescent="0.25">
      <c r="A547" s="19"/>
      <c r="C547"/>
      <c r="D547"/>
      <c r="E547"/>
      <c r="F547"/>
    </row>
    <row r="548" spans="1:6" x14ac:dyDescent="0.25">
      <c r="A548" s="19"/>
      <c r="C548"/>
      <c r="D548"/>
      <c r="E548"/>
      <c r="F548"/>
    </row>
    <row r="549" spans="1:6" x14ac:dyDescent="0.25">
      <c r="A549" s="19"/>
      <c r="C549"/>
      <c r="D549"/>
      <c r="E549"/>
      <c r="F549"/>
    </row>
    <row r="550" spans="1:6" x14ac:dyDescent="0.25">
      <c r="A550" s="19"/>
      <c r="C550"/>
      <c r="D550"/>
      <c r="E550"/>
      <c r="F550"/>
    </row>
    <row r="551" spans="1:6" x14ac:dyDescent="0.25">
      <c r="A551" s="19"/>
      <c r="C551"/>
      <c r="D551"/>
      <c r="E551"/>
      <c r="F551"/>
    </row>
    <row r="552" spans="1:6" x14ac:dyDescent="0.25">
      <c r="A552" s="19"/>
      <c r="C552"/>
      <c r="D552"/>
      <c r="E552"/>
      <c r="F552"/>
    </row>
    <row r="553" spans="1:6" x14ac:dyDescent="0.25">
      <c r="A553" s="19"/>
      <c r="C553"/>
      <c r="D553"/>
      <c r="E553"/>
      <c r="F553"/>
    </row>
    <row r="554" spans="1:6" x14ac:dyDescent="0.25">
      <c r="A554" s="19"/>
      <c r="C554"/>
      <c r="D554"/>
      <c r="E554"/>
      <c r="F554"/>
    </row>
    <row r="555" spans="1:6" x14ac:dyDescent="0.25">
      <c r="A555" s="19"/>
      <c r="C555"/>
      <c r="D555"/>
      <c r="E555"/>
      <c r="F555"/>
    </row>
    <row r="556" spans="1:6" x14ac:dyDescent="0.25">
      <c r="A556" s="19"/>
      <c r="C556"/>
      <c r="D556"/>
      <c r="E556"/>
      <c r="F556"/>
    </row>
    <row r="557" spans="1:6" x14ac:dyDescent="0.25">
      <c r="A557" s="19"/>
      <c r="C557"/>
      <c r="D557"/>
      <c r="E557"/>
      <c r="F557"/>
    </row>
    <row r="558" spans="1:6" x14ac:dyDescent="0.25">
      <c r="A558" s="19"/>
      <c r="C558"/>
      <c r="D558"/>
      <c r="E558"/>
      <c r="F558"/>
    </row>
    <row r="559" spans="1:6" x14ac:dyDescent="0.25">
      <c r="A559" s="19"/>
      <c r="C559"/>
      <c r="D559"/>
      <c r="E559"/>
      <c r="F559"/>
    </row>
    <row r="560" spans="1:6" x14ac:dyDescent="0.25">
      <c r="A560" s="19"/>
      <c r="C560"/>
      <c r="D560"/>
      <c r="E560"/>
      <c r="F560"/>
    </row>
    <row r="561" spans="1:6" x14ac:dyDescent="0.25">
      <c r="A561" s="19"/>
      <c r="C561"/>
      <c r="D561"/>
      <c r="E561"/>
      <c r="F561"/>
    </row>
    <row r="562" spans="1:6" x14ac:dyDescent="0.25">
      <c r="A562" s="19"/>
      <c r="C562"/>
      <c r="D562"/>
      <c r="E562"/>
      <c r="F562"/>
    </row>
    <row r="563" spans="1:6" x14ac:dyDescent="0.25">
      <c r="A563" s="19"/>
      <c r="C563"/>
      <c r="D563"/>
      <c r="E563"/>
      <c r="F563"/>
    </row>
    <row r="564" spans="1:6" x14ac:dyDescent="0.25">
      <c r="A564" s="19"/>
      <c r="C564"/>
      <c r="D564"/>
      <c r="E564"/>
      <c r="F564"/>
    </row>
    <row r="565" spans="1:6" x14ac:dyDescent="0.25">
      <c r="A565" s="19"/>
      <c r="C565"/>
      <c r="D565"/>
      <c r="E565"/>
      <c r="F565"/>
    </row>
    <row r="566" spans="1:6" x14ac:dyDescent="0.25">
      <c r="A566" s="19"/>
      <c r="C566"/>
      <c r="D566"/>
      <c r="E566"/>
      <c r="F566"/>
    </row>
    <row r="567" spans="1:6" x14ac:dyDescent="0.25">
      <c r="A567" s="19"/>
      <c r="C567"/>
      <c r="D567"/>
      <c r="E567"/>
      <c r="F567"/>
    </row>
    <row r="568" spans="1:6" x14ac:dyDescent="0.25">
      <c r="A568" s="19"/>
      <c r="C568"/>
      <c r="D568"/>
      <c r="E568"/>
      <c r="F568"/>
    </row>
    <row r="569" spans="1:6" x14ac:dyDescent="0.25">
      <c r="A569" s="19"/>
      <c r="C569"/>
      <c r="D569"/>
      <c r="E569"/>
      <c r="F569"/>
    </row>
    <row r="570" spans="1:6" x14ac:dyDescent="0.25">
      <c r="A570" s="19"/>
      <c r="C570"/>
      <c r="D570"/>
      <c r="E570"/>
      <c r="F570"/>
    </row>
    <row r="571" spans="1:6" x14ac:dyDescent="0.25">
      <c r="A571" s="19"/>
      <c r="C571"/>
      <c r="D571"/>
      <c r="E571"/>
      <c r="F571"/>
    </row>
    <row r="572" spans="1:6" x14ac:dyDescent="0.25">
      <c r="A572" s="19"/>
      <c r="C572"/>
      <c r="D572"/>
      <c r="E572"/>
      <c r="F572"/>
    </row>
    <row r="573" spans="1:6" x14ac:dyDescent="0.25">
      <c r="A573" s="19"/>
      <c r="C573"/>
      <c r="D573"/>
      <c r="E573"/>
      <c r="F573"/>
    </row>
    <row r="574" spans="1:6" x14ac:dyDescent="0.25">
      <c r="A574" s="19"/>
      <c r="C574"/>
      <c r="D574"/>
      <c r="E574"/>
      <c r="F574"/>
    </row>
    <row r="575" spans="1:6" x14ac:dyDescent="0.25">
      <c r="A575" s="19"/>
      <c r="C575"/>
      <c r="D575"/>
      <c r="E575"/>
      <c r="F575"/>
    </row>
    <row r="576" spans="1:6" x14ac:dyDescent="0.25">
      <c r="A576" s="19"/>
      <c r="C576"/>
      <c r="D576"/>
      <c r="E576"/>
      <c r="F576"/>
    </row>
    <row r="577" spans="1:6" x14ac:dyDescent="0.25">
      <c r="A577" s="19"/>
      <c r="C577"/>
      <c r="D577"/>
      <c r="E577"/>
      <c r="F577"/>
    </row>
    <row r="578" spans="1:6" x14ac:dyDescent="0.25">
      <c r="A578" s="19"/>
      <c r="C578"/>
      <c r="D578"/>
      <c r="E578"/>
      <c r="F578"/>
    </row>
    <row r="579" spans="1:6" x14ac:dyDescent="0.25">
      <c r="A579" s="19"/>
      <c r="C579"/>
      <c r="D579"/>
      <c r="E579"/>
      <c r="F579"/>
    </row>
    <row r="580" spans="1:6" x14ac:dyDescent="0.25">
      <c r="A580" s="19"/>
      <c r="C580"/>
      <c r="D580"/>
      <c r="E580"/>
      <c r="F580"/>
    </row>
    <row r="581" spans="1:6" x14ac:dyDescent="0.25">
      <c r="A581" s="19"/>
      <c r="C581"/>
      <c r="D581"/>
      <c r="E581"/>
      <c r="F581"/>
    </row>
    <row r="582" spans="1:6" x14ac:dyDescent="0.25">
      <c r="A582" s="19"/>
      <c r="C582"/>
      <c r="D582"/>
      <c r="E582"/>
      <c r="F582"/>
    </row>
    <row r="583" spans="1:6" x14ac:dyDescent="0.25">
      <c r="A583" s="19"/>
      <c r="C583"/>
      <c r="D583"/>
      <c r="E583"/>
      <c r="F583"/>
    </row>
    <row r="584" spans="1:6" x14ac:dyDescent="0.25">
      <c r="A584" s="19"/>
      <c r="C584"/>
      <c r="D584"/>
      <c r="E584"/>
      <c r="F584"/>
    </row>
    <row r="585" spans="1:6" x14ac:dyDescent="0.25">
      <c r="A585" s="19"/>
      <c r="C585"/>
      <c r="D585"/>
      <c r="E585"/>
      <c r="F585"/>
    </row>
    <row r="586" spans="1:6" x14ac:dyDescent="0.25">
      <c r="A586" s="19"/>
      <c r="C586"/>
      <c r="D586"/>
      <c r="E586"/>
      <c r="F586"/>
    </row>
    <row r="587" spans="1:6" x14ac:dyDescent="0.25">
      <c r="A587" s="19"/>
      <c r="C587"/>
      <c r="D587"/>
      <c r="E587"/>
      <c r="F587"/>
    </row>
    <row r="588" spans="1:6" x14ac:dyDescent="0.25">
      <c r="A588" s="19"/>
      <c r="C588"/>
      <c r="D588"/>
      <c r="E588"/>
      <c r="F588"/>
    </row>
    <row r="589" spans="1:6" x14ac:dyDescent="0.25">
      <c r="A589" s="19"/>
      <c r="C589"/>
      <c r="D589"/>
      <c r="E589"/>
      <c r="F589"/>
    </row>
    <row r="590" spans="1:6" x14ac:dyDescent="0.25">
      <c r="A590" s="19"/>
      <c r="C590"/>
      <c r="D590"/>
      <c r="E590"/>
      <c r="F590"/>
    </row>
    <row r="591" spans="1:6" x14ac:dyDescent="0.25">
      <c r="A591" s="19"/>
      <c r="C591"/>
      <c r="D591"/>
      <c r="E591"/>
      <c r="F591"/>
    </row>
    <row r="592" spans="1:6" x14ac:dyDescent="0.25">
      <c r="A592" s="19"/>
      <c r="C592"/>
      <c r="D592"/>
      <c r="E592"/>
      <c r="F592"/>
    </row>
    <row r="593" spans="1:6" x14ac:dyDescent="0.25">
      <c r="A593" s="19"/>
      <c r="C593"/>
      <c r="D593"/>
      <c r="E593"/>
      <c r="F593"/>
    </row>
    <row r="594" spans="1:6" x14ac:dyDescent="0.25">
      <c r="A594" s="19"/>
      <c r="C594"/>
      <c r="D594"/>
      <c r="E594"/>
      <c r="F594"/>
    </row>
    <row r="595" spans="1:6" x14ac:dyDescent="0.25">
      <c r="A595" s="19"/>
      <c r="C595"/>
      <c r="D595"/>
      <c r="E595"/>
      <c r="F595"/>
    </row>
    <row r="596" spans="1:6" x14ac:dyDescent="0.25">
      <c r="A596" s="19"/>
      <c r="C596"/>
      <c r="D596"/>
      <c r="E596"/>
      <c r="F596"/>
    </row>
    <row r="597" spans="1:6" x14ac:dyDescent="0.25">
      <c r="A597" s="19"/>
      <c r="C597"/>
      <c r="D597"/>
      <c r="E597"/>
      <c r="F597"/>
    </row>
    <row r="598" spans="1:6" x14ac:dyDescent="0.25">
      <c r="A598" s="19"/>
      <c r="C598"/>
      <c r="D598"/>
      <c r="E598"/>
      <c r="F598"/>
    </row>
    <row r="599" spans="1:6" x14ac:dyDescent="0.25">
      <c r="A599" s="19"/>
      <c r="C599"/>
      <c r="D599"/>
      <c r="E599"/>
      <c r="F599"/>
    </row>
    <row r="600" spans="1:6" x14ac:dyDescent="0.25">
      <c r="A600" s="19"/>
      <c r="C600"/>
      <c r="D600"/>
      <c r="E600"/>
      <c r="F600"/>
    </row>
    <row r="601" spans="1:6" x14ac:dyDescent="0.25">
      <c r="A601" s="19"/>
      <c r="C601"/>
      <c r="D601"/>
      <c r="E601"/>
      <c r="F601"/>
    </row>
    <row r="602" spans="1:6" x14ac:dyDescent="0.25">
      <c r="A602" s="19"/>
      <c r="C602"/>
      <c r="D602"/>
      <c r="E602"/>
      <c r="F602"/>
    </row>
    <row r="603" spans="1:6" x14ac:dyDescent="0.25">
      <c r="A603" s="19"/>
      <c r="C603"/>
      <c r="D603"/>
      <c r="E603"/>
      <c r="F603"/>
    </row>
    <row r="604" spans="1:6" x14ac:dyDescent="0.25">
      <c r="A604" s="19"/>
      <c r="C604"/>
      <c r="D604"/>
      <c r="E604"/>
      <c r="F604"/>
    </row>
    <row r="605" spans="1:6" x14ac:dyDescent="0.25">
      <c r="A605" s="19"/>
      <c r="C605"/>
      <c r="D605"/>
      <c r="E605"/>
      <c r="F605"/>
    </row>
    <row r="606" spans="1:6" x14ac:dyDescent="0.25">
      <c r="A606" s="19"/>
      <c r="C606"/>
      <c r="D606"/>
      <c r="E606"/>
      <c r="F606"/>
    </row>
    <row r="607" spans="1:6" x14ac:dyDescent="0.25">
      <c r="A607" s="19"/>
      <c r="C607"/>
      <c r="D607"/>
      <c r="E607"/>
      <c r="F607"/>
    </row>
    <row r="608" spans="1:6" x14ac:dyDescent="0.25">
      <c r="A608" s="19"/>
      <c r="C608"/>
      <c r="D608"/>
      <c r="E608"/>
      <c r="F608"/>
    </row>
    <row r="609" spans="1:6" x14ac:dyDescent="0.25">
      <c r="A609" s="19"/>
      <c r="C609"/>
      <c r="D609"/>
      <c r="E609"/>
      <c r="F609"/>
    </row>
    <row r="610" spans="1:6" x14ac:dyDescent="0.25">
      <c r="A610" s="19"/>
      <c r="C610"/>
      <c r="D610"/>
      <c r="E610"/>
      <c r="F610"/>
    </row>
    <row r="611" spans="1:6" x14ac:dyDescent="0.25">
      <c r="A611" s="19"/>
      <c r="C611"/>
      <c r="D611"/>
      <c r="E611"/>
      <c r="F611"/>
    </row>
    <row r="612" spans="1:6" x14ac:dyDescent="0.25">
      <c r="A612" s="19"/>
      <c r="C612"/>
      <c r="D612"/>
      <c r="E612"/>
      <c r="F612"/>
    </row>
    <row r="613" spans="1:6" x14ac:dyDescent="0.25">
      <c r="A613" s="19"/>
      <c r="C613"/>
      <c r="D613"/>
      <c r="E613"/>
      <c r="F613"/>
    </row>
    <row r="614" spans="1:6" x14ac:dyDescent="0.25">
      <c r="A614" s="19"/>
      <c r="C614"/>
      <c r="D614"/>
      <c r="E614"/>
      <c r="F614"/>
    </row>
    <row r="615" spans="1:6" x14ac:dyDescent="0.25">
      <c r="A615" s="19"/>
      <c r="C615"/>
      <c r="D615"/>
      <c r="E615"/>
      <c r="F615"/>
    </row>
    <row r="616" spans="1:6" x14ac:dyDescent="0.25">
      <c r="A616" s="19"/>
      <c r="C616"/>
      <c r="D616"/>
      <c r="E616"/>
      <c r="F616"/>
    </row>
    <row r="617" spans="1:6" x14ac:dyDescent="0.25">
      <c r="A617" s="19"/>
      <c r="C617"/>
      <c r="D617"/>
      <c r="E617"/>
      <c r="F617"/>
    </row>
    <row r="618" spans="1:6" x14ac:dyDescent="0.25">
      <c r="A618" s="19"/>
      <c r="C618"/>
      <c r="D618"/>
      <c r="E618"/>
      <c r="F618"/>
    </row>
    <row r="619" spans="1:6" x14ac:dyDescent="0.25">
      <c r="A619" s="19"/>
      <c r="C619"/>
      <c r="D619"/>
      <c r="E619"/>
      <c r="F619"/>
    </row>
    <row r="620" spans="1:6" x14ac:dyDescent="0.25">
      <c r="A620" s="19"/>
      <c r="C620"/>
      <c r="D620"/>
      <c r="E620"/>
      <c r="F620"/>
    </row>
    <row r="621" spans="1:6" x14ac:dyDescent="0.25">
      <c r="A621" s="19"/>
      <c r="C621"/>
      <c r="D621"/>
      <c r="E621"/>
      <c r="F621"/>
    </row>
    <row r="622" spans="1:6" x14ac:dyDescent="0.25">
      <c r="A622" s="19"/>
      <c r="C622"/>
      <c r="D622"/>
      <c r="E622"/>
      <c r="F622"/>
    </row>
    <row r="623" spans="1:6" x14ac:dyDescent="0.25">
      <c r="A623" s="19"/>
      <c r="C623"/>
      <c r="D623"/>
      <c r="E623"/>
      <c r="F623"/>
    </row>
    <row r="624" spans="1:6" x14ac:dyDescent="0.25">
      <c r="A624" s="19"/>
      <c r="C624"/>
      <c r="D624"/>
      <c r="E624"/>
      <c r="F624"/>
    </row>
    <row r="625" spans="1:6" x14ac:dyDescent="0.25">
      <c r="A625" s="19"/>
      <c r="C625"/>
      <c r="D625"/>
      <c r="E625"/>
      <c r="F625"/>
    </row>
    <row r="626" spans="1:6" x14ac:dyDescent="0.25">
      <c r="A626" s="19"/>
      <c r="C626"/>
      <c r="D626"/>
      <c r="E626"/>
      <c r="F626"/>
    </row>
    <row r="627" spans="1:6" x14ac:dyDescent="0.25">
      <c r="A627" s="19"/>
      <c r="C627"/>
      <c r="D627"/>
      <c r="E627"/>
      <c r="F627"/>
    </row>
    <row r="628" spans="1:6" x14ac:dyDescent="0.25">
      <c r="A628" s="19"/>
      <c r="C628"/>
      <c r="D628"/>
      <c r="E628"/>
      <c r="F628"/>
    </row>
    <row r="629" spans="1:6" x14ac:dyDescent="0.25">
      <c r="A629" s="19"/>
      <c r="C629"/>
      <c r="D629"/>
      <c r="E629"/>
      <c r="F629"/>
    </row>
    <row r="630" spans="1:6" x14ac:dyDescent="0.25">
      <c r="A630" s="19"/>
      <c r="C630"/>
      <c r="D630"/>
      <c r="E630"/>
      <c r="F630"/>
    </row>
    <row r="631" spans="1:6" x14ac:dyDescent="0.25">
      <c r="A631" s="19"/>
      <c r="C631"/>
      <c r="D631"/>
      <c r="E631"/>
      <c r="F631"/>
    </row>
    <row r="632" spans="1:6" x14ac:dyDescent="0.25">
      <c r="A632" s="19"/>
      <c r="C632"/>
      <c r="D632"/>
      <c r="E632"/>
      <c r="F632"/>
    </row>
    <row r="633" spans="1:6" x14ac:dyDescent="0.25">
      <c r="A633" s="19"/>
      <c r="C633"/>
      <c r="D633"/>
      <c r="E633"/>
      <c r="F633"/>
    </row>
    <row r="634" spans="1:6" x14ac:dyDescent="0.25">
      <c r="A634" s="19"/>
      <c r="C634"/>
      <c r="D634"/>
      <c r="E634"/>
      <c r="F634"/>
    </row>
    <row r="635" spans="1:6" x14ac:dyDescent="0.25">
      <c r="A635" s="19"/>
      <c r="C635"/>
      <c r="D635"/>
      <c r="E635"/>
      <c r="F635"/>
    </row>
    <row r="636" spans="1:6" x14ac:dyDescent="0.25">
      <c r="A636" s="19"/>
      <c r="C636"/>
      <c r="D636"/>
      <c r="E636"/>
      <c r="F636"/>
    </row>
    <row r="637" spans="1:6" x14ac:dyDescent="0.25">
      <c r="A637" s="19"/>
      <c r="C637"/>
      <c r="D637"/>
      <c r="E637"/>
      <c r="F637"/>
    </row>
    <row r="638" spans="1:6" x14ac:dyDescent="0.25">
      <c r="A638" s="19"/>
      <c r="C638"/>
      <c r="D638"/>
      <c r="E638"/>
      <c r="F638"/>
    </row>
    <row r="639" spans="1:6" x14ac:dyDescent="0.25">
      <c r="A639" s="19"/>
      <c r="C639"/>
      <c r="D639"/>
      <c r="E639"/>
      <c r="F639"/>
    </row>
    <row r="640" spans="1:6" x14ac:dyDescent="0.25">
      <c r="A640" s="19"/>
      <c r="C640"/>
      <c r="D640"/>
      <c r="E640"/>
      <c r="F640"/>
    </row>
    <row r="641" spans="1:6" x14ac:dyDescent="0.25">
      <c r="A641" s="19"/>
      <c r="C641"/>
      <c r="D641"/>
      <c r="E641"/>
      <c r="F641"/>
    </row>
    <row r="642" spans="1:6" x14ac:dyDescent="0.25">
      <c r="A642" s="19"/>
      <c r="C642"/>
      <c r="D642"/>
      <c r="E642"/>
      <c r="F642"/>
    </row>
    <row r="643" spans="1:6" x14ac:dyDescent="0.25">
      <c r="A643" s="19"/>
      <c r="C643"/>
      <c r="D643"/>
      <c r="E643"/>
      <c r="F643"/>
    </row>
    <row r="644" spans="1:6" x14ac:dyDescent="0.25">
      <c r="A644" s="19"/>
      <c r="C644"/>
      <c r="D644"/>
      <c r="E644"/>
      <c r="F644"/>
    </row>
    <row r="645" spans="1:6" x14ac:dyDescent="0.25">
      <c r="A645" s="19"/>
      <c r="C645"/>
      <c r="D645"/>
      <c r="E645"/>
      <c r="F645"/>
    </row>
    <row r="646" spans="1:6" x14ac:dyDescent="0.25">
      <c r="A646" s="19"/>
      <c r="C646"/>
      <c r="D646"/>
      <c r="E646"/>
      <c r="F646"/>
    </row>
    <row r="647" spans="1:6" x14ac:dyDescent="0.25">
      <c r="A647" s="19"/>
      <c r="C647"/>
      <c r="D647"/>
      <c r="E647"/>
      <c r="F647"/>
    </row>
    <row r="648" spans="1:6" x14ac:dyDescent="0.25">
      <c r="A648" s="19"/>
      <c r="C648"/>
      <c r="D648"/>
      <c r="E648"/>
      <c r="F648"/>
    </row>
    <row r="649" spans="1:6" x14ac:dyDescent="0.25">
      <c r="A649" s="19"/>
      <c r="C649"/>
      <c r="D649"/>
      <c r="E649"/>
      <c r="F649"/>
    </row>
    <row r="650" spans="1:6" x14ac:dyDescent="0.25">
      <c r="A650" s="19"/>
      <c r="C650"/>
      <c r="D650"/>
      <c r="E650"/>
      <c r="F650"/>
    </row>
    <row r="651" spans="1:6" x14ac:dyDescent="0.25">
      <c r="A651" s="19"/>
      <c r="C651"/>
      <c r="D651"/>
      <c r="E651"/>
      <c r="F651"/>
    </row>
    <row r="652" spans="1:6" x14ac:dyDescent="0.25">
      <c r="A652" s="19"/>
      <c r="C652"/>
      <c r="D652"/>
      <c r="E652"/>
      <c r="F652"/>
    </row>
    <row r="653" spans="1:6" x14ac:dyDescent="0.25">
      <c r="A653" s="19"/>
      <c r="C653"/>
      <c r="D653"/>
      <c r="E653"/>
      <c r="F653"/>
    </row>
    <row r="654" spans="1:6" x14ac:dyDescent="0.25">
      <c r="A654" s="19"/>
      <c r="C654"/>
      <c r="D654"/>
      <c r="E654"/>
      <c r="F654"/>
    </row>
    <row r="655" spans="1:6" x14ac:dyDescent="0.25">
      <c r="A655" s="19"/>
      <c r="C655"/>
      <c r="D655"/>
      <c r="E655"/>
      <c r="F655"/>
    </row>
    <row r="656" spans="1:6" x14ac:dyDescent="0.25">
      <c r="A656" s="19"/>
      <c r="C656"/>
      <c r="D656"/>
      <c r="E656"/>
      <c r="F656"/>
    </row>
    <row r="657" spans="1:6" x14ac:dyDescent="0.25">
      <c r="A657" s="19"/>
      <c r="C657"/>
      <c r="D657"/>
      <c r="E657"/>
      <c r="F657"/>
    </row>
    <row r="658" spans="1:6" x14ac:dyDescent="0.25">
      <c r="A658" s="19"/>
      <c r="C658"/>
      <c r="D658"/>
      <c r="E658"/>
      <c r="F658"/>
    </row>
    <row r="659" spans="1:6" x14ac:dyDescent="0.25">
      <c r="A659" s="19"/>
      <c r="C659"/>
      <c r="D659"/>
      <c r="E659"/>
      <c r="F659"/>
    </row>
    <row r="660" spans="1:6" x14ac:dyDescent="0.25">
      <c r="A660" s="19"/>
      <c r="C660"/>
      <c r="D660"/>
      <c r="E660"/>
      <c r="F660"/>
    </row>
    <row r="661" spans="1:6" x14ac:dyDescent="0.25">
      <c r="A661" s="19"/>
      <c r="C661"/>
      <c r="D661"/>
      <c r="E661"/>
      <c r="F661"/>
    </row>
    <row r="662" spans="1:6" x14ac:dyDescent="0.25">
      <c r="A662" s="19"/>
      <c r="C662"/>
      <c r="D662"/>
      <c r="E662"/>
      <c r="F662"/>
    </row>
    <row r="663" spans="1:6" x14ac:dyDescent="0.25">
      <c r="A663" s="19"/>
      <c r="C663"/>
      <c r="D663"/>
      <c r="E663"/>
      <c r="F663"/>
    </row>
    <row r="664" spans="1:6" x14ac:dyDescent="0.25">
      <c r="A664" s="19"/>
      <c r="C664"/>
      <c r="D664"/>
      <c r="E664"/>
      <c r="F664"/>
    </row>
    <row r="665" spans="1:6" x14ac:dyDescent="0.25">
      <c r="A665" s="19"/>
      <c r="C665"/>
      <c r="D665"/>
      <c r="E665"/>
      <c r="F665"/>
    </row>
    <row r="666" spans="1:6" x14ac:dyDescent="0.25">
      <c r="A666" s="19"/>
      <c r="C666"/>
      <c r="D666"/>
      <c r="E666"/>
      <c r="F666"/>
    </row>
    <row r="667" spans="1:6" x14ac:dyDescent="0.25">
      <c r="A667" s="19"/>
      <c r="C667"/>
      <c r="D667"/>
      <c r="E667"/>
      <c r="F667"/>
    </row>
    <row r="668" spans="1:6" x14ac:dyDescent="0.25">
      <c r="A668" s="19"/>
      <c r="C668"/>
      <c r="D668"/>
      <c r="E668"/>
      <c r="F668"/>
    </row>
    <row r="669" spans="1:6" x14ac:dyDescent="0.25">
      <c r="A669" s="19"/>
      <c r="C669"/>
      <c r="D669"/>
      <c r="E669"/>
      <c r="F669"/>
    </row>
    <row r="670" spans="1:6" x14ac:dyDescent="0.25">
      <c r="A670" s="19"/>
      <c r="C670"/>
      <c r="D670"/>
      <c r="E670"/>
      <c r="F670"/>
    </row>
    <row r="671" spans="1:6" x14ac:dyDescent="0.25">
      <c r="A671" s="19"/>
      <c r="C671"/>
      <c r="D671"/>
      <c r="E671"/>
      <c r="F671"/>
    </row>
    <row r="672" spans="1:6" x14ac:dyDescent="0.25">
      <c r="A672" s="19"/>
      <c r="C672"/>
      <c r="D672"/>
      <c r="E672"/>
      <c r="F672"/>
    </row>
    <row r="673" spans="1:6" x14ac:dyDescent="0.25">
      <c r="A673" s="19"/>
      <c r="C673"/>
      <c r="D673"/>
      <c r="E673"/>
      <c r="F673"/>
    </row>
    <row r="674" spans="1:6" x14ac:dyDescent="0.25">
      <c r="A674" s="19"/>
      <c r="C674"/>
      <c r="D674"/>
      <c r="E674"/>
      <c r="F674"/>
    </row>
    <row r="675" spans="1:6" x14ac:dyDescent="0.25">
      <c r="A675" s="19"/>
      <c r="C675"/>
      <c r="D675"/>
      <c r="E675"/>
      <c r="F675"/>
    </row>
    <row r="676" spans="1:6" x14ac:dyDescent="0.25">
      <c r="A676" s="19"/>
      <c r="C676"/>
      <c r="D676"/>
      <c r="E676"/>
      <c r="F676"/>
    </row>
    <row r="677" spans="1:6" x14ac:dyDescent="0.25">
      <c r="A677" s="19"/>
      <c r="C677"/>
      <c r="D677"/>
      <c r="E677"/>
      <c r="F677"/>
    </row>
    <row r="678" spans="1:6" x14ac:dyDescent="0.25">
      <c r="A678" s="19"/>
      <c r="C678"/>
      <c r="D678"/>
      <c r="E678"/>
      <c r="F678"/>
    </row>
    <row r="679" spans="1:6" x14ac:dyDescent="0.25">
      <c r="A679" s="19"/>
      <c r="C679"/>
      <c r="D679"/>
      <c r="E679"/>
      <c r="F679"/>
    </row>
    <row r="680" spans="1:6" x14ac:dyDescent="0.25">
      <c r="A680" s="19"/>
      <c r="C680"/>
      <c r="D680"/>
      <c r="E680"/>
      <c r="F680"/>
    </row>
    <row r="681" spans="1:6" x14ac:dyDescent="0.25">
      <c r="A681" s="19"/>
      <c r="C681"/>
      <c r="D681"/>
      <c r="E681"/>
      <c r="F681"/>
    </row>
    <row r="682" spans="1:6" x14ac:dyDescent="0.25">
      <c r="A682" s="19"/>
      <c r="C682"/>
      <c r="D682"/>
      <c r="E682"/>
      <c r="F682"/>
    </row>
    <row r="683" spans="1:6" x14ac:dyDescent="0.25">
      <c r="A683" s="19"/>
      <c r="C683"/>
      <c r="D683"/>
      <c r="E683"/>
      <c r="F683"/>
    </row>
    <row r="684" spans="1:6" x14ac:dyDescent="0.25">
      <c r="A684" s="19"/>
      <c r="C684"/>
      <c r="D684"/>
      <c r="E684"/>
      <c r="F684"/>
    </row>
    <row r="685" spans="1:6" x14ac:dyDescent="0.25">
      <c r="A685" s="19"/>
      <c r="C685"/>
      <c r="D685"/>
      <c r="E685"/>
      <c r="F685"/>
    </row>
    <row r="686" spans="1:6" x14ac:dyDescent="0.25">
      <c r="A686" s="19"/>
      <c r="C686"/>
      <c r="D686"/>
      <c r="E686"/>
      <c r="F686"/>
    </row>
    <row r="687" spans="1:6" x14ac:dyDescent="0.25">
      <c r="A687" s="19"/>
      <c r="C687"/>
      <c r="D687"/>
      <c r="E687"/>
      <c r="F687"/>
    </row>
    <row r="688" spans="1:6" x14ac:dyDescent="0.25">
      <c r="A688" s="19"/>
      <c r="C688"/>
      <c r="D688"/>
      <c r="E688"/>
      <c r="F688"/>
    </row>
    <row r="689" spans="1:6" x14ac:dyDescent="0.25">
      <c r="A689" s="19"/>
      <c r="C689"/>
      <c r="D689"/>
      <c r="E689"/>
      <c r="F689"/>
    </row>
    <row r="690" spans="1:6" x14ac:dyDescent="0.25">
      <c r="A690" s="19"/>
      <c r="C690"/>
      <c r="D690"/>
      <c r="E690"/>
      <c r="F690"/>
    </row>
    <row r="691" spans="1:6" x14ac:dyDescent="0.25">
      <c r="A691" s="19"/>
      <c r="C691"/>
      <c r="D691"/>
      <c r="E691"/>
      <c r="F691"/>
    </row>
    <row r="692" spans="1:6" x14ac:dyDescent="0.25">
      <c r="A692" s="19"/>
      <c r="C692"/>
      <c r="D692"/>
      <c r="E692"/>
      <c r="F692"/>
    </row>
    <row r="693" spans="1:6" x14ac:dyDescent="0.25">
      <c r="A693" s="19"/>
      <c r="C693"/>
      <c r="D693"/>
      <c r="E693"/>
      <c r="F693"/>
    </row>
    <row r="694" spans="1:6" x14ac:dyDescent="0.25">
      <c r="A694" s="19"/>
      <c r="C694"/>
      <c r="D694"/>
      <c r="E694"/>
      <c r="F694"/>
    </row>
    <row r="695" spans="1:6" x14ac:dyDescent="0.25">
      <c r="A695" s="19"/>
      <c r="C695"/>
      <c r="D695"/>
      <c r="E695"/>
      <c r="F695"/>
    </row>
    <row r="696" spans="1:6" x14ac:dyDescent="0.25">
      <c r="A696" s="19"/>
      <c r="C696"/>
      <c r="D696"/>
      <c r="E696"/>
      <c r="F696"/>
    </row>
    <row r="697" spans="1:6" x14ac:dyDescent="0.25">
      <c r="A697" s="19"/>
      <c r="C697"/>
      <c r="D697"/>
      <c r="E697"/>
      <c r="F697"/>
    </row>
    <row r="698" spans="1:6" x14ac:dyDescent="0.25">
      <c r="A698" s="19"/>
      <c r="C698"/>
      <c r="D698"/>
      <c r="E698"/>
      <c r="F698"/>
    </row>
    <row r="699" spans="1:6" x14ac:dyDescent="0.25">
      <c r="A699" s="19"/>
      <c r="C699"/>
      <c r="D699"/>
      <c r="E699"/>
      <c r="F699"/>
    </row>
    <row r="700" spans="1:6" x14ac:dyDescent="0.25">
      <c r="A700" s="19"/>
      <c r="C700"/>
      <c r="D700"/>
      <c r="E700"/>
      <c r="F700"/>
    </row>
    <row r="701" spans="1:6" x14ac:dyDescent="0.25">
      <c r="A701" s="19"/>
      <c r="C701"/>
      <c r="D701"/>
      <c r="E701"/>
      <c r="F701"/>
    </row>
    <row r="702" spans="1:6" x14ac:dyDescent="0.25">
      <c r="A702" s="19"/>
      <c r="C702"/>
      <c r="D702"/>
      <c r="E702"/>
      <c r="F702"/>
    </row>
    <row r="703" spans="1:6" x14ac:dyDescent="0.25">
      <c r="A703" s="19"/>
      <c r="C703"/>
      <c r="D703"/>
      <c r="E703"/>
      <c r="F703"/>
    </row>
    <row r="704" spans="1:6" x14ac:dyDescent="0.25">
      <c r="A704" s="19"/>
      <c r="C704"/>
      <c r="D704"/>
      <c r="E704"/>
      <c r="F704"/>
    </row>
    <row r="705" spans="1:6" x14ac:dyDescent="0.25">
      <c r="A705" s="19"/>
      <c r="C705"/>
      <c r="D705"/>
      <c r="E705"/>
      <c r="F705"/>
    </row>
    <row r="706" spans="1:6" x14ac:dyDescent="0.25">
      <c r="A706" s="19"/>
      <c r="C706"/>
      <c r="D706"/>
      <c r="E706"/>
      <c r="F706"/>
    </row>
    <row r="707" spans="1:6" x14ac:dyDescent="0.25">
      <c r="A707" s="19"/>
      <c r="C707"/>
      <c r="D707"/>
      <c r="E707"/>
      <c r="F707"/>
    </row>
    <row r="708" spans="1:6" x14ac:dyDescent="0.25">
      <c r="A708" s="19"/>
      <c r="C708"/>
      <c r="D708"/>
      <c r="E708"/>
      <c r="F708"/>
    </row>
    <row r="709" spans="1:6" x14ac:dyDescent="0.25">
      <c r="A709" s="19"/>
      <c r="C709"/>
      <c r="D709"/>
      <c r="E709"/>
      <c r="F709"/>
    </row>
    <row r="710" spans="1:6" x14ac:dyDescent="0.25">
      <c r="A710" s="19"/>
      <c r="C710"/>
      <c r="D710"/>
      <c r="E710"/>
      <c r="F710"/>
    </row>
    <row r="711" spans="1:6" x14ac:dyDescent="0.25">
      <c r="A711" s="19"/>
      <c r="C711"/>
      <c r="D711"/>
      <c r="E711"/>
      <c r="F711"/>
    </row>
    <row r="712" spans="1:6" x14ac:dyDescent="0.25">
      <c r="A712" s="19"/>
      <c r="C712"/>
      <c r="D712"/>
      <c r="E712"/>
      <c r="F712"/>
    </row>
    <row r="713" spans="1:6" x14ac:dyDescent="0.25">
      <c r="A713" s="19"/>
      <c r="C713"/>
      <c r="D713"/>
      <c r="E713"/>
      <c r="F713"/>
    </row>
    <row r="714" spans="1:6" x14ac:dyDescent="0.25">
      <c r="A714" s="19"/>
      <c r="C714"/>
      <c r="D714"/>
      <c r="E714"/>
      <c r="F714"/>
    </row>
    <row r="715" spans="1:6" x14ac:dyDescent="0.25">
      <c r="A715" s="19"/>
      <c r="C715"/>
      <c r="D715"/>
      <c r="E715"/>
      <c r="F715"/>
    </row>
    <row r="716" spans="1:6" x14ac:dyDescent="0.25">
      <c r="A716" s="19"/>
      <c r="C716"/>
      <c r="D716"/>
      <c r="E716"/>
      <c r="F716"/>
    </row>
    <row r="717" spans="1:6" x14ac:dyDescent="0.25">
      <c r="A717" s="19"/>
      <c r="C717"/>
      <c r="D717"/>
      <c r="E717"/>
      <c r="F717"/>
    </row>
    <row r="718" spans="1:6" x14ac:dyDescent="0.25">
      <c r="A718" s="19"/>
      <c r="C718"/>
      <c r="D718"/>
      <c r="E718"/>
      <c r="F718"/>
    </row>
    <row r="719" spans="1:6" x14ac:dyDescent="0.25">
      <c r="A719" s="19"/>
      <c r="C719"/>
      <c r="D719"/>
      <c r="E719"/>
      <c r="F719"/>
    </row>
    <row r="720" spans="1:6" x14ac:dyDescent="0.25">
      <c r="A720" s="19"/>
      <c r="C720"/>
      <c r="D720"/>
      <c r="E720"/>
      <c r="F720"/>
    </row>
    <row r="721" spans="1:6" x14ac:dyDescent="0.25">
      <c r="A721" s="19"/>
      <c r="C721"/>
      <c r="D721"/>
      <c r="E721"/>
      <c r="F721"/>
    </row>
    <row r="722" spans="1:6" x14ac:dyDescent="0.25">
      <c r="A722" s="19"/>
      <c r="C722"/>
      <c r="D722"/>
      <c r="E722"/>
      <c r="F722"/>
    </row>
    <row r="723" spans="1:6" x14ac:dyDescent="0.25">
      <c r="A723" s="19"/>
      <c r="C723"/>
      <c r="D723"/>
      <c r="E723"/>
      <c r="F723"/>
    </row>
    <row r="724" spans="1:6" x14ac:dyDescent="0.25">
      <c r="A724" s="19"/>
      <c r="C724"/>
      <c r="D724"/>
      <c r="E724"/>
      <c r="F724"/>
    </row>
    <row r="725" spans="1:6" x14ac:dyDescent="0.25">
      <c r="A725" s="19"/>
      <c r="C725"/>
      <c r="D725"/>
      <c r="E725"/>
      <c r="F725"/>
    </row>
    <row r="726" spans="1:6" x14ac:dyDescent="0.25">
      <c r="A726" s="19"/>
      <c r="C726"/>
      <c r="D726"/>
      <c r="E726"/>
      <c r="F726"/>
    </row>
    <row r="727" spans="1:6" x14ac:dyDescent="0.25">
      <c r="A727" s="19"/>
      <c r="C727"/>
      <c r="D727"/>
      <c r="E727"/>
      <c r="F727"/>
    </row>
    <row r="728" spans="1:6" x14ac:dyDescent="0.25">
      <c r="A728" s="19"/>
      <c r="C728"/>
      <c r="D728"/>
      <c r="E728"/>
      <c r="F728"/>
    </row>
    <row r="729" spans="1:6" x14ac:dyDescent="0.25">
      <c r="A729" s="19"/>
      <c r="C729"/>
      <c r="D729"/>
      <c r="E729"/>
      <c r="F729"/>
    </row>
    <row r="730" spans="1:6" x14ac:dyDescent="0.25">
      <c r="A730" s="19"/>
      <c r="C730"/>
      <c r="D730"/>
      <c r="E730"/>
      <c r="F730"/>
    </row>
    <row r="731" spans="1:6" x14ac:dyDescent="0.25">
      <c r="A731" s="19"/>
      <c r="C731"/>
      <c r="D731"/>
      <c r="E731"/>
      <c r="F731"/>
    </row>
    <row r="732" spans="1:6" x14ac:dyDescent="0.25">
      <c r="A732" s="19"/>
      <c r="C732"/>
      <c r="D732"/>
      <c r="E732"/>
      <c r="F732"/>
    </row>
    <row r="733" spans="1:6" x14ac:dyDescent="0.25">
      <c r="A733" s="19"/>
      <c r="C733"/>
      <c r="D733"/>
      <c r="E733"/>
      <c r="F733"/>
    </row>
    <row r="734" spans="1:6" x14ac:dyDescent="0.25">
      <c r="A734" s="19"/>
      <c r="C734"/>
      <c r="D734"/>
      <c r="E734"/>
      <c r="F734"/>
    </row>
    <row r="735" spans="1:6" x14ac:dyDescent="0.25">
      <c r="A735" s="19"/>
      <c r="C735"/>
      <c r="D735"/>
      <c r="E735"/>
      <c r="F735"/>
    </row>
    <row r="736" spans="1:6" x14ac:dyDescent="0.25">
      <c r="A736" s="19"/>
      <c r="C736"/>
      <c r="D736"/>
      <c r="E736"/>
      <c r="F736"/>
    </row>
    <row r="737" spans="1:6" x14ac:dyDescent="0.25">
      <c r="A737" s="19"/>
      <c r="C737"/>
      <c r="D737"/>
      <c r="E737"/>
      <c r="F737"/>
    </row>
    <row r="738" spans="1:6" x14ac:dyDescent="0.25">
      <c r="A738" s="19"/>
      <c r="C738"/>
      <c r="D738"/>
      <c r="E738"/>
      <c r="F738"/>
    </row>
    <row r="739" spans="1:6" x14ac:dyDescent="0.25">
      <c r="A739" s="19"/>
      <c r="C739"/>
      <c r="D739"/>
      <c r="E739"/>
      <c r="F739"/>
    </row>
    <row r="740" spans="1:6" x14ac:dyDescent="0.25">
      <c r="A740" s="19"/>
      <c r="C740"/>
      <c r="D740"/>
      <c r="E740"/>
      <c r="F740"/>
    </row>
    <row r="741" spans="1:6" x14ac:dyDescent="0.25">
      <c r="A741" s="19"/>
      <c r="C741"/>
      <c r="D741"/>
      <c r="E741"/>
      <c r="F741"/>
    </row>
    <row r="742" spans="1:6" x14ac:dyDescent="0.25">
      <c r="A742" s="19"/>
      <c r="C742"/>
      <c r="D742"/>
      <c r="E742"/>
      <c r="F742"/>
    </row>
    <row r="743" spans="1:6" x14ac:dyDescent="0.25">
      <c r="A743" s="19"/>
      <c r="C743"/>
      <c r="D743"/>
      <c r="E743"/>
      <c r="F743"/>
    </row>
    <row r="744" spans="1:6" x14ac:dyDescent="0.25">
      <c r="A744" s="19"/>
      <c r="C744"/>
      <c r="D744"/>
      <c r="E744"/>
      <c r="F744"/>
    </row>
    <row r="745" spans="1:6" x14ac:dyDescent="0.25">
      <c r="A745" s="19"/>
      <c r="C745"/>
      <c r="D745"/>
      <c r="E745"/>
      <c r="F745"/>
    </row>
    <row r="746" spans="1:6" x14ac:dyDescent="0.25">
      <c r="A746" s="19"/>
      <c r="C746"/>
      <c r="D746"/>
      <c r="E746"/>
      <c r="F746"/>
    </row>
    <row r="747" spans="1:6" x14ac:dyDescent="0.25">
      <c r="A747" s="19"/>
      <c r="C747"/>
      <c r="D747"/>
      <c r="E747"/>
      <c r="F747"/>
    </row>
    <row r="748" spans="1:6" x14ac:dyDescent="0.25">
      <c r="A748" s="19"/>
      <c r="C748"/>
      <c r="D748"/>
      <c r="E748"/>
      <c r="F748"/>
    </row>
    <row r="749" spans="1:6" x14ac:dyDescent="0.25">
      <c r="A749" s="19"/>
      <c r="C749"/>
      <c r="D749"/>
      <c r="E749"/>
      <c r="F749"/>
    </row>
    <row r="750" spans="1:6" x14ac:dyDescent="0.25">
      <c r="A750" s="19"/>
      <c r="C750"/>
      <c r="D750"/>
      <c r="E750"/>
      <c r="F750"/>
    </row>
    <row r="751" spans="1:6" x14ac:dyDescent="0.25">
      <c r="A751" s="19"/>
      <c r="C751"/>
      <c r="D751"/>
      <c r="E751"/>
      <c r="F751"/>
    </row>
    <row r="752" spans="1:6" x14ac:dyDescent="0.25">
      <c r="A752" s="19"/>
      <c r="C752"/>
      <c r="D752"/>
      <c r="E752"/>
      <c r="F752"/>
    </row>
    <row r="753" spans="1:6" x14ac:dyDescent="0.25">
      <c r="A753" s="19"/>
      <c r="C753"/>
      <c r="D753"/>
      <c r="E753"/>
      <c r="F753"/>
    </row>
    <row r="754" spans="1:6" x14ac:dyDescent="0.25">
      <c r="A754" s="19"/>
      <c r="C754"/>
      <c r="D754"/>
      <c r="E754"/>
      <c r="F754"/>
    </row>
    <row r="755" spans="1:6" x14ac:dyDescent="0.25">
      <c r="A755" s="19"/>
      <c r="C755"/>
      <c r="D755"/>
      <c r="E755"/>
      <c r="F755"/>
    </row>
    <row r="756" spans="1:6" x14ac:dyDescent="0.25">
      <c r="A756" s="19"/>
      <c r="C756"/>
      <c r="D756"/>
      <c r="E756"/>
      <c r="F756"/>
    </row>
    <row r="757" spans="1:6" x14ac:dyDescent="0.25">
      <c r="A757" s="19"/>
      <c r="C757"/>
      <c r="D757"/>
      <c r="E757"/>
      <c r="F757"/>
    </row>
    <row r="758" spans="1:6" x14ac:dyDescent="0.25">
      <c r="A758" s="19"/>
      <c r="C758"/>
      <c r="D758"/>
      <c r="E758"/>
      <c r="F758"/>
    </row>
    <row r="759" spans="1:6" x14ac:dyDescent="0.25">
      <c r="A759" s="19"/>
      <c r="C759"/>
      <c r="D759"/>
      <c r="E759"/>
      <c r="F759"/>
    </row>
    <row r="760" spans="1:6" x14ac:dyDescent="0.25">
      <c r="A760" s="19"/>
      <c r="C760"/>
      <c r="D760"/>
      <c r="E760"/>
      <c r="F760"/>
    </row>
    <row r="761" spans="1:6" x14ac:dyDescent="0.25">
      <c r="A761" s="19"/>
      <c r="C761"/>
      <c r="D761"/>
      <c r="E761"/>
      <c r="F761"/>
    </row>
    <row r="762" spans="1:6" x14ac:dyDescent="0.25">
      <c r="A762" s="19"/>
      <c r="C762"/>
      <c r="D762"/>
      <c r="E762"/>
      <c r="F762"/>
    </row>
    <row r="763" spans="1:6" x14ac:dyDescent="0.25">
      <c r="A763" s="19"/>
      <c r="C763"/>
      <c r="D763"/>
      <c r="E763"/>
      <c r="F763"/>
    </row>
    <row r="764" spans="1:6" x14ac:dyDescent="0.25">
      <c r="A764" s="19"/>
      <c r="C764"/>
      <c r="D764"/>
      <c r="E764"/>
      <c r="F764"/>
    </row>
    <row r="765" spans="1:6" x14ac:dyDescent="0.25">
      <c r="A765" s="19"/>
      <c r="C765"/>
      <c r="D765"/>
      <c r="E765"/>
      <c r="F765"/>
    </row>
    <row r="766" spans="1:6" x14ac:dyDescent="0.25">
      <c r="A766" s="19"/>
      <c r="C766"/>
      <c r="D766"/>
      <c r="E766"/>
      <c r="F766"/>
    </row>
    <row r="767" spans="1:6" x14ac:dyDescent="0.25">
      <c r="A767" s="19"/>
      <c r="C767"/>
      <c r="D767"/>
      <c r="E767"/>
      <c r="F767"/>
    </row>
    <row r="768" spans="1:6" x14ac:dyDescent="0.25">
      <c r="A768" s="19"/>
      <c r="C768"/>
      <c r="D768"/>
      <c r="E768"/>
      <c r="F768"/>
    </row>
    <row r="769" spans="1:6" x14ac:dyDescent="0.25">
      <c r="A769" s="19"/>
      <c r="C769"/>
      <c r="D769"/>
      <c r="E769"/>
      <c r="F769"/>
    </row>
    <row r="770" spans="1:6" x14ac:dyDescent="0.25">
      <c r="A770" s="19"/>
      <c r="C770"/>
      <c r="D770"/>
      <c r="E770"/>
      <c r="F770"/>
    </row>
    <row r="771" spans="1:6" x14ac:dyDescent="0.25">
      <c r="A771" s="19"/>
      <c r="C771"/>
      <c r="D771"/>
      <c r="E771"/>
      <c r="F771"/>
    </row>
    <row r="772" spans="1:6" x14ac:dyDescent="0.25">
      <c r="A772" s="19"/>
      <c r="C772"/>
      <c r="D772"/>
      <c r="E772"/>
      <c r="F772"/>
    </row>
    <row r="773" spans="1:6" x14ac:dyDescent="0.25">
      <c r="A773" s="19"/>
      <c r="C773"/>
      <c r="D773"/>
      <c r="E773"/>
      <c r="F773"/>
    </row>
    <row r="774" spans="1:6" x14ac:dyDescent="0.25">
      <c r="A774" s="19"/>
      <c r="C774"/>
      <c r="D774"/>
      <c r="E774"/>
      <c r="F774"/>
    </row>
    <row r="775" spans="1:6" x14ac:dyDescent="0.25">
      <c r="A775" s="19"/>
      <c r="C775"/>
      <c r="D775"/>
      <c r="E775"/>
      <c r="F775"/>
    </row>
    <row r="776" spans="1:6" x14ac:dyDescent="0.25">
      <c r="A776" s="19"/>
      <c r="C776"/>
      <c r="D776"/>
      <c r="E776"/>
      <c r="F776"/>
    </row>
    <row r="777" spans="1:6" x14ac:dyDescent="0.25">
      <c r="A777" s="19"/>
      <c r="C777"/>
      <c r="D777"/>
      <c r="E777"/>
      <c r="F777"/>
    </row>
    <row r="778" spans="1:6" x14ac:dyDescent="0.25">
      <c r="A778" s="19"/>
      <c r="C778"/>
      <c r="D778"/>
      <c r="E778"/>
      <c r="F778"/>
    </row>
    <row r="779" spans="1:6" x14ac:dyDescent="0.25">
      <c r="A779" s="19"/>
      <c r="C779"/>
      <c r="D779"/>
      <c r="E779"/>
      <c r="F779"/>
    </row>
    <row r="780" spans="1:6" x14ac:dyDescent="0.25">
      <c r="A780" s="19"/>
      <c r="C780"/>
      <c r="D780"/>
      <c r="E780"/>
      <c r="F780"/>
    </row>
    <row r="781" spans="1:6" x14ac:dyDescent="0.25">
      <c r="A781" s="19"/>
      <c r="C781"/>
      <c r="D781"/>
      <c r="E781"/>
      <c r="F781"/>
    </row>
    <row r="782" spans="1:6" x14ac:dyDescent="0.25">
      <c r="A782" s="19"/>
      <c r="C782"/>
      <c r="D782"/>
      <c r="E782"/>
      <c r="F782"/>
    </row>
    <row r="783" spans="1:6" x14ac:dyDescent="0.25">
      <c r="A783" s="19"/>
      <c r="C783"/>
      <c r="D783"/>
      <c r="E783"/>
      <c r="F783"/>
    </row>
    <row r="784" spans="1:6" x14ac:dyDescent="0.25">
      <c r="A784" s="19"/>
      <c r="C784"/>
      <c r="D784"/>
      <c r="E784"/>
      <c r="F784"/>
    </row>
    <row r="785" spans="1:6" x14ac:dyDescent="0.25">
      <c r="A785" s="19"/>
      <c r="C785"/>
      <c r="D785"/>
      <c r="E785"/>
      <c r="F785"/>
    </row>
    <row r="786" spans="1:6" x14ac:dyDescent="0.25">
      <c r="A786" s="19"/>
      <c r="C786"/>
      <c r="D786"/>
      <c r="E786"/>
      <c r="F786"/>
    </row>
    <row r="787" spans="1:6" x14ac:dyDescent="0.25">
      <c r="A787" s="19"/>
      <c r="C787"/>
      <c r="D787"/>
      <c r="E787"/>
      <c r="F787"/>
    </row>
    <row r="788" spans="1:6" x14ac:dyDescent="0.25">
      <c r="A788" s="19"/>
      <c r="C788"/>
      <c r="D788"/>
      <c r="E788"/>
      <c r="F788"/>
    </row>
    <row r="789" spans="1:6" x14ac:dyDescent="0.25">
      <c r="A789" s="19"/>
      <c r="C789"/>
      <c r="D789"/>
      <c r="E789"/>
      <c r="F789"/>
    </row>
    <row r="790" spans="1:6" x14ac:dyDescent="0.25">
      <c r="A790" s="19"/>
      <c r="C790"/>
      <c r="D790"/>
      <c r="E790"/>
      <c r="F790"/>
    </row>
    <row r="791" spans="1:6" x14ac:dyDescent="0.25">
      <c r="A791" s="19"/>
      <c r="C791"/>
      <c r="D791"/>
      <c r="E791"/>
      <c r="F791"/>
    </row>
    <row r="792" spans="1:6" x14ac:dyDescent="0.25">
      <c r="A792" s="19"/>
      <c r="C792"/>
      <c r="D792"/>
      <c r="E792"/>
      <c r="F792"/>
    </row>
    <row r="793" spans="1:6" x14ac:dyDescent="0.25">
      <c r="A793" s="19"/>
      <c r="C793"/>
      <c r="D793"/>
      <c r="E793"/>
      <c r="F793"/>
    </row>
    <row r="794" spans="1:6" x14ac:dyDescent="0.25">
      <c r="A794" s="19"/>
      <c r="C794"/>
      <c r="D794"/>
      <c r="E794"/>
      <c r="F794"/>
    </row>
    <row r="795" spans="1:6" x14ac:dyDescent="0.25">
      <c r="A795" s="19"/>
      <c r="C795"/>
      <c r="D795"/>
      <c r="E795"/>
      <c r="F795"/>
    </row>
    <row r="796" spans="1:6" x14ac:dyDescent="0.25">
      <c r="A796" s="19"/>
      <c r="C796"/>
      <c r="D796"/>
      <c r="E796"/>
      <c r="F796"/>
    </row>
    <row r="797" spans="1:6" x14ac:dyDescent="0.25">
      <c r="A797" s="19"/>
      <c r="C797"/>
      <c r="D797"/>
      <c r="E797"/>
      <c r="F797"/>
    </row>
    <row r="798" spans="1:6" x14ac:dyDescent="0.25">
      <c r="A798" s="19"/>
      <c r="C798"/>
      <c r="D798"/>
      <c r="E798"/>
      <c r="F798"/>
    </row>
    <row r="799" spans="1:6" x14ac:dyDescent="0.25">
      <c r="A799" s="19"/>
      <c r="C799"/>
      <c r="D799"/>
      <c r="E799"/>
      <c r="F799"/>
    </row>
    <row r="800" spans="1:6" x14ac:dyDescent="0.25">
      <c r="A800" s="19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I1154"/>
  <sheetViews>
    <sheetView showGridLines="0" zoomScaleNormal="100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609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SUBTOTAL(109,indexmod_T[hts_tst_indexmod_u1_unk_pos])</f>
        <v>0</v>
      </c>
      <c r="BA5" s="47">
        <f>SUBTOTAL(109,indexmod_T[hts_tst_indexmod_0109_unk_pos])</f>
        <v>0</v>
      </c>
      <c r="BB5" s="47">
        <f>SUBTOTAL(109,indexmod_T[hts_tst_indexmod_1014_f_pos])</f>
        <v>0</v>
      </c>
      <c r="BC5" s="47">
        <f>SUBTOTAL(109,indexmod_T[hts_tst_indexmod_1014_m_pos])</f>
        <v>0</v>
      </c>
      <c r="BD5" s="47">
        <f>SUBTOTAL(109,indexmod_T[hts_tst_indexmod_u1_unk_neg])</f>
        <v>0</v>
      </c>
      <c r="BE5" s="47">
        <f>SUBTOTAL(109,indexmod_T[hts_tst_indexmod_0109_unk_neg])</f>
        <v>0</v>
      </c>
      <c r="BF5" s="47">
        <f>SUBTOTAL(109,indexmod_T[hts_tst_indexmod_1014_f_neg])</f>
        <v>0</v>
      </c>
      <c r="BG5" s="47">
        <f>SUBTOTAL(109,indexmod_T[hts_tst_indexmod_1014_m_neg])</f>
        <v>0</v>
      </c>
      <c r="BH5" s="47">
        <f>SUBTOTAL(109,indexmod_T[hts_tst_indexmod_1519_f_pos])</f>
        <v>0</v>
      </c>
      <c r="BI5" s="47">
        <f>SUBTOTAL(109,indexmod_T[hts_tst_indexmod_1519_m_pos])</f>
        <v>0</v>
      </c>
      <c r="BJ5" s="47">
        <f>SUBTOTAL(109,indexmod_T[hts_tst_indexmod_2024_f_pos])</f>
        <v>0</v>
      </c>
      <c r="BK5" s="47">
        <f>SUBTOTAL(109,indexmod_T[hts_tst_indexmod_2024_m_pos])</f>
        <v>0</v>
      </c>
      <c r="BL5" s="47">
        <f>SUBTOTAL(109,indexmod_T[hts_tst_indexmod_2529_f_pos])</f>
        <v>0</v>
      </c>
      <c r="BM5" s="47">
        <f>SUBTOTAL(109,indexmod_T[hts_tst_indexmod_2529_m_pos])</f>
        <v>0</v>
      </c>
      <c r="BN5" s="47">
        <f>SUBTOTAL(109,indexmod_T[hts_tst_indexmod_3034_f_pos])</f>
        <v>0</v>
      </c>
      <c r="BO5" s="47">
        <f>SUBTOTAL(109,indexmod_T[hts_tst_indexmod_3034_m_pos])</f>
        <v>0</v>
      </c>
      <c r="BP5" s="47">
        <f>SUBTOTAL(109,indexmod_T[hts_tst_indexmod_3539_f_pos])</f>
        <v>0</v>
      </c>
      <c r="BQ5" s="47">
        <f>SUBTOTAL(109,indexmod_T[hts_tst_indexmod_3539_m_pos])</f>
        <v>0</v>
      </c>
      <c r="BR5" s="47">
        <f>SUBTOTAL(109,indexmod_T[hts_tst_indexmod_4049_f_pos])</f>
        <v>0</v>
      </c>
      <c r="BS5" s="47">
        <f>SUBTOTAL(109,indexmod_T[hts_tst_indexmod_4049_m_pos])</f>
        <v>0</v>
      </c>
      <c r="BT5" s="47">
        <f>SUBTOTAL(109,indexmod_T[hts_tst_indexmod_o50_f_pos])</f>
        <v>0</v>
      </c>
      <c r="BU5" s="47">
        <f>SUBTOTAL(109,indexmod_T[hts_tst_indexmod_o50_m_pos])</f>
        <v>0</v>
      </c>
      <c r="BV5" s="47">
        <f>SUBTOTAL(109,indexmod_T[hts_tst_indexmod_1519_f_neg])</f>
        <v>0</v>
      </c>
      <c r="BW5" s="47">
        <f>SUBTOTAL(109,indexmod_T[hts_tst_indexmod_1519_m_neg])</f>
        <v>0</v>
      </c>
      <c r="BX5" s="47">
        <f>SUBTOTAL(109,indexmod_T[hts_tst_indexmod_2024_f_neg])</f>
        <v>0</v>
      </c>
      <c r="BY5" s="47">
        <f>SUBTOTAL(109,indexmod_T[hts_tst_indexmod_2024_m_neg])</f>
        <v>0</v>
      </c>
      <c r="BZ5" s="47">
        <f>SUBTOTAL(109,indexmod_T[hts_tst_indexmod_2529_f_neg])</f>
        <v>0</v>
      </c>
      <c r="CA5" s="47">
        <f>SUBTOTAL(109,indexmod_T[hts_tst_indexmod_2529_m_neg])</f>
        <v>0</v>
      </c>
      <c r="CB5" s="47">
        <f>SUBTOTAL(109,indexmod_T[hts_tst_indexmod_3034_f_neg])</f>
        <v>0</v>
      </c>
      <c r="CC5" s="47">
        <f>SUBTOTAL(109,indexmod_T[hts_tst_indexmod_3034_m_neg])</f>
        <v>0</v>
      </c>
      <c r="CD5" s="47">
        <f>SUBTOTAL(109,indexmod_T[hts_tst_indexmod_3539_f_neg])</f>
        <v>0</v>
      </c>
      <c r="CE5" s="47">
        <f>SUBTOTAL(109,indexmod_T[hts_tst_indexmod_3539_m_neg])</f>
        <v>0</v>
      </c>
      <c r="CF5" s="47">
        <f>SUBTOTAL(109,indexmod_T[hts_tst_indexmod_4049_f_neg])</f>
        <v>0</v>
      </c>
      <c r="CG5" s="47">
        <f>SUBTOTAL(109,indexmod_T[hts_tst_indexmod_4049_m_neg])</f>
        <v>0</v>
      </c>
      <c r="CH5" s="47">
        <f>SUBTOTAL(109,indexmod_T[hts_tst_indexmod_o50_f_neg])</f>
        <v>0</v>
      </c>
      <c r="CI5" s="47">
        <f>SUBTOTAL(109,indexmod_T[hts_tst_indexmod_o50_m_neg])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610</v>
      </c>
      <c r="K6" s="25" t="s">
        <v>611</v>
      </c>
      <c r="L6" s="25" t="s">
        <v>612</v>
      </c>
      <c r="M6" s="25" t="s">
        <v>613</v>
      </c>
      <c r="N6" s="25" t="s">
        <v>614</v>
      </c>
      <c r="O6" s="25" t="s">
        <v>615</v>
      </c>
      <c r="P6" s="25" t="s">
        <v>616</v>
      </c>
      <c r="Q6" s="25" t="s">
        <v>617</v>
      </c>
      <c r="R6" s="25" t="s">
        <v>618</v>
      </c>
      <c r="S6" s="25" t="s">
        <v>619</v>
      </c>
      <c r="T6" s="25" t="s">
        <v>620</v>
      </c>
      <c r="U6" s="25" t="s">
        <v>621</v>
      </c>
      <c r="V6" s="25" t="s">
        <v>622</v>
      </c>
      <c r="W6" s="25" t="s">
        <v>623</v>
      </c>
      <c r="X6" s="25" t="s">
        <v>624</v>
      </c>
      <c r="Y6" s="25" t="s">
        <v>625</v>
      </c>
      <c r="Z6" s="25" t="s">
        <v>626</v>
      </c>
      <c r="AA6" s="25" t="s">
        <v>627</v>
      </c>
      <c r="AB6" s="25" t="s">
        <v>628</v>
      </c>
      <c r="AC6" s="25" t="s">
        <v>629</v>
      </c>
      <c r="AD6" s="25" t="s">
        <v>630</v>
      </c>
      <c r="AE6" s="25" t="s">
        <v>631</v>
      </c>
      <c r="AF6" s="25" t="s">
        <v>632</v>
      </c>
      <c r="AG6" s="25" t="s">
        <v>633</v>
      </c>
      <c r="AH6" s="25" t="s">
        <v>634</v>
      </c>
      <c r="AI6" s="25" t="s">
        <v>635</v>
      </c>
      <c r="AJ6" s="25" t="s">
        <v>636</v>
      </c>
      <c r="AK6" s="25" t="s">
        <v>637</v>
      </c>
      <c r="AL6" s="25" t="s">
        <v>638</v>
      </c>
      <c r="AM6" s="25" t="s">
        <v>639</v>
      </c>
      <c r="AN6" s="25" t="s">
        <v>640</v>
      </c>
      <c r="AO6" s="25" t="s">
        <v>641</v>
      </c>
      <c r="AP6" s="25" t="s">
        <v>642</v>
      </c>
      <c r="AQ6" s="25" t="s">
        <v>643</v>
      </c>
      <c r="AR6" s="25" t="s">
        <v>644</v>
      </c>
      <c r="AS6" s="25" t="s">
        <v>645</v>
      </c>
      <c r="AT6" s="25" t="s">
        <v>239</v>
      </c>
      <c r="AU6" s="25" t="s">
        <v>251</v>
      </c>
      <c r="AV6" s="25" t="s">
        <v>504</v>
      </c>
      <c r="AW6" s="25" t="s">
        <v>219</v>
      </c>
      <c r="AX6" s="25" t="s">
        <v>229</v>
      </c>
      <c r="AY6" s="25" t="s">
        <v>505</v>
      </c>
      <c r="AZ6" s="25" t="s">
        <v>647</v>
      </c>
      <c r="BA6" s="25" t="s">
        <v>646</v>
      </c>
      <c r="BB6" s="25" t="s">
        <v>648</v>
      </c>
      <c r="BC6" s="25" t="s">
        <v>649</v>
      </c>
      <c r="BD6" s="25" t="s">
        <v>650</v>
      </c>
      <c r="BE6" s="25" t="s">
        <v>651</v>
      </c>
      <c r="BF6" s="25" t="s">
        <v>652</v>
      </c>
      <c r="BG6" s="25" t="s">
        <v>653</v>
      </c>
      <c r="BH6" s="25" t="s">
        <v>654</v>
      </c>
      <c r="BI6" s="25" t="s">
        <v>655</v>
      </c>
      <c r="BJ6" s="25" t="s">
        <v>656</v>
      </c>
      <c r="BK6" s="25" t="s">
        <v>657</v>
      </c>
      <c r="BL6" s="25" t="s">
        <v>658</v>
      </c>
      <c r="BM6" s="25" t="s">
        <v>659</v>
      </c>
      <c r="BN6" s="25" t="s">
        <v>660</v>
      </c>
      <c r="BO6" s="25" t="s">
        <v>680</v>
      </c>
      <c r="BP6" s="25" t="s">
        <v>661</v>
      </c>
      <c r="BQ6" s="25" t="s">
        <v>681</v>
      </c>
      <c r="BR6" s="25" t="s">
        <v>662</v>
      </c>
      <c r="BS6" s="25" t="s">
        <v>663</v>
      </c>
      <c r="BT6" s="25" t="s">
        <v>664</v>
      </c>
      <c r="BU6" s="25" t="s">
        <v>665</v>
      </c>
      <c r="BV6" s="25" t="s">
        <v>666</v>
      </c>
      <c r="BW6" s="25" t="s">
        <v>667</v>
      </c>
      <c r="BX6" s="25" t="s">
        <v>668</v>
      </c>
      <c r="BY6" s="25" t="s">
        <v>669</v>
      </c>
      <c r="BZ6" s="25" t="s">
        <v>670</v>
      </c>
      <c r="CA6" s="25" t="s">
        <v>671</v>
      </c>
      <c r="CB6" s="25" t="s">
        <v>672</v>
      </c>
      <c r="CC6" s="25" t="s">
        <v>673</v>
      </c>
      <c r="CD6" s="25" t="s">
        <v>674</v>
      </c>
      <c r="CE6" s="25" t="s">
        <v>675</v>
      </c>
      <c r="CF6" s="25" t="s">
        <v>676</v>
      </c>
      <c r="CG6" s="25" t="s">
        <v>677</v>
      </c>
      <c r="CH6" s="25" t="s">
        <v>678</v>
      </c>
      <c r="CI6" s="25" t="s">
        <v>679</v>
      </c>
    </row>
    <row r="7" spans="1:87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indexmod_T[[D_hts_tst_pos_indexmod_u15_fy19]:[D_hts_tst_pos_indexmod_u15_fy19]]*indexmod_T[A_hts_tst_indexmod_u1_unk_pos]</f>
        <v>0</v>
      </c>
      <c r="BA7" s="41">
        <f>indexmod_T[[D_hts_tst_pos_indexmod_u15_fy19]:[D_hts_tst_pos_indexmod_u15_fy19]]*indexmod_T[A_hts_tst_indexmod_0109_unk_pos]</f>
        <v>0</v>
      </c>
      <c r="BB7" s="41">
        <f>indexmod_T[[D_hts_tst_pos_indexmod_u15_fy19]:[D_hts_tst_pos_indexmod_u15_fy19]]*indexmod_T[A_hts_tst_indexmod_1014_f_pos]</f>
        <v>0</v>
      </c>
      <c r="BC7" s="41">
        <f>indexmod_T[[D_hts_tst_pos_indexmod_u15_fy19]:[D_hts_tst_pos_indexmod_u15_fy19]]*indexmod_T[A_hts_tst_indexmod_1014_m_pos]</f>
        <v>0</v>
      </c>
      <c r="BD7" s="41">
        <f>indexmod_T[[D_hts_tst_neg_indexmod_u15_fy19]:[D_hts_tst_neg_indexmod_u15_fy19]]*indexmod_T[A_hts_tst_indexmod_u1_unk_neg]</f>
        <v>0</v>
      </c>
      <c r="BE7" s="41">
        <f>indexmod_T[[D_hts_tst_neg_indexmod_u15_fy19]:[D_hts_tst_neg_indexmod_u15_fy19]]*indexmod_T[A_hts_tst_indexmod_0109_unk_neg]</f>
        <v>0</v>
      </c>
      <c r="BF7" s="41">
        <f>indexmod_T[[D_hts_tst_neg_indexmod_u15_fy19]:[D_hts_tst_neg_indexmod_u15_fy19]]*indexmod_T[A_hts_tst_indexmod_1014_f_neg]</f>
        <v>0</v>
      </c>
      <c r="BG7" s="41">
        <f>indexmod_T[[D_hts_tst_neg_indexmod_u15_fy19]:[D_hts_tst_neg_indexmod_u15_fy19]]*indexmod_T[A_hts_tst_indexmod_1014_m_neg]</f>
        <v>0</v>
      </c>
      <c r="BH7" s="41">
        <f>indexmod_T[[D_hts_tst_pos_indexmod_o15_fy19]:[D_hts_tst_pos_indexmod_o15_fy19]]*indexmod_T[A_hts_tst_indexmod_1519_f_pos]</f>
        <v>0</v>
      </c>
      <c r="BI7" s="41">
        <f>indexmod_T[[D_hts_tst_pos_indexmod_o15_fy19]:[D_hts_tst_pos_indexmod_o15_fy19]]*indexmod_T[A_hts_tst_indexmod_1519_m_pos]</f>
        <v>0</v>
      </c>
      <c r="BJ7" s="41">
        <f>indexmod_T[[D_hts_tst_pos_indexmod_o15_fy19]:[D_hts_tst_pos_indexmod_o15_fy19]]*indexmod_T[A_hts_tst_indexmod_2024_f_pos]</f>
        <v>0</v>
      </c>
      <c r="BK7" s="41">
        <f>indexmod_T[[D_hts_tst_pos_indexmod_o15_fy19]:[D_hts_tst_pos_indexmod_o15_fy19]]*indexmod_T[A_hts_tst_indexmod_2024_m_pos]</f>
        <v>0</v>
      </c>
      <c r="BL7" s="41">
        <f>indexmod_T[[D_hts_tst_pos_indexmod_o15_fy19]:[D_hts_tst_pos_indexmod_o15_fy19]]*indexmod_T[A_hts_tst_indexmod_2529_f_pos]</f>
        <v>0</v>
      </c>
      <c r="BM7" s="41">
        <f>indexmod_T[[D_hts_tst_pos_indexmod_o15_fy19]:[D_hts_tst_pos_indexmod_o15_fy19]]*indexmod_T[A_hts_tst_indexmod_2529_m_pos]</f>
        <v>0</v>
      </c>
      <c r="BN7" s="41">
        <f>indexmod_T[[D_hts_tst_pos_indexmod_o15_fy19]:[D_hts_tst_pos_indexmod_o15_fy19]]*indexmod_T[A_hts_tst_indexmod_3034_f_pos]</f>
        <v>0</v>
      </c>
      <c r="BO7" s="41">
        <f>indexmod_T[[D_hts_tst_pos_indexmod_o15_fy19]:[D_hts_tst_pos_indexmod_o15_fy19]]*indexmod_T[A_hts_tst_indexmod_3034_m__pos]</f>
        <v>0</v>
      </c>
      <c r="BP7" s="41">
        <f>indexmod_T[[D_hts_tst_pos_indexmod_o15_fy19]:[D_hts_tst_pos_indexmod_o15_fy19]]*indexmod_T[A_hts_tst_indexmod_3539_f_pos]</f>
        <v>0</v>
      </c>
      <c r="BQ7" s="41">
        <f>indexmod_T[[D_hts_tst_pos_indexmod_o15_fy19]:[D_hts_tst_pos_indexmod_o15_fy19]]*indexmod_T[A_hts_tst_indexmod_3539_m__pos]</f>
        <v>0</v>
      </c>
      <c r="BR7" s="41">
        <f>indexmod_T[[D_hts_tst_pos_indexmod_o15_fy19]:[D_hts_tst_pos_indexmod_o15_fy19]]*indexmod_T[A_hts_tst_indexmod_4049_f_pos]</f>
        <v>0</v>
      </c>
      <c r="BS7" s="41">
        <f>indexmod_T[[D_hts_tst_pos_indexmod_o15_fy19]:[D_hts_tst_pos_indexmod_o15_fy19]]*indexmod_T[A_hts_tst_indexmod_4049_m_pos]</f>
        <v>0</v>
      </c>
      <c r="BT7" s="41">
        <f>indexmod_T[[D_hts_tst_pos_indexmod_o15_fy19]:[D_hts_tst_pos_indexmod_o15_fy19]]*indexmod_T[A_hts_tst_indexmod_o50_f_pos]</f>
        <v>0</v>
      </c>
      <c r="BU7" s="41">
        <f>indexmod_T[[D_hts_tst_pos_indexmod_o15_fy19]:[D_hts_tst_pos_indexmod_o15_fy19]]*indexmod_T[A_hts_tst_indexmod_o50_m_pos]</f>
        <v>0</v>
      </c>
      <c r="BV7" s="41">
        <f>indexmod_T[[D_hts_tst_neg_indexmod_o15_fy19]:[D_hts_tst_neg_indexmod_o15_fy19]]*indexmod_T[A_hts_tst_indexmod_1519_f_neg]</f>
        <v>0</v>
      </c>
      <c r="BW7" s="41">
        <f>indexmod_T[[D_hts_tst_neg_indexmod_o15_fy19]:[D_hts_tst_neg_indexmod_o15_fy19]]*indexmod_T[A_hts_tst_indexmod_1519_m_neg]</f>
        <v>0</v>
      </c>
      <c r="BX7" s="41">
        <f>indexmod_T[[D_hts_tst_neg_indexmod_o15_fy19]:[D_hts_tst_neg_indexmod_o15_fy19]]*indexmod_T[A_hts_tst_indexmod_2024_f_neg]</f>
        <v>0</v>
      </c>
      <c r="BY7" s="41">
        <f>indexmod_T[[D_hts_tst_neg_indexmod_o15_fy19]:[D_hts_tst_neg_indexmod_o15_fy19]]*indexmod_T[A_hts_tst_indexmod_2024_m_neg]</f>
        <v>0</v>
      </c>
      <c r="BZ7" s="41">
        <f>indexmod_T[[D_hts_tst_neg_indexmod_o15_fy19]:[D_hts_tst_neg_indexmod_o15_fy19]]*indexmod_T[A_hts_tst_indexmod_2529_f_neg]</f>
        <v>0</v>
      </c>
      <c r="CA7" s="41">
        <f>indexmod_T[[D_hts_tst_neg_indexmod_o15_fy19]:[D_hts_tst_neg_indexmod_o15_fy19]]*indexmod_T[A_hts_tst_indexmod_2529_m_neg]</f>
        <v>0</v>
      </c>
      <c r="CB7" s="41">
        <f>indexmod_T[[D_hts_tst_neg_indexmod_o15_fy19]:[D_hts_tst_neg_indexmod_o15_fy19]]*indexmod_T[A_hts_tst_indexmod_3034_f_neg]</f>
        <v>0</v>
      </c>
      <c r="CC7" s="41">
        <f>indexmod_T[[D_hts_tst_neg_indexmod_o15_fy19]:[D_hts_tst_neg_indexmod_o15_fy19]]*indexmod_T[A_hts_tst_indexmod_3034_m_neg]</f>
        <v>0</v>
      </c>
      <c r="CD7" s="41">
        <f>indexmod_T[[D_hts_tst_neg_indexmod_o15_fy19]:[D_hts_tst_neg_indexmod_o15_fy19]]*indexmod_T[A_hts_tst_indexmod_3539_f_neg]</f>
        <v>0</v>
      </c>
      <c r="CE7" s="41">
        <f>indexmod_T[[D_hts_tst_neg_indexmod_o15_fy19]:[D_hts_tst_neg_indexmod_o15_fy19]]*indexmod_T[A_hts_tst_indexmod_3539_m_neg]</f>
        <v>0</v>
      </c>
      <c r="CF7" s="41">
        <f>indexmod_T[[D_hts_tst_neg_indexmod_o15_fy19]:[D_hts_tst_neg_indexmod_o15_fy19]]*indexmod_T[A_hts_tst_indexmod_4049_f_neg]</f>
        <v>0</v>
      </c>
      <c r="CG7" s="41">
        <f>indexmod_T[[D_hts_tst_neg_indexmod_o15_fy19]:[D_hts_tst_neg_indexmod_o15_fy19]]*indexmod_T[A_hts_tst_indexmod_4049_m_neg]</f>
        <v>0</v>
      </c>
      <c r="CH7" s="41">
        <f>indexmod_T[[D_hts_tst_neg_indexmod_o15_fy19]:[D_hts_tst_neg_indexmod_o15_fy19]]*indexmod_T[A_hts_tst_indexmod_o50_f_neg]</f>
        <v>0</v>
      </c>
      <c r="CI7" s="41">
        <f>indexmod_T[[D_hts_tst_neg_indexmod_o15_fy19]:[D_hts_tst_neg_indexmod_o15_fy19]]*indexmod_T[A_hts_tst_indexmod_o50_m_neg]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682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SUBTOTAL(109,mobilemod_T[hts_tst_mobilemod_u1_unk_pos])</f>
        <v>0</v>
      </c>
      <c r="BA5" s="47">
        <f>SUBTOTAL(109,mobilemod_T[hts_tst_mobilemod_0109_unk_pos])</f>
        <v>0</v>
      </c>
      <c r="BB5" s="47">
        <f>SUBTOTAL(109,mobilemod_T[hts_tst_mobilemod_1014_f_pos])</f>
        <v>0</v>
      </c>
      <c r="BC5" s="47">
        <f>SUBTOTAL(109,mobilemod_T[hts_tst_mobilemod_1014_m_pos])</f>
        <v>0</v>
      </c>
      <c r="BD5" s="47">
        <f>SUBTOTAL(109,mobilemod_T[hts_tst_mobilemod_u1_unk_neg])</f>
        <v>0</v>
      </c>
      <c r="BE5" s="47">
        <f>SUBTOTAL(109,mobilemod_T[hts_tst_mobilemod_0109_unk_neg])</f>
        <v>0</v>
      </c>
      <c r="BF5" s="47">
        <f>SUBTOTAL(109,mobilemod_T[hts_tst_mobilemod_1014_f_neg])</f>
        <v>0</v>
      </c>
      <c r="BG5" s="47">
        <f>SUBTOTAL(109,mobilemod_T[hts_tst_mobilemod_1014_m_neg])</f>
        <v>0</v>
      </c>
      <c r="BH5" s="47">
        <f>SUBTOTAL(109,mobilemod_T[hts_tst_mobilemod_1519_f_pos])</f>
        <v>0</v>
      </c>
      <c r="BI5" s="47">
        <f>SUBTOTAL(109,mobilemod_T[hts_tst_mobilemod_1519_m_pos])</f>
        <v>0</v>
      </c>
      <c r="BJ5" s="47">
        <f>SUBTOTAL(109,mobilemod_T[hts_tst_mobilemod_2024_f_pos])</f>
        <v>0</v>
      </c>
      <c r="BK5" s="47">
        <f>SUBTOTAL(109,mobilemod_T[hts_tst_mobilemod_2024_m_pos])</f>
        <v>0</v>
      </c>
      <c r="BL5" s="47">
        <f>SUBTOTAL(109,mobilemod_T[hts_tst_mobilemod_2529_f_pos])</f>
        <v>0</v>
      </c>
      <c r="BM5" s="47">
        <f>SUBTOTAL(109,mobilemod_T[hts_tst_mobilemod_2529_m_pos])</f>
        <v>0</v>
      </c>
      <c r="BN5" s="47">
        <f>SUBTOTAL(109,mobilemod_T[hts_tst_mobilemod_3034_f_pos])</f>
        <v>0</v>
      </c>
      <c r="BO5" s="47">
        <f>SUBTOTAL(109,mobilemod_T[hts_tst_mobilemod_3034_m_pos])</f>
        <v>0</v>
      </c>
      <c r="BP5" s="47">
        <f>SUBTOTAL(109,mobilemod_T[hts_tst_mobilemod_3539_f_pos])</f>
        <v>0</v>
      </c>
      <c r="BQ5" s="47">
        <f>SUBTOTAL(109,mobilemod_T[hts_tst_mobilemod_3539_m_pos])</f>
        <v>0</v>
      </c>
      <c r="BR5" s="47">
        <f>SUBTOTAL(109,mobilemod_T[hts_tst_mobilemod_4049_f_pos])</f>
        <v>0</v>
      </c>
      <c r="BS5" s="47">
        <f>SUBTOTAL(109,mobilemod_T[hts_tst_mobilemod_4049_m_pos])</f>
        <v>0</v>
      </c>
      <c r="BT5" s="47">
        <f>SUBTOTAL(109,mobilemod_T[hts_tst_mobilemod_o50_f_pos])</f>
        <v>0</v>
      </c>
      <c r="BU5" s="47">
        <f>SUBTOTAL(109,mobilemod_T[hts_tst_mobilemod_o50_m_pos])</f>
        <v>0</v>
      </c>
      <c r="BV5" s="47">
        <f>SUBTOTAL(109,mobilemod_T[hts_tst_mobilemod_1519_f_neg])</f>
        <v>0</v>
      </c>
      <c r="BW5" s="47">
        <f>SUBTOTAL(109,mobilemod_T[hts_tst_mobilemod_1519_m_neg])</f>
        <v>0</v>
      </c>
      <c r="BX5" s="47">
        <f>SUBTOTAL(109,mobilemod_T[hts_tst_mobilemod_2024_f_neg])</f>
        <v>0</v>
      </c>
      <c r="BY5" s="47">
        <f>SUBTOTAL(109,mobilemod_T[hts_tst_mobilemod_2024_m_neg])</f>
        <v>0</v>
      </c>
      <c r="BZ5" s="47">
        <f>SUBTOTAL(109,mobilemod_T[hts_tst_mobilemod_2529_f_neg])</f>
        <v>0</v>
      </c>
      <c r="CA5" s="47">
        <f>SUBTOTAL(109,mobilemod_T[hts_tst_mobilemod_2529_m_neg])</f>
        <v>0</v>
      </c>
      <c r="CB5" s="47">
        <f>SUBTOTAL(109,mobilemod_T[hts_tst_mobilemod_3034_f_neg])</f>
        <v>0</v>
      </c>
      <c r="CC5" s="47">
        <f>SUBTOTAL(109,mobilemod_T[hts_tst_mobilemod_3034_m_neg])</f>
        <v>0</v>
      </c>
      <c r="CD5" s="47">
        <f>SUBTOTAL(109,mobilemod_T[hts_tst_mobilemod_3539_f_neg])</f>
        <v>0</v>
      </c>
      <c r="CE5" s="47">
        <f>SUBTOTAL(109,mobilemod_T[hts_tst_mobilemod_3539_m_neg])</f>
        <v>0</v>
      </c>
      <c r="CF5" s="47">
        <f>SUBTOTAL(109,mobilemod_T[hts_tst_mobilemod_4049_f_neg])</f>
        <v>0</v>
      </c>
      <c r="CG5" s="47">
        <f>SUBTOTAL(109,mobilemod_T[hts_tst_mobilemod_4049_m_neg])</f>
        <v>0</v>
      </c>
      <c r="CH5" s="47">
        <f>SUBTOTAL(109,mobilemod_T[hts_tst_mobilemod_o50_f_neg])</f>
        <v>0</v>
      </c>
      <c r="CI5" s="47">
        <f>SUBTOTAL(109,mobilemod_T[hts_tst_mobilemod_o50_m_neg])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683</v>
      </c>
      <c r="K6" s="25" t="s">
        <v>684</v>
      </c>
      <c r="L6" s="25" t="s">
        <v>685</v>
      </c>
      <c r="M6" s="25" t="s">
        <v>686</v>
      </c>
      <c r="N6" s="25" t="s">
        <v>687</v>
      </c>
      <c r="O6" s="25" t="s">
        <v>688</v>
      </c>
      <c r="P6" s="25" t="s">
        <v>689</v>
      </c>
      <c r="Q6" s="25" t="s">
        <v>690</v>
      </c>
      <c r="R6" s="25" t="s">
        <v>691</v>
      </c>
      <c r="S6" s="25" t="s">
        <v>692</v>
      </c>
      <c r="T6" s="25" t="s">
        <v>693</v>
      </c>
      <c r="U6" s="25" t="s">
        <v>694</v>
      </c>
      <c r="V6" s="25" t="s">
        <v>695</v>
      </c>
      <c r="W6" s="25" t="s">
        <v>696</v>
      </c>
      <c r="X6" s="25" t="s">
        <v>697</v>
      </c>
      <c r="Y6" s="25" t="s">
        <v>698</v>
      </c>
      <c r="Z6" s="25" t="s">
        <v>699</v>
      </c>
      <c r="AA6" s="25" t="s">
        <v>700</v>
      </c>
      <c r="AB6" s="25" t="s">
        <v>701</v>
      </c>
      <c r="AC6" s="25" t="s">
        <v>702</v>
      </c>
      <c r="AD6" s="25" t="s">
        <v>703</v>
      </c>
      <c r="AE6" s="25" t="s">
        <v>704</v>
      </c>
      <c r="AF6" s="25" t="s">
        <v>705</v>
      </c>
      <c r="AG6" s="25" t="s">
        <v>706</v>
      </c>
      <c r="AH6" s="25" t="s">
        <v>707</v>
      </c>
      <c r="AI6" s="25" t="s">
        <v>708</v>
      </c>
      <c r="AJ6" s="25" t="s">
        <v>709</v>
      </c>
      <c r="AK6" s="25" t="s">
        <v>710</v>
      </c>
      <c r="AL6" s="25" t="s">
        <v>711</v>
      </c>
      <c r="AM6" s="25" t="s">
        <v>712</v>
      </c>
      <c r="AN6" s="25" t="s">
        <v>713</v>
      </c>
      <c r="AO6" s="25" t="s">
        <v>714</v>
      </c>
      <c r="AP6" s="25" t="s">
        <v>715</v>
      </c>
      <c r="AQ6" s="25" t="s">
        <v>716</v>
      </c>
      <c r="AR6" s="25" t="s">
        <v>717</v>
      </c>
      <c r="AS6" s="25" t="s">
        <v>718</v>
      </c>
      <c r="AT6" s="25" t="s">
        <v>240</v>
      </c>
      <c r="AU6" s="25" t="s">
        <v>252</v>
      </c>
      <c r="AV6" s="25" t="s">
        <v>719</v>
      </c>
      <c r="AW6" s="25" t="s">
        <v>220</v>
      </c>
      <c r="AX6" s="25" t="s">
        <v>230</v>
      </c>
      <c r="AY6" s="25" t="s">
        <v>720</v>
      </c>
      <c r="AZ6" s="25" t="s">
        <v>721</v>
      </c>
      <c r="BA6" s="25" t="s">
        <v>722</v>
      </c>
      <c r="BB6" s="25" t="s">
        <v>723</v>
      </c>
      <c r="BC6" s="25" t="s">
        <v>724</v>
      </c>
      <c r="BD6" s="25" t="s">
        <v>725</v>
      </c>
      <c r="BE6" s="25" t="s">
        <v>726</v>
      </c>
      <c r="BF6" s="25" t="s">
        <v>727</v>
      </c>
      <c r="BG6" s="25" t="s">
        <v>728</v>
      </c>
      <c r="BH6" s="25" t="s">
        <v>729</v>
      </c>
      <c r="BI6" s="25" t="s">
        <v>730</v>
      </c>
      <c r="BJ6" s="25" t="s">
        <v>731</v>
      </c>
      <c r="BK6" s="25" t="s">
        <v>732</v>
      </c>
      <c r="BL6" s="25" t="s">
        <v>733</v>
      </c>
      <c r="BM6" s="25" t="s">
        <v>734</v>
      </c>
      <c r="BN6" s="25" t="s">
        <v>735</v>
      </c>
      <c r="BO6" s="25" t="s">
        <v>736</v>
      </c>
      <c r="BP6" s="25" t="s">
        <v>737</v>
      </c>
      <c r="BQ6" s="25" t="s">
        <v>738</v>
      </c>
      <c r="BR6" s="25" t="s">
        <v>739</v>
      </c>
      <c r="BS6" s="25" t="s">
        <v>740</v>
      </c>
      <c r="BT6" s="25" t="s">
        <v>741</v>
      </c>
      <c r="BU6" s="25" t="s">
        <v>742</v>
      </c>
      <c r="BV6" s="25" t="s">
        <v>743</v>
      </c>
      <c r="BW6" s="25" t="s">
        <v>744</v>
      </c>
      <c r="BX6" s="25" t="s">
        <v>745</v>
      </c>
      <c r="BY6" s="25" t="s">
        <v>746</v>
      </c>
      <c r="BZ6" s="25" t="s">
        <v>747</v>
      </c>
      <c r="CA6" s="25" t="s">
        <v>748</v>
      </c>
      <c r="CB6" s="25" t="s">
        <v>749</v>
      </c>
      <c r="CC6" s="25" t="s">
        <v>750</v>
      </c>
      <c r="CD6" s="25" t="s">
        <v>751</v>
      </c>
      <c r="CE6" s="25" t="s">
        <v>752</v>
      </c>
      <c r="CF6" s="25" t="s">
        <v>753</v>
      </c>
      <c r="CG6" s="25" t="s">
        <v>754</v>
      </c>
      <c r="CH6" s="25" t="s">
        <v>755</v>
      </c>
      <c r="CI6" s="25" t="s">
        <v>756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mobilemod_T[[D_hts_tst_pos_mobilemod_u15_fy19]:[D_hts_tst_pos_mobilemod_u15_fy19]]*mobilemod_T[A_hts_tst_mobilemod_u1_unk_pos]</f>
        <v>0</v>
      </c>
      <c r="BA7" s="41">
        <f>mobilemod_T[[D_hts_tst_pos_mobilemod_u15_fy19]:[D_hts_tst_pos_mobilemod_u15_fy19]]*mobilemod_T[A_hts_tst_mobilemod_0109_unk_pos]</f>
        <v>0</v>
      </c>
      <c r="BB7" s="41">
        <f>mobilemod_T[[D_hts_tst_pos_mobilemod_u15_fy19]:[D_hts_tst_pos_mobilemod_u15_fy19]]*mobilemod_T[A_hts_tst_mobilemod_1014_f_pos]</f>
        <v>0</v>
      </c>
      <c r="BC7" s="41">
        <f>mobilemod_T[[D_hts_tst_pos_mobilemod_u15_fy19]:[D_hts_tst_pos_mobilemod_u15_fy19]]*mobilemod_T[A_hts_tst_mobilemod_1014_m_pos]</f>
        <v>0</v>
      </c>
      <c r="BD7" s="41">
        <f>mobilemod_T[[D_hts_tst_neg_mobilemod_u15_fy19]:[D_hts_tst_neg_mobilemod_u15_fy19]]*mobilemod_T[A_hts_tst_mobilemod_u1_unk_neg]</f>
        <v>0</v>
      </c>
      <c r="BE7" s="41">
        <f>mobilemod_T[[D_hts_tst_neg_mobilemod_u15_fy19]:[D_hts_tst_neg_mobilemod_u15_fy19]]*mobilemod_T[A_hts_tst_mobilemod_0109_unk_neg]</f>
        <v>0</v>
      </c>
      <c r="BF7" s="41">
        <f>mobilemod_T[[D_hts_tst_neg_mobilemod_u15_fy19]:[D_hts_tst_neg_mobilemod_u15_fy19]]*mobilemod_T[A_hts_tst_mobilemod_1014_f_neg]</f>
        <v>0</v>
      </c>
      <c r="BG7" s="41">
        <f>mobilemod_T[[D_hts_tst_neg_mobilemod_u15_fy19]:[D_hts_tst_neg_mobilemod_u15_fy19]]*mobilemod_T[A_hts_tst_mobilemod_1014_m_neg]</f>
        <v>0</v>
      </c>
      <c r="BH7" s="41">
        <f>mobilemod_T[[D_hts_tst_pos_mobilemod_o15_fy19]:[D_hts_tst_pos_mobilemod_o15_fy19]]*mobilemod_T[A_hts_tst_mobilemod_1519_f_pos]</f>
        <v>0</v>
      </c>
      <c r="BI7" s="41">
        <f>mobilemod_T[[D_hts_tst_pos_mobilemod_o15_fy19]:[D_hts_tst_pos_mobilemod_o15_fy19]]*mobilemod_T[A_hts_tst_mobilemod_1519_m_pos]</f>
        <v>0</v>
      </c>
      <c r="BJ7" s="41">
        <f>mobilemod_T[[D_hts_tst_pos_mobilemod_o15_fy19]:[D_hts_tst_pos_mobilemod_o15_fy19]]*mobilemod_T[A_hts_tst_mobilemod_2024_f_pos]</f>
        <v>0</v>
      </c>
      <c r="BK7" s="41">
        <f>mobilemod_T[[D_hts_tst_pos_mobilemod_o15_fy19]:[D_hts_tst_pos_mobilemod_o15_fy19]]*mobilemod_T[A_hts_tst_mobilemod_2024_m_pos]</f>
        <v>0</v>
      </c>
      <c r="BL7" s="41">
        <f>mobilemod_T[[D_hts_tst_pos_mobilemod_o15_fy19]:[D_hts_tst_pos_mobilemod_o15_fy19]]*mobilemod_T[A_hts_tst_mobilemod_2529_f_pos]</f>
        <v>0</v>
      </c>
      <c r="BM7" s="41">
        <f>mobilemod_T[[D_hts_tst_pos_mobilemod_o15_fy19]:[D_hts_tst_pos_mobilemod_o15_fy19]]*mobilemod_T[A_hts_tst_mobilemod_2529_m_pos]</f>
        <v>0</v>
      </c>
      <c r="BN7" s="41">
        <f>mobilemod_T[[D_hts_tst_pos_mobilemod_o15_fy19]:[D_hts_tst_pos_mobilemod_o15_fy19]]*mobilemod_T[A_hts_tst_mobilemod_3034_f_pos]</f>
        <v>0</v>
      </c>
      <c r="BO7" s="41">
        <f>mobilemod_T[[D_hts_tst_pos_mobilemod_o15_fy19]:[D_hts_tst_pos_mobilemod_o15_fy19]]*mobilemod_T[A_hts_tst_mobilemod_3034_m__pos]</f>
        <v>0</v>
      </c>
      <c r="BP7" s="41">
        <f>mobilemod_T[[D_hts_tst_pos_mobilemod_o15_fy19]:[D_hts_tst_pos_mobilemod_o15_fy19]]*mobilemod_T[A_hts_tst_mobilemod_3539_f_pos]</f>
        <v>0</v>
      </c>
      <c r="BQ7" s="41">
        <f>mobilemod_T[[D_hts_tst_pos_mobilemod_o15_fy19]:[D_hts_tst_pos_mobilemod_o15_fy19]]*mobilemod_T[A_hts_tst_mobilemod_3539_m__pos]</f>
        <v>0</v>
      </c>
      <c r="BR7" s="41">
        <f>mobilemod_T[[D_hts_tst_pos_mobilemod_o15_fy19]:[D_hts_tst_pos_mobilemod_o15_fy19]]*mobilemod_T[A_hts_tst_mobilemod_4049_f_pos]</f>
        <v>0</v>
      </c>
      <c r="BS7" s="41">
        <f>mobilemod_T[[D_hts_tst_pos_mobilemod_o15_fy19]:[D_hts_tst_pos_mobilemod_o15_fy19]]*mobilemod_T[A_hts_tst_mobilemod_4049_m_pos]</f>
        <v>0</v>
      </c>
      <c r="BT7" s="41">
        <f>mobilemod_T[[D_hts_tst_pos_mobilemod_o15_fy19]:[D_hts_tst_pos_mobilemod_o15_fy19]]*mobilemod_T[A_hts_tst_mobilemod_o50_f_pos]</f>
        <v>0</v>
      </c>
      <c r="BU7" s="41">
        <f>mobilemod_T[[D_hts_tst_pos_mobilemod_o15_fy19]:[D_hts_tst_pos_mobilemod_o15_fy19]]*mobilemod_T[A_hts_tst_mobilemod_o50_m_pos]</f>
        <v>0</v>
      </c>
      <c r="BV7" s="41">
        <f>mobilemod_T[[D_hts_tst_neg_mobilemod_o15_fy19]:[D_hts_tst_neg_mobilemod_o15_fy19]]*mobilemod_T[A_hts_tst_mobilemod_1519_f_neg]</f>
        <v>0</v>
      </c>
      <c r="BW7" s="41">
        <f>mobilemod_T[[D_hts_tst_neg_mobilemod_o15_fy19]:[D_hts_tst_neg_mobilemod_o15_fy19]]*mobilemod_T[A_hts_tst_mobilemod_1519_m_neg]</f>
        <v>0</v>
      </c>
      <c r="BX7" s="41">
        <f>mobilemod_T[[D_hts_tst_neg_mobilemod_o15_fy19]:[D_hts_tst_neg_mobilemod_o15_fy19]]*mobilemod_T[A_hts_tst_mobilemod_2024_f_neg]</f>
        <v>0</v>
      </c>
      <c r="BY7" s="41">
        <f>mobilemod_T[[D_hts_tst_neg_mobilemod_o15_fy19]:[D_hts_tst_neg_mobilemod_o15_fy19]]*mobilemod_T[A_hts_tst_mobilemod_2024_m_neg]</f>
        <v>0</v>
      </c>
      <c r="BZ7" s="41">
        <f>mobilemod_T[[D_hts_tst_neg_mobilemod_o15_fy19]:[D_hts_tst_neg_mobilemod_o15_fy19]]*mobilemod_T[A_hts_tst_mobilemod_2529_f_neg]</f>
        <v>0</v>
      </c>
      <c r="CA7" s="41">
        <f>mobilemod_T[[D_hts_tst_neg_mobilemod_o15_fy19]:[D_hts_tst_neg_mobilemod_o15_fy19]]*mobilemod_T[A_hts_tst_mobilemod_2529_m_neg]</f>
        <v>0</v>
      </c>
      <c r="CB7" s="41">
        <f>mobilemod_T[[D_hts_tst_neg_mobilemod_o15_fy19]:[D_hts_tst_neg_mobilemod_o15_fy19]]*mobilemod_T[A_hts_tst_mobilemod_3034_f_neg]</f>
        <v>0</v>
      </c>
      <c r="CC7" s="41">
        <f>mobilemod_T[[D_hts_tst_neg_mobilemod_o15_fy19]:[D_hts_tst_neg_mobilemod_o15_fy19]]*mobilemod_T[A_hts_tst_mobilemod_3034_m_neg]</f>
        <v>0</v>
      </c>
      <c r="CD7" s="41">
        <f>mobilemod_T[[D_hts_tst_neg_mobilemod_o15_fy19]:[D_hts_tst_neg_mobilemod_o15_fy19]]*mobilemod_T[A_hts_tst_mobilemod_3539_f_neg]</f>
        <v>0</v>
      </c>
      <c r="CE7" s="41">
        <f>mobilemod_T[[D_hts_tst_neg_mobilemod_o15_fy19]:[D_hts_tst_neg_mobilemod_o15_fy19]]*mobilemod_T[A_hts_tst_mobilemod_3539_m_neg]</f>
        <v>0</v>
      </c>
      <c r="CF7" s="41">
        <f>mobilemod_T[[D_hts_tst_neg_mobilemod_o15_fy19]:[D_hts_tst_neg_mobilemod_o15_fy19]]*mobilemod_T[A_hts_tst_mobilemod_4049_f_neg]</f>
        <v>0</v>
      </c>
      <c r="CG7" s="41">
        <f>mobilemod_T[[D_hts_tst_neg_mobilemod_o15_fy19]:[D_hts_tst_neg_mobilemod_o15_fy19]]*mobilemod_T[A_hts_tst_mobilemod_4049_m_neg]</f>
        <v>0</v>
      </c>
      <c r="CH7" s="41">
        <f>mobilemod_T[[D_hts_tst_neg_mobilemod_o15_fy19]:[D_hts_tst_neg_mobilemod_o15_fy19]]*mobilemod_T[A_hts_tst_mobilemod_o50_f_neg]</f>
        <v>0</v>
      </c>
      <c r="CI7" s="41">
        <f>mobilemod_T[[D_hts_tst_neg_mobilemod_o15_fy19]:[D_hts_tst_neg_mobilemod_o15_fy19]]*mobilemod_T[A_hts_tst_mobilemod_o50_m_neg]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757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SUBTOTAL(109,vctmod_T[hts_tst_vctmod_u1_unk_pos])</f>
        <v>0</v>
      </c>
      <c r="BA5" s="47">
        <f>SUBTOTAL(109,vctmod_T[hts_tst_vctmod_0109_unk_pos])</f>
        <v>0</v>
      </c>
      <c r="BB5" s="47">
        <f>SUBTOTAL(109,vctmod_T[hts_tst_vctmod_1014_f_pos])</f>
        <v>0</v>
      </c>
      <c r="BC5" s="47">
        <f>SUBTOTAL(109,vctmod_T[hts_tst_vctmod_1014_m_pos])</f>
        <v>0</v>
      </c>
      <c r="BD5" s="47">
        <f>SUBTOTAL(109,vctmod_T[hts_tst_vctmod_u1_unk_neg])</f>
        <v>0</v>
      </c>
      <c r="BE5" s="47">
        <f>SUBTOTAL(109,vctmod_T[hts_tst_vctmod_0109_unk_neg])</f>
        <v>0</v>
      </c>
      <c r="BF5" s="47">
        <f>SUBTOTAL(109,vctmod_T[hts_tst_vctmod_1014_f_neg])</f>
        <v>0</v>
      </c>
      <c r="BG5" s="47">
        <f>SUBTOTAL(109,vctmod_T[hts_tst_vctmod_1014_m_neg])</f>
        <v>0</v>
      </c>
      <c r="BH5" s="47">
        <f>SUBTOTAL(109,vctmod_T[hts_tst_vctmod_1519_f_pos])</f>
        <v>0</v>
      </c>
      <c r="BI5" s="47">
        <f>SUBTOTAL(109,vctmod_T[hts_tst_vctmod_1519_m_pos])</f>
        <v>0</v>
      </c>
      <c r="BJ5" s="47">
        <f>SUBTOTAL(109,vctmod_T[hts_tst_vctmod_2024_f_pos])</f>
        <v>0</v>
      </c>
      <c r="BK5" s="47">
        <f>SUBTOTAL(109,vctmod_T[hts_tst_vctmod_2024_m_pos])</f>
        <v>0</v>
      </c>
      <c r="BL5" s="47">
        <f>SUBTOTAL(109,vctmod_T[hts_tst_vctmod_2529_f_pos])</f>
        <v>0</v>
      </c>
      <c r="BM5" s="47">
        <f>SUBTOTAL(109,vctmod_T[hts_tst_vctmod_2529_m_pos])</f>
        <v>0</v>
      </c>
      <c r="BN5" s="47">
        <f>SUBTOTAL(109,vctmod_T[hts_tst_vctmod_3034_f_pos])</f>
        <v>0</v>
      </c>
      <c r="BO5" s="47">
        <f>SUBTOTAL(109,vctmod_T[hts_tst_vctmod_3034_m_pos])</f>
        <v>0</v>
      </c>
      <c r="BP5" s="47">
        <f>SUBTOTAL(109,vctmod_T[hts_tst_vctmod_3539_f_pos])</f>
        <v>0</v>
      </c>
      <c r="BQ5" s="47">
        <f>SUBTOTAL(109,vctmod_T[hts_tst_vctmod_3539_m_pos])</f>
        <v>0</v>
      </c>
      <c r="BR5" s="47">
        <f>SUBTOTAL(109,vctmod_T[hts_tst_vctmod_4049_f_pos])</f>
        <v>0</v>
      </c>
      <c r="BS5" s="47">
        <f>SUBTOTAL(109,vctmod_T[hts_tst_vctmod_4049_m_pos])</f>
        <v>0</v>
      </c>
      <c r="BT5" s="47">
        <f>SUBTOTAL(109,vctmod_T[hts_tst_vctmod_o50_f_pos])</f>
        <v>0</v>
      </c>
      <c r="BU5" s="47">
        <f>SUBTOTAL(109,vctmod_T[hts_tst_vctmod_o50_m_pos])</f>
        <v>0</v>
      </c>
      <c r="BV5" s="47">
        <f>SUBTOTAL(109,vctmod_T[hts_tst_vctmod_1519_f_neg])</f>
        <v>0</v>
      </c>
      <c r="BW5" s="47">
        <f>SUBTOTAL(109,vctmod_T[hts_tst_vctmod_1519_m_neg])</f>
        <v>0</v>
      </c>
      <c r="BX5" s="47">
        <f>SUBTOTAL(109,vctmod_T[hts_tst_vctmod_2024_f_neg])</f>
        <v>0</v>
      </c>
      <c r="BY5" s="47">
        <f>SUBTOTAL(109,vctmod_T[hts_tst_vctmod_2024_m_neg])</f>
        <v>0</v>
      </c>
      <c r="BZ5" s="47">
        <f>SUBTOTAL(109,vctmod_T[hts_tst_vctmod_2529_f_neg])</f>
        <v>0</v>
      </c>
      <c r="CA5" s="47">
        <f>SUBTOTAL(109,vctmod_T[hts_tst_vctmod_2529_m_neg])</f>
        <v>0</v>
      </c>
      <c r="CB5" s="47">
        <f>SUBTOTAL(109,vctmod_T[hts_tst_vctmod_3034_f_neg])</f>
        <v>0</v>
      </c>
      <c r="CC5" s="47">
        <f>SUBTOTAL(109,vctmod_T[hts_tst_vctmod_3034_m_neg])</f>
        <v>0</v>
      </c>
      <c r="CD5" s="47">
        <f>SUBTOTAL(109,vctmod_T[hts_tst_vctmod_3539_f_neg])</f>
        <v>0</v>
      </c>
      <c r="CE5" s="47">
        <f>SUBTOTAL(109,vctmod_T[hts_tst_vctmod_3539_m_neg])</f>
        <v>0</v>
      </c>
      <c r="CF5" s="47">
        <f>SUBTOTAL(109,vctmod_T[hts_tst_vctmod_4049_f_neg])</f>
        <v>0</v>
      </c>
      <c r="CG5" s="47">
        <f>SUBTOTAL(109,vctmod_T[hts_tst_vctmod_4049_m_neg])</f>
        <v>0</v>
      </c>
      <c r="CH5" s="47">
        <f>SUBTOTAL(109,vctmod_T[hts_tst_vctmod_o50_f_neg])</f>
        <v>0</v>
      </c>
      <c r="CI5" s="47">
        <f>SUBTOTAL(109,vctmod_T[hts_tst_vctmod_o50_m_neg])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758</v>
      </c>
      <c r="K6" s="25" t="s">
        <v>759</v>
      </c>
      <c r="L6" s="25" t="s">
        <v>760</v>
      </c>
      <c r="M6" s="25" t="s">
        <v>761</v>
      </c>
      <c r="N6" s="25" t="s">
        <v>762</v>
      </c>
      <c r="O6" s="25" t="s">
        <v>763</v>
      </c>
      <c r="P6" s="25" t="s">
        <v>764</v>
      </c>
      <c r="Q6" s="25" t="s">
        <v>765</v>
      </c>
      <c r="R6" s="25" t="s">
        <v>766</v>
      </c>
      <c r="S6" s="25" t="s">
        <v>767</v>
      </c>
      <c r="T6" s="25" t="s">
        <v>768</v>
      </c>
      <c r="U6" s="25" t="s">
        <v>769</v>
      </c>
      <c r="V6" s="25" t="s">
        <v>770</v>
      </c>
      <c r="W6" s="25" t="s">
        <v>771</v>
      </c>
      <c r="X6" s="25" t="s">
        <v>772</v>
      </c>
      <c r="Y6" s="25" t="s">
        <v>773</v>
      </c>
      <c r="Z6" s="25" t="s">
        <v>774</v>
      </c>
      <c r="AA6" s="25" t="s">
        <v>775</v>
      </c>
      <c r="AB6" s="25" t="s">
        <v>776</v>
      </c>
      <c r="AC6" s="25" t="s">
        <v>777</v>
      </c>
      <c r="AD6" s="25" t="s">
        <v>778</v>
      </c>
      <c r="AE6" s="25" t="s">
        <v>779</v>
      </c>
      <c r="AF6" s="25" t="s">
        <v>780</v>
      </c>
      <c r="AG6" s="25" t="s">
        <v>781</v>
      </c>
      <c r="AH6" s="25" t="s">
        <v>782</v>
      </c>
      <c r="AI6" s="25" t="s">
        <v>783</v>
      </c>
      <c r="AJ6" s="25" t="s">
        <v>784</v>
      </c>
      <c r="AK6" s="25" t="s">
        <v>785</v>
      </c>
      <c r="AL6" s="25" t="s">
        <v>786</v>
      </c>
      <c r="AM6" s="25" t="s">
        <v>787</v>
      </c>
      <c r="AN6" s="25" t="s">
        <v>788</v>
      </c>
      <c r="AO6" s="25" t="s">
        <v>789</v>
      </c>
      <c r="AP6" s="25" t="s">
        <v>790</v>
      </c>
      <c r="AQ6" s="25" t="s">
        <v>791</v>
      </c>
      <c r="AR6" s="25" t="s">
        <v>792</v>
      </c>
      <c r="AS6" s="25" t="s">
        <v>793</v>
      </c>
      <c r="AT6" s="25" t="s">
        <v>241</v>
      </c>
      <c r="AU6" s="25" t="s">
        <v>253</v>
      </c>
      <c r="AV6" s="25" t="s">
        <v>794</v>
      </c>
      <c r="AW6" s="25" t="s">
        <v>221</v>
      </c>
      <c r="AX6" s="25" t="s">
        <v>231</v>
      </c>
      <c r="AY6" s="25" t="s">
        <v>795</v>
      </c>
      <c r="AZ6" s="25" t="s">
        <v>796</v>
      </c>
      <c r="BA6" s="25" t="s">
        <v>797</v>
      </c>
      <c r="BB6" s="25" t="s">
        <v>798</v>
      </c>
      <c r="BC6" s="25" t="s">
        <v>799</v>
      </c>
      <c r="BD6" s="25" t="s">
        <v>800</v>
      </c>
      <c r="BE6" s="25" t="s">
        <v>801</v>
      </c>
      <c r="BF6" s="25" t="s">
        <v>802</v>
      </c>
      <c r="BG6" s="25" t="s">
        <v>803</v>
      </c>
      <c r="BH6" s="25" t="s">
        <v>804</v>
      </c>
      <c r="BI6" s="25" t="s">
        <v>805</v>
      </c>
      <c r="BJ6" s="25" t="s">
        <v>806</v>
      </c>
      <c r="BK6" s="25" t="s">
        <v>807</v>
      </c>
      <c r="BL6" s="25" t="s">
        <v>808</v>
      </c>
      <c r="BM6" s="25" t="s">
        <v>809</v>
      </c>
      <c r="BN6" s="25" t="s">
        <v>810</v>
      </c>
      <c r="BO6" s="25" t="s">
        <v>811</v>
      </c>
      <c r="BP6" s="25" t="s">
        <v>812</v>
      </c>
      <c r="BQ6" s="25" t="s">
        <v>813</v>
      </c>
      <c r="BR6" s="25" t="s">
        <v>814</v>
      </c>
      <c r="BS6" s="25" t="s">
        <v>815</v>
      </c>
      <c r="BT6" s="25" t="s">
        <v>816</v>
      </c>
      <c r="BU6" s="25" t="s">
        <v>817</v>
      </c>
      <c r="BV6" s="25" t="s">
        <v>818</v>
      </c>
      <c r="BW6" s="25" t="s">
        <v>819</v>
      </c>
      <c r="BX6" s="25" t="s">
        <v>820</v>
      </c>
      <c r="BY6" s="25" t="s">
        <v>821</v>
      </c>
      <c r="BZ6" s="25" t="s">
        <v>822</v>
      </c>
      <c r="CA6" s="25" t="s">
        <v>823</v>
      </c>
      <c r="CB6" s="25" t="s">
        <v>824</v>
      </c>
      <c r="CC6" s="25" t="s">
        <v>825</v>
      </c>
      <c r="CD6" s="25" t="s">
        <v>826</v>
      </c>
      <c r="CE6" s="25" t="s">
        <v>827</v>
      </c>
      <c r="CF6" s="25" t="s">
        <v>828</v>
      </c>
      <c r="CG6" s="25" t="s">
        <v>829</v>
      </c>
      <c r="CH6" s="25" t="s">
        <v>830</v>
      </c>
      <c r="CI6" s="25" t="s">
        <v>831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vctmod_T[[D_hts_tst_pos_vctmod_u15_fy19]:[D_hts_tst_pos_vctmod_u15_fy19]]*vctmod_T[A_hts_tst_vctmod_u1_unk_pos]</f>
        <v>0</v>
      </c>
      <c r="BA7" s="41">
        <f>vctmod_T[[D_hts_tst_pos_vctmod_u15_fy19]:[D_hts_tst_pos_vctmod_u15_fy19]]*vctmod_T[A_hts_tst_vctmod_0109_unk_pos]</f>
        <v>0</v>
      </c>
      <c r="BB7" s="41">
        <f>vctmod_T[[D_hts_tst_pos_vctmod_u15_fy19]:[D_hts_tst_pos_vctmod_u15_fy19]]*vctmod_T[A_hts_tst_vctmod_1014_f_pos]</f>
        <v>0</v>
      </c>
      <c r="BC7" s="41">
        <f>vctmod_T[[D_hts_tst_pos_vctmod_u15_fy19]:[D_hts_tst_pos_vctmod_u15_fy19]]*vctmod_T[A_hts_tst_vctmod_1014_m_pos]</f>
        <v>0</v>
      </c>
      <c r="BD7" s="41">
        <f>vctmod_T[[D_hts_tst_neg_vctmod_u15_fy19]:[D_hts_tst_neg_vctmod_u15_fy19]]*vctmod_T[A_hts_tst_vctmod_u1_unk_neg]</f>
        <v>0</v>
      </c>
      <c r="BE7" s="41">
        <f>vctmod_T[[D_hts_tst_neg_vctmod_u15_fy19]:[D_hts_tst_neg_vctmod_u15_fy19]]*vctmod_T[A_hts_tst_vctmod_0109_unk_neg]</f>
        <v>0</v>
      </c>
      <c r="BF7" s="41">
        <f>vctmod_T[[D_hts_tst_neg_vctmod_u15_fy19]:[D_hts_tst_neg_vctmod_u15_fy19]]*vctmod_T[A_hts_tst_vctmod_1014_f_neg]</f>
        <v>0</v>
      </c>
      <c r="BG7" s="41">
        <f>vctmod_T[[D_hts_tst_neg_vctmod_u15_fy19]:[D_hts_tst_neg_vctmod_u15_fy19]]*vctmod_T[A_hts_tst_vctmod_1014_m_neg]</f>
        <v>0</v>
      </c>
      <c r="BH7" s="41">
        <f>vctmod_T[[D_hts_tst_pos_vctmod_o15_fy19]:[D_hts_tst_pos_vctmod_o15_fy19]]*vctmod_T[A_hts_tst_vctmod_1519_f_pos]</f>
        <v>0</v>
      </c>
      <c r="BI7" s="41">
        <f>vctmod_T[[D_hts_tst_pos_vctmod_o15_fy19]:[D_hts_tst_pos_vctmod_o15_fy19]]*vctmod_T[A_hts_tst_vctmod_1519_m_pos]</f>
        <v>0</v>
      </c>
      <c r="BJ7" s="41">
        <f>vctmod_T[[D_hts_tst_pos_vctmod_o15_fy19]:[D_hts_tst_pos_vctmod_o15_fy19]]*vctmod_T[A_hts_tst_vctmod_2024_f_pos]</f>
        <v>0</v>
      </c>
      <c r="BK7" s="41">
        <f>vctmod_T[[D_hts_tst_pos_vctmod_o15_fy19]:[D_hts_tst_pos_vctmod_o15_fy19]]*vctmod_T[A_hts_tst_vctmod_2024_m_pos]</f>
        <v>0</v>
      </c>
      <c r="BL7" s="41">
        <f>vctmod_T[[D_hts_tst_pos_vctmod_o15_fy19]:[D_hts_tst_pos_vctmod_o15_fy19]]*vctmod_T[A_hts_tst_vctmod_2529_f_pos]</f>
        <v>0</v>
      </c>
      <c r="BM7" s="41">
        <f>vctmod_T[[D_hts_tst_pos_vctmod_o15_fy19]:[D_hts_tst_pos_vctmod_o15_fy19]]*vctmod_T[A_hts_tst_vctmod_2529_m_pos]</f>
        <v>0</v>
      </c>
      <c r="BN7" s="41">
        <f>vctmod_T[[D_hts_tst_pos_vctmod_o15_fy19]:[D_hts_tst_pos_vctmod_o15_fy19]]*vctmod_T[A_hts_tst_vctmod_3034_f_pos]</f>
        <v>0</v>
      </c>
      <c r="BO7" s="41">
        <f>vctmod_T[[D_hts_tst_pos_vctmod_o15_fy19]:[D_hts_tst_pos_vctmod_o15_fy19]]*vctmod_T[A_hts_tst_vctmod_3034_m__pos]</f>
        <v>0</v>
      </c>
      <c r="BP7" s="41">
        <f>vctmod_T[[D_hts_tst_pos_vctmod_o15_fy19]:[D_hts_tst_pos_vctmod_o15_fy19]]*vctmod_T[A_hts_tst_vctmod_3539_f_pos]</f>
        <v>0</v>
      </c>
      <c r="BQ7" s="41">
        <f>vctmod_T[[D_hts_tst_pos_vctmod_o15_fy19]:[D_hts_tst_pos_vctmod_o15_fy19]]*vctmod_T[A_hts_tst_vctmod_3539_m__pos]</f>
        <v>0</v>
      </c>
      <c r="BR7" s="41">
        <f>vctmod_T[[D_hts_tst_pos_vctmod_o15_fy19]:[D_hts_tst_pos_vctmod_o15_fy19]]*vctmod_T[A_hts_tst_vctmod_4049_f_pos]</f>
        <v>0</v>
      </c>
      <c r="BS7" s="41">
        <f>vctmod_T[[D_hts_tst_pos_vctmod_o15_fy19]:[D_hts_tst_pos_vctmod_o15_fy19]]*vctmod_T[A_hts_tst_vctmod_4049_m_pos]</f>
        <v>0</v>
      </c>
      <c r="BT7" s="41">
        <f>vctmod_T[[D_hts_tst_pos_vctmod_o15_fy19]:[D_hts_tst_pos_vctmod_o15_fy19]]*vctmod_T[A_hts_tst_vctmod_o50_f_pos]</f>
        <v>0</v>
      </c>
      <c r="BU7" s="41">
        <f>vctmod_T[[D_hts_tst_pos_vctmod_o15_fy19]:[D_hts_tst_pos_vctmod_o15_fy19]]*vctmod_T[A_hts_tst_vctmod_o50_m_pos]</f>
        <v>0</v>
      </c>
      <c r="BV7" s="41">
        <f>vctmod_T[[D_hts_tst_neg_vctmod_o15_fy19]:[D_hts_tst_neg_vctmod_o15_fy19]]*vctmod_T[A_hts_tst_vctmod_1519_f_neg]</f>
        <v>0</v>
      </c>
      <c r="BW7" s="41">
        <f>vctmod_T[[D_hts_tst_neg_vctmod_o15_fy19]:[D_hts_tst_neg_vctmod_o15_fy19]]*vctmod_T[A_hts_tst_vctmod_1519_m_neg]</f>
        <v>0</v>
      </c>
      <c r="BX7" s="41">
        <f>vctmod_T[[D_hts_tst_neg_vctmod_o15_fy19]:[D_hts_tst_neg_vctmod_o15_fy19]]*vctmod_T[A_hts_tst_vctmod_2024_f_neg]</f>
        <v>0</v>
      </c>
      <c r="BY7" s="41">
        <f>vctmod_T[[D_hts_tst_neg_vctmod_o15_fy19]:[D_hts_tst_neg_vctmod_o15_fy19]]*vctmod_T[A_hts_tst_vctmod_2024_m_neg]</f>
        <v>0</v>
      </c>
      <c r="BZ7" s="41">
        <f>vctmod_T[[D_hts_tst_neg_vctmod_o15_fy19]:[D_hts_tst_neg_vctmod_o15_fy19]]*vctmod_T[A_hts_tst_vctmod_2529_f_neg]</f>
        <v>0</v>
      </c>
      <c r="CA7" s="41">
        <f>vctmod_T[[D_hts_tst_neg_vctmod_o15_fy19]:[D_hts_tst_neg_vctmod_o15_fy19]]*vctmod_T[A_hts_tst_vctmod_2529_m_neg]</f>
        <v>0</v>
      </c>
      <c r="CB7" s="41">
        <f>vctmod_T[[D_hts_tst_neg_vctmod_o15_fy19]:[D_hts_tst_neg_vctmod_o15_fy19]]*vctmod_T[A_hts_tst_vctmod_3034_f_neg]</f>
        <v>0</v>
      </c>
      <c r="CC7" s="41">
        <f>vctmod_T[[D_hts_tst_neg_vctmod_o15_fy19]:[D_hts_tst_neg_vctmod_o15_fy19]]*vctmod_T[A_hts_tst_vctmod_3034_m_neg]</f>
        <v>0</v>
      </c>
      <c r="CD7" s="41">
        <f>vctmod_T[[D_hts_tst_neg_vctmod_o15_fy19]:[D_hts_tst_neg_vctmod_o15_fy19]]*vctmod_T[A_hts_tst_vctmod_3539_f_neg]</f>
        <v>0</v>
      </c>
      <c r="CE7" s="41">
        <f>vctmod_T[[D_hts_tst_neg_vctmod_o15_fy19]:[D_hts_tst_neg_vctmod_o15_fy19]]*vctmod_T[A_hts_tst_vctmod_3539_m_neg]</f>
        <v>0</v>
      </c>
      <c r="CF7" s="41">
        <f>vctmod_T[[D_hts_tst_neg_vctmod_o15_fy19]:[D_hts_tst_neg_vctmod_o15_fy19]]*vctmod_T[A_hts_tst_vctmod_4049_f_neg]</f>
        <v>0</v>
      </c>
      <c r="CG7" s="41">
        <f>vctmod_T[[D_hts_tst_neg_vctmod_o15_fy19]:[D_hts_tst_neg_vctmod_o15_fy19]]*vctmod_T[A_hts_tst_vctmod_4049_m_neg]</f>
        <v>0</v>
      </c>
      <c r="CH7" s="41">
        <f>vctmod_T[[D_hts_tst_neg_vctmod_o15_fy19]:[D_hts_tst_neg_vctmod_o15_fy19]]*vctmod_T[A_hts_tst_vctmod_o50_f_neg]</f>
        <v>0</v>
      </c>
      <c r="CI7" s="41">
        <f>vctmod_T[[D_hts_tst_neg_vctmod_o15_fy19]:[D_hts_tst_neg_vctmod_o15_fy19]]*vctmod_T[A_hts_tst_vctmod_o50_m_neg]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832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SUBTOTAL(109,othermod_T[hts_tst_othermod_u1_unk_pos])</f>
        <v>0</v>
      </c>
      <c r="BA5" s="47">
        <f>SUBTOTAL(109,othermod_T[hts_tst_othermod_0109_unk_pos])</f>
        <v>0</v>
      </c>
      <c r="BB5" s="47">
        <f>SUBTOTAL(109,othermod_T[hts_tst_othermod_1014_f_pos])</f>
        <v>0</v>
      </c>
      <c r="BC5" s="47">
        <f>SUBTOTAL(109,othermod_T[hts_tst_othermod_1014_m_pos])</f>
        <v>0</v>
      </c>
      <c r="BD5" s="47">
        <f>SUBTOTAL(109,othermod_T[hts_tst_othermod_u1_unk_neg])</f>
        <v>0</v>
      </c>
      <c r="BE5" s="47">
        <f>SUBTOTAL(109,othermod_T[hts_tst_othermod_0109_unk_neg])</f>
        <v>0</v>
      </c>
      <c r="BF5" s="47">
        <f>SUBTOTAL(109,othermod_T[hts_tst_othermod_1014_f_neg])</f>
        <v>0</v>
      </c>
      <c r="BG5" s="47">
        <f>SUBTOTAL(109,othermod_T[hts_tst_othermod_1014_m_neg])</f>
        <v>0</v>
      </c>
      <c r="BH5" s="47">
        <f>SUBTOTAL(109,othermod_T[hts_tst_othermod_1519_f_pos])</f>
        <v>0</v>
      </c>
      <c r="BI5" s="47">
        <f>SUBTOTAL(109,othermod_T[hts_tst_othermod_1519_m_pos])</f>
        <v>0</v>
      </c>
      <c r="BJ5" s="47">
        <f>SUBTOTAL(109,othermod_T[hts_tst_othermod_2024_f_pos])</f>
        <v>0</v>
      </c>
      <c r="BK5" s="47">
        <f>SUBTOTAL(109,othermod_T[hts_tst_othermod_2024_m_pos])</f>
        <v>0</v>
      </c>
      <c r="BL5" s="47">
        <f>SUBTOTAL(109,othermod_T[hts_tst_othermod_2529_f_pos])</f>
        <v>0</v>
      </c>
      <c r="BM5" s="47">
        <f>SUBTOTAL(109,othermod_T[hts_tst_othermod_2529_m_pos])</f>
        <v>0</v>
      </c>
      <c r="BN5" s="47">
        <f>SUBTOTAL(109,othermod_T[hts_tst_othermod_3034_f_pos])</f>
        <v>0</v>
      </c>
      <c r="BO5" s="47">
        <f>SUBTOTAL(109,othermod_T[hts_tst_othermod_3034_m_pos])</f>
        <v>0</v>
      </c>
      <c r="BP5" s="47">
        <f>SUBTOTAL(109,othermod_T[hts_tst_othermod_3539_f_pos])</f>
        <v>0</v>
      </c>
      <c r="BQ5" s="47">
        <f>SUBTOTAL(109,othermod_T[hts_tst_othermod_3539_m_pos])</f>
        <v>0</v>
      </c>
      <c r="BR5" s="47">
        <f>SUBTOTAL(109,othermod_T[hts_tst_othermod_4049_f_pos])</f>
        <v>0</v>
      </c>
      <c r="BS5" s="47">
        <f>SUBTOTAL(109,othermod_T[hts_tst_othermod_4049_m_pos])</f>
        <v>0</v>
      </c>
      <c r="BT5" s="47">
        <f>SUBTOTAL(109,othermod_T[hts_tst_othermod_o50_f_pos])</f>
        <v>0</v>
      </c>
      <c r="BU5" s="47">
        <f>SUBTOTAL(109,othermod_T[hts_tst_othermod_o50_m_pos])</f>
        <v>0</v>
      </c>
      <c r="BV5" s="47">
        <f>SUBTOTAL(109,othermod_T[hts_tst_othermod_1519_f_neg])</f>
        <v>0</v>
      </c>
      <c r="BW5" s="47">
        <f>SUBTOTAL(109,othermod_T[hts_tst_othermod_1519_m_neg])</f>
        <v>0</v>
      </c>
      <c r="BX5" s="47">
        <f>SUBTOTAL(109,othermod_T[hts_tst_othermod_2024_f_neg])</f>
        <v>0</v>
      </c>
      <c r="BY5" s="47">
        <f>SUBTOTAL(109,othermod_T[hts_tst_othermod_2024_m_neg])</f>
        <v>0</v>
      </c>
      <c r="BZ5" s="47">
        <f>SUBTOTAL(109,othermod_T[hts_tst_othermod_2529_f_neg])</f>
        <v>0</v>
      </c>
      <c r="CA5" s="47">
        <f>SUBTOTAL(109,othermod_T[hts_tst_othermod_2529_m_neg])</f>
        <v>0</v>
      </c>
      <c r="CB5" s="47">
        <f>SUBTOTAL(109,othermod_T[hts_tst_othermod_3034_f_neg])</f>
        <v>0</v>
      </c>
      <c r="CC5" s="47">
        <f>SUBTOTAL(109,othermod_T[hts_tst_othermod_3034_m_neg])</f>
        <v>0</v>
      </c>
      <c r="CD5" s="47">
        <f>SUBTOTAL(109,othermod_T[hts_tst_othermod_3539_f_neg])</f>
        <v>0</v>
      </c>
      <c r="CE5" s="47">
        <f>SUBTOTAL(109,othermod_T[hts_tst_othermod_3539_m_neg])</f>
        <v>0</v>
      </c>
      <c r="CF5" s="47">
        <f>SUBTOTAL(109,othermod_T[hts_tst_othermod_4049_f_neg])</f>
        <v>0</v>
      </c>
      <c r="CG5" s="47">
        <f>SUBTOTAL(109,othermod_T[hts_tst_othermod_4049_m_neg])</f>
        <v>0</v>
      </c>
      <c r="CH5" s="47">
        <f>SUBTOTAL(109,othermod_T[hts_tst_othermod_o50_f_neg])</f>
        <v>0</v>
      </c>
      <c r="CI5" s="47">
        <f>SUBTOTAL(109,othermod_T[hts_tst_othermod_o50_m_neg])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833</v>
      </c>
      <c r="K6" s="25" t="s">
        <v>834</v>
      </c>
      <c r="L6" s="25" t="s">
        <v>835</v>
      </c>
      <c r="M6" s="25" t="s">
        <v>836</v>
      </c>
      <c r="N6" s="25" t="s">
        <v>837</v>
      </c>
      <c r="O6" s="25" t="s">
        <v>838</v>
      </c>
      <c r="P6" s="25" t="s">
        <v>839</v>
      </c>
      <c r="Q6" s="25" t="s">
        <v>840</v>
      </c>
      <c r="R6" s="25" t="s">
        <v>841</v>
      </c>
      <c r="S6" s="25" t="s">
        <v>842</v>
      </c>
      <c r="T6" s="25" t="s">
        <v>843</v>
      </c>
      <c r="U6" s="25" t="s">
        <v>844</v>
      </c>
      <c r="V6" s="25" t="s">
        <v>845</v>
      </c>
      <c r="W6" s="25" t="s">
        <v>846</v>
      </c>
      <c r="X6" s="25" t="s">
        <v>847</v>
      </c>
      <c r="Y6" s="25" t="s">
        <v>848</v>
      </c>
      <c r="Z6" s="25" t="s">
        <v>849</v>
      </c>
      <c r="AA6" s="25" t="s">
        <v>850</v>
      </c>
      <c r="AB6" s="25" t="s">
        <v>851</v>
      </c>
      <c r="AC6" s="25" t="s">
        <v>852</v>
      </c>
      <c r="AD6" s="25" t="s">
        <v>853</v>
      </c>
      <c r="AE6" s="25" t="s">
        <v>854</v>
      </c>
      <c r="AF6" s="25" t="s">
        <v>855</v>
      </c>
      <c r="AG6" s="25" t="s">
        <v>856</v>
      </c>
      <c r="AH6" s="25" t="s">
        <v>857</v>
      </c>
      <c r="AI6" s="25" t="s">
        <v>858</v>
      </c>
      <c r="AJ6" s="25" t="s">
        <v>859</v>
      </c>
      <c r="AK6" s="25" t="s">
        <v>860</v>
      </c>
      <c r="AL6" s="25" t="s">
        <v>861</v>
      </c>
      <c r="AM6" s="25" t="s">
        <v>862</v>
      </c>
      <c r="AN6" s="25" t="s">
        <v>863</v>
      </c>
      <c r="AO6" s="25" t="s">
        <v>864</v>
      </c>
      <c r="AP6" s="25" t="s">
        <v>865</v>
      </c>
      <c r="AQ6" s="25" t="s">
        <v>866</v>
      </c>
      <c r="AR6" s="25" t="s">
        <v>867</v>
      </c>
      <c r="AS6" s="25" t="s">
        <v>868</v>
      </c>
      <c r="AT6" s="25" t="s">
        <v>242</v>
      </c>
      <c r="AU6" s="25" t="s">
        <v>254</v>
      </c>
      <c r="AV6" s="25" t="s">
        <v>869</v>
      </c>
      <c r="AW6" s="25" t="s">
        <v>222</v>
      </c>
      <c r="AX6" s="25" t="s">
        <v>232</v>
      </c>
      <c r="AY6" s="25" t="s">
        <v>870</v>
      </c>
      <c r="AZ6" s="25" t="s">
        <v>871</v>
      </c>
      <c r="BA6" s="25" t="s">
        <v>872</v>
      </c>
      <c r="BB6" s="25" t="s">
        <v>873</v>
      </c>
      <c r="BC6" s="25" t="s">
        <v>874</v>
      </c>
      <c r="BD6" s="25" t="s">
        <v>875</v>
      </c>
      <c r="BE6" s="25" t="s">
        <v>876</v>
      </c>
      <c r="BF6" s="25" t="s">
        <v>877</v>
      </c>
      <c r="BG6" s="25" t="s">
        <v>878</v>
      </c>
      <c r="BH6" s="25" t="s">
        <v>879</v>
      </c>
      <c r="BI6" s="25" t="s">
        <v>880</v>
      </c>
      <c r="BJ6" s="25" t="s">
        <v>881</v>
      </c>
      <c r="BK6" s="25" t="s">
        <v>882</v>
      </c>
      <c r="BL6" s="25" t="s">
        <v>883</v>
      </c>
      <c r="BM6" s="25" t="s">
        <v>884</v>
      </c>
      <c r="BN6" s="25" t="s">
        <v>885</v>
      </c>
      <c r="BO6" s="25" t="s">
        <v>886</v>
      </c>
      <c r="BP6" s="25" t="s">
        <v>887</v>
      </c>
      <c r="BQ6" s="25" t="s">
        <v>888</v>
      </c>
      <c r="BR6" s="25" t="s">
        <v>889</v>
      </c>
      <c r="BS6" s="25" t="s">
        <v>890</v>
      </c>
      <c r="BT6" s="25" t="s">
        <v>891</v>
      </c>
      <c r="BU6" s="25" t="s">
        <v>892</v>
      </c>
      <c r="BV6" s="25" t="s">
        <v>893</v>
      </c>
      <c r="BW6" s="25" t="s">
        <v>894</v>
      </c>
      <c r="BX6" s="25" t="s">
        <v>895</v>
      </c>
      <c r="BY6" s="25" t="s">
        <v>896</v>
      </c>
      <c r="BZ6" s="25" t="s">
        <v>897</v>
      </c>
      <c r="CA6" s="25" t="s">
        <v>898</v>
      </c>
      <c r="CB6" s="25" t="s">
        <v>899</v>
      </c>
      <c r="CC6" s="25" t="s">
        <v>900</v>
      </c>
      <c r="CD6" s="25" t="s">
        <v>901</v>
      </c>
      <c r="CE6" s="25" t="s">
        <v>902</v>
      </c>
      <c r="CF6" s="25" t="s">
        <v>903</v>
      </c>
      <c r="CG6" s="25" t="s">
        <v>904</v>
      </c>
      <c r="CH6" s="25" t="s">
        <v>905</v>
      </c>
      <c r="CI6" s="25" t="s">
        <v>906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othermod_T[[D_hts_tst_pos_othermod_u15_fy19]:[D_hts_tst_pos_othermod_u15_fy19]]*othermod_T[A_hts_tst_othermod_u1_unk_pos]</f>
        <v>0</v>
      </c>
      <c r="BA7" s="41">
        <f>othermod_T[[D_hts_tst_pos_othermod_u15_fy19]:[D_hts_tst_pos_othermod_u15_fy19]]*othermod_T[A_hts_tst_othermod_0109_unk_pos]</f>
        <v>0</v>
      </c>
      <c r="BB7" s="41">
        <f>othermod_T[[D_hts_tst_pos_othermod_u15_fy19]:[D_hts_tst_pos_othermod_u15_fy19]]*othermod_T[A_hts_tst_othermod_1014_f_pos]</f>
        <v>0</v>
      </c>
      <c r="BC7" s="41">
        <f>othermod_T[[D_hts_tst_pos_othermod_u15_fy19]:[D_hts_tst_pos_othermod_u15_fy19]]*othermod_T[A_hts_tst_othermod_1014_m_pos]</f>
        <v>0</v>
      </c>
      <c r="BD7" s="41">
        <f>othermod_T[[D_hts_tst_neg_othermod_u15_fy19]:[D_hts_tst_neg_othermod_u15_fy19]]*othermod_T[A_hts_tst_othermod_u1_unk_neg]</f>
        <v>0</v>
      </c>
      <c r="BE7" s="41">
        <f>othermod_T[[D_hts_tst_neg_othermod_u15_fy19]:[D_hts_tst_neg_othermod_u15_fy19]]*othermod_T[A_hts_tst_othermod_0109_unk_neg]</f>
        <v>0</v>
      </c>
      <c r="BF7" s="41">
        <f>othermod_T[[D_hts_tst_neg_othermod_u15_fy19]:[D_hts_tst_neg_othermod_u15_fy19]]*othermod_T[A_hts_tst_othermod_1014_f_neg]</f>
        <v>0</v>
      </c>
      <c r="BG7" s="41">
        <f>othermod_T[[D_hts_tst_neg_othermod_u15_fy19]:[D_hts_tst_neg_othermod_u15_fy19]]*othermod_T[A_hts_tst_othermod_1014_m_neg]</f>
        <v>0</v>
      </c>
      <c r="BH7" s="41">
        <f>othermod_T[[D_hts_tst_pos_othermod_o15_fy19]:[D_hts_tst_pos_othermod_o15_fy19]]*othermod_T[A_hts_tst_othermod_1519_f_pos]</f>
        <v>0</v>
      </c>
      <c r="BI7" s="41">
        <f>othermod_T[[D_hts_tst_pos_othermod_o15_fy19]:[D_hts_tst_pos_othermod_o15_fy19]]*othermod_T[A_hts_tst_othermod_1519_m_pos]</f>
        <v>0</v>
      </c>
      <c r="BJ7" s="41">
        <f>othermod_T[[D_hts_tst_pos_othermod_o15_fy19]:[D_hts_tst_pos_othermod_o15_fy19]]*othermod_T[A_hts_tst_othermod_2024_f_pos]</f>
        <v>0</v>
      </c>
      <c r="BK7" s="41">
        <f>othermod_T[[D_hts_tst_pos_othermod_o15_fy19]:[D_hts_tst_pos_othermod_o15_fy19]]*othermod_T[A_hts_tst_othermod_2024_m_pos]</f>
        <v>0</v>
      </c>
      <c r="BL7" s="41">
        <f>othermod_T[[D_hts_tst_pos_othermod_o15_fy19]:[D_hts_tst_pos_othermod_o15_fy19]]*othermod_T[A_hts_tst_othermod_2529_f_pos]</f>
        <v>0</v>
      </c>
      <c r="BM7" s="41">
        <f>othermod_T[[D_hts_tst_pos_othermod_o15_fy19]:[D_hts_tst_pos_othermod_o15_fy19]]*othermod_T[A_hts_tst_othermod_2529_m_pos]</f>
        <v>0</v>
      </c>
      <c r="BN7" s="41">
        <f>othermod_T[[D_hts_tst_pos_othermod_o15_fy19]:[D_hts_tst_pos_othermod_o15_fy19]]*othermod_T[A_hts_tst_othermod_3034_f_pos]</f>
        <v>0</v>
      </c>
      <c r="BO7" s="41">
        <f>othermod_T[[D_hts_tst_pos_othermod_o15_fy19]:[D_hts_tst_pos_othermod_o15_fy19]]*othermod_T[A_hts_tst_othermod_3034_m__pos]</f>
        <v>0</v>
      </c>
      <c r="BP7" s="41">
        <f>othermod_T[[D_hts_tst_pos_othermod_o15_fy19]:[D_hts_tst_pos_othermod_o15_fy19]]*othermod_T[A_hts_tst_othermod_3539_f_pos]</f>
        <v>0</v>
      </c>
      <c r="BQ7" s="41">
        <f>othermod_T[[D_hts_tst_pos_othermod_o15_fy19]:[D_hts_tst_pos_othermod_o15_fy19]]*othermod_T[A_hts_tst_othermod_3539_m__pos]</f>
        <v>0</v>
      </c>
      <c r="BR7" s="41">
        <f>othermod_T[[D_hts_tst_pos_othermod_o15_fy19]:[D_hts_tst_pos_othermod_o15_fy19]]*othermod_T[A_hts_tst_othermod_4049_f_pos]</f>
        <v>0</v>
      </c>
      <c r="BS7" s="41">
        <f>othermod_T[[D_hts_tst_pos_othermod_o15_fy19]:[D_hts_tst_pos_othermod_o15_fy19]]*othermod_T[A_hts_tst_othermod_4049_m_pos]</f>
        <v>0</v>
      </c>
      <c r="BT7" s="41">
        <f>othermod_T[[D_hts_tst_pos_othermod_o15_fy19]:[D_hts_tst_pos_othermod_o15_fy19]]*othermod_T[A_hts_tst_othermod_o50_f_pos]</f>
        <v>0</v>
      </c>
      <c r="BU7" s="41">
        <f>othermod_T[[D_hts_tst_pos_othermod_o15_fy19]:[D_hts_tst_pos_othermod_o15_fy19]]*othermod_T[A_hts_tst_othermod_o50_m_pos]</f>
        <v>0</v>
      </c>
      <c r="BV7" s="41">
        <f>othermod_T[[D_hts_tst_neg_othermod_o15_fy19]:[D_hts_tst_neg_othermod_o15_fy19]]*othermod_T[A_hts_tst_othermod_1519_f_neg]</f>
        <v>0</v>
      </c>
      <c r="BW7" s="41">
        <f>othermod_T[[D_hts_tst_neg_othermod_o15_fy19]:[D_hts_tst_neg_othermod_o15_fy19]]*othermod_T[A_hts_tst_othermod_1519_m_neg]</f>
        <v>0</v>
      </c>
      <c r="BX7" s="41">
        <f>othermod_T[[D_hts_tst_neg_othermod_o15_fy19]:[D_hts_tst_neg_othermod_o15_fy19]]*othermod_T[A_hts_tst_othermod_2024_f_neg]</f>
        <v>0</v>
      </c>
      <c r="BY7" s="41">
        <f>othermod_T[[D_hts_tst_neg_othermod_o15_fy19]:[D_hts_tst_neg_othermod_o15_fy19]]*othermod_T[A_hts_tst_othermod_2024_m_neg]</f>
        <v>0</v>
      </c>
      <c r="BZ7" s="41">
        <f>othermod_T[[D_hts_tst_neg_othermod_o15_fy19]:[D_hts_tst_neg_othermod_o15_fy19]]*othermod_T[A_hts_tst_othermod_2529_f_neg]</f>
        <v>0</v>
      </c>
      <c r="CA7" s="41">
        <f>othermod_T[[D_hts_tst_neg_othermod_o15_fy19]:[D_hts_tst_neg_othermod_o15_fy19]]*othermod_T[A_hts_tst_othermod_2529_m_neg]</f>
        <v>0</v>
      </c>
      <c r="CB7" s="41">
        <f>othermod_T[[D_hts_tst_neg_othermod_o15_fy19]:[D_hts_tst_neg_othermod_o15_fy19]]*othermod_T[A_hts_tst_othermod_3034_f_neg]</f>
        <v>0</v>
      </c>
      <c r="CC7" s="41">
        <f>othermod_T[[D_hts_tst_neg_othermod_o15_fy19]:[D_hts_tst_neg_othermod_o15_fy19]]*othermod_T[A_hts_tst_othermod_3034_m_neg]</f>
        <v>0</v>
      </c>
      <c r="CD7" s="41">
        <f>othermod_T[[D_hts_tst_neg_othermod_o15_fy19]:[D_hts_tst_neg_othermod_o15_fy19]]*othermod_T[A_hts_tst_othermod_3539_f_neg]</f>
        <v>0</v>
      </c>
      <c r="CE7" s="41">
        <f>othermod_T[[D_hts_tst_neg_othermod_o15_fy19]:[D_hts_tst_neg_othermod_o15_fy19]]*othermod_T[A_hts_tst_othermod_3539_m_neg]</f>
        <v>0</v>
      </c>
      <c r="CF7" s="41">
        <f>othermod_T[[D_hts_tst_neg_othermod_o15_fy19]:[D_hts_tst_neg_othermod_o15_fy19]]*othermod_T[A_hts_tst_othermod_4049_f_neg]</f>
        <v>0</v>
      </c>
      <c r="CG7" s="41">
        <f>othermod_T[[D_hts_tst_neg_othermod_o15_fy19]:[D_hts_tst_neg_othermod_o15_fy19]]*othermod_T[A_hts_tst_othermod_4049_m_neg]</f>
        <v>0</v>
      </c>
      <c r="CH7" s="41">
        <f>othermod_T[[D_hts_tst_neg_othermod_o15_fy19]:[D_hts_tst_neg_othermod_o15_fy19]]*othermod_T[A_hts_tst_othermod_o50_f_neg]</f>
        <v>0</v>
      </c>
      <c r="CI7" s="41">
        <f>othermod_T[[D_hts_tst_neg_othermod_o15_fy19]:[D_hts_tst_neg_othermod_o15_fy19]]*othermod_T[A_hts_tst_othermod_o50_m_neg]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907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SUBTOTAL(109,index_T[hts_tst_index_u1_unk_pos])</f>
        <v>0</v>
      </c>
      <c r="BA5" s="47">
        <f>SUBTOTAL(109,index_T[hts_tst_index_0109_unk_pos])</f>
        <v>0</v>
      </c>
      <c r="BB5" s="47">
        <f>SUBTOTAL(109,index_T[hts_tst_index_1014_f_pos])</f>
        <v>0</v>
      </c>
      <c r="BC5" s="47">
        <f>SUBTOTAL(109,index_T[hts_tst_index_1014_m_pos])</f>
        <v>0</v>
      </c>
      <c r="BD5" s="47">
        <f>SUBTOTAL(109,index_T[hts_tst_index_u1_unk_neg])</f>
        <v>0</v>
      </c>
      <c r="BE5" s="47">
        <f>SUBTOTAL(109,index_T[hts_tst_index_0109_unk_neg])</f>
        <v>0</v>
      </c>
      <c r="BF5" s="47">
        <f>SUBTOTAL(109,index_T[hts_tst_index_1014_f_neg])</f>
        <v>0</v>
      </c>
      <c r="BG5" s="47">
        <f>SUBTOTAL(109,index_T[hts_tst_index_1014_m_neg])</f>
        <v>0</v>
      </c>
      <c r="BH5" s="47">
        <f>SUBTOTAL(109,index_T[hts_tst_index_1519_f_pos])</f>
        <v>0</v>
      </c>
      <c r="BI5" s="47">
        <f>SUBTOTAL(109,index_T[hts_tst_index_1519_m_pos])</f>
        <v>0</v>
      </c>
      <c r="BJ5" s="47">
        <f>SUBTOTAL(109,index_T[hts_tst_index_2024_f_pos])</f>
        <v>0</v>
      </c>
      <c r="BK5" s="47">
        <f>SUBTOTAL(109,index_T[hts_tst_index_2024_m_pos])</f>
        <v>0</v>
      </c>
      <c r="BL5" s="47">
        <f>SUBTOTAL(109,index_T[hts_tst_index_2529_f_pos])</f>
        <v>0</v>
      </c>
      <c r="BM5" s="47">
        <f>SUBTOTAL(109,index_T[hts_tst_index_2529_m_pos])</f>
        <v>0</v>
      </c>
      <c r="BN5" s="47">
        <f>SUBTOTAL(109,index_T[hts_tst_index_3034_f_pos])</f>
        <v>0</v>
      </c>
      <c r="BO5" s="47">
        <f>SUBTOTAL(109,index_T[hts_tst_index_3034_m_pos])</f>
        <v>0</v>
      </c>
      <c r="BP5" s="47">
        <f>SUBTOTAL(109,index_T[hts_tst_index_3539_f_pos])</f>
        <v>0</v>
      </c>
      <c r="BQ5" s="47">
        <f>SUBTOTAL(109,index_T[hts_tst_index_3539_m_pos])</f>
        <v>0</v>
      </c>
      <c r="BR5" s="47">
        <f>SUBTOTAL(109,index_T[hts_tst_index_4049_f_pos])</f>
        <v>0</v>
      </c>
      <c r="BS5" s="47">
        <f>SUBTOTAL(109,index_T[hts_tst_index_4049_m_pos])</f>
        <v>0</v>
      </c>
      <c r="BT5" s="47">
        <f>SUBTOTAL(109,index_T[hts_tst_index_o50_f_pos])</f>
        <v>0</v>
      </c>
      <c r="BU5" s="47">
        <f>SUBTOTAL(109,index_T[hts_tst_index_o50_m_pos])</f>
        <v>0</v>
      </c>
      <c r="BV5" s="47">
        <f>SUBTOTAL(109,index_T[hts_tst_index_1519_f_neg])</f>
        <v>0</v>
      </c>
      <c r="BW5" s="47">
        <f>SUBTOTAL(109,index_T[hts_tst_index_1519_m_neg])</f>
        <v>0</v>
      </c>
      <c r="BX5" s="47">
        <f>SUBTOTAL(109,index_T[hts_tst_index_2024_f_neg])</f>
        <v>0</v>
      </c>
      <c r="BY5" s="47">
        <f>SUBTOTAL(109,index_T[hts_tst_index_2024_m_neg])</f>
        <v>0</v>
      </c>
      <c r="BZ5" s="47">
        <f>SUBTOTAL(109,index_T[hts_tst_index_2529_f_neg])</f>
        <v>0</v>
      </c>
      <c r="CA5" s="47">
        <f>SUBTOTAL(109,index_T[hts_tst_index_2529_m_neg])</f>
        <v>0</v>
      </c>
      <c r="CB5" s="47">
        <f>SUBTOTAL(109,index_T[hts_tst_index_3034_f_neg])</f>
        <v>0</v>
      </c>
      <c r="CC5" s="47">
        <f>SUBTOTAL(109,index_T[hts_tst_index_3034_m_neg])</f>
        <v>0</v>
      </c>
      <c r="CD5" s="47">
        <f>SUBTOTAL(109,index_T[hts_tst_index_3539_f_neg])</f>
        <v>0</v>
      </c>
      <c r="CE5" s="47">
        <f>SUBTOTAL(109,index_T[hts_tst_index_3539_m_neg])</f>
        <v>0</v>
      </c>
      <c r="CF5" s="47">
        <f>SUBTOTAL(109,index_T[hts_tst_index_4049_f_neg])</f>
        <v>0</v>
      </c>
      <c r="CG5" s="47">
        <f>SUBTOTAL(109,index_T[hts_tst_index_4049_m_neg])</f>
        <v>0</v>
      </c>
      <c r="CH5" s="47">
        <f>SUBTOTAL(109,index_T[hts_tst_index_o50_f_neg])</f>
        <v>0</v>
      </c>
      <c r="CI5" s="47">
        <f>SUBTOTAL(109,index_T[hts_tst_index_o50_m_neg])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908</v>
      </c>
      <c r="K6" s="25" t="s">
        <v>909</v>
      </c>
      <c r="L6" s="25" t="s">
        <v>910</v>
      </c>
      <c r="M6" s="25" t="s">
        <v>911</v>
      </c>
      <c r="N6" s="25" t="s">
        <v>912</v>
      </c>
      <c r="O6" s="25" t="s">
        <v>913</v>
      </c>
      <c r="P6" s="25" t="s">
        <v>914</v>
      </c>
      <c r="Q6" s="25" t="s">
        <v>915</v>
      </c>
      <c r="R6" s="25" t="s">
        <v>916</v>
      </c>
      <c r="S6" s="25" t="s">
        <v>917</v>
      </c>
      <c r="T6" s="25" t="s">
        <v>918</v>
      </c>
      <c r="U6" s="25" t="s">
        <v>919</v>
      </c>
      <c r="V6" s="25" t="s">
        <v>920</v>
      </c>
      <c r="W6" s="25" t="s">
        <v>921</v>
      </c>
      <c r="X6" s="25" t="s">
        <v>922</v>
      </c>
      <c r="Y6" s="25" t="s">
        <v>923</v>
      </c>
      <c r="Z6" s="25" t="s">
        <v>924</v>
      </c>
      <c r="AA6" s="25" t="s">
        <v>925</v>
      </c>
      <c r="AB6" s="25" t="s">
        <v>926</v>
      </c>
      <c r="AC6" s="25" t="s">
        <v>927</v>
      </c>
      <c r="AD6" s="25" t="s">
        <v>928</v>
      </c>
      <c r="AE6" s="25" t="s">
        <v>929</v>
      </c>
      <c r="AF6" s="25" t="s">
        <v>930</v>
      </c>
      <c r="AG6" s="25" t="s">
        <v>931</v>
      </c>
      <c r="AH6" s="25" t="s">
        <v>932</v>
      </c>
      <c r="AI6" s="25" t="s">
        <v>933</v>
      </c>
      <c r="AJ6" s="25" t="s">
        <v>934</v>
      </c>
      <c r="AK6" s="25" t="s">
        <v>935</v>
      </c>
      <c r="AL6" s="25" t="s">
        <v>936</v>
      </c>
      <c r="AM6" s="25" t="s">
        <v>937</v>
      </c>
      <c r="AN6" s="25" t="s">
        <v>938</v>
      </c>
      <c r="AO6" s="25" t="s">
        <v>939</v>
      </c>
      <c r="AP6" s="25" t="s">
        <v>940</v>
      </c>
      <c r="AQ6" s="25" t="s">
        <v>941</v>
      </c>
      <c r="AR6" s="25" t="s">
        <v>942</v>
      </c>
      <c r="AS6" s="25" t="s">
        <v>943</v>
      </c>
      <c r="AT6" s="25" t="s">
        <v>243</v>
      </c>
      <c r="AU6" s="25" t="s">
        <v>255</v>
      </c>
      <c r="AV6" s="25" t="s">
        <v>944</v>
      </c>
      <c r="AW6" s="25" t="s">
        <v>223</v>
      </c>
      <c r="AX6" s="25" t="s">
        <v>233</v>
      </c>
      <c r="AY6" s="25" t="s">
        <v>945</v>
      </c>
      <c r="AZ6" s="25" t="s">
        <v>946</v>
      </c>
      <c r="BA6" s="25" t="s">
        <v>947</v>
      </c>
      <c r="BB6" s="25" t="s">
        <v>948</v>
      </c>
      <c r="BC6" s="25" t="s">
        <v>949</v>
      </c>
      <c r="BD6" s="25" t="s">
        <v>950</v>
      </c>
      <c r="BE6" s="25" t="s">
        <v>951</v>
      </c>
      <c r="BF6" s="25" t="s">
        <v>952</v>
      </c>
      <c r="BG6" s="25" t="s">
        <v>953</v>
      </c>
      <c r="BH6" s="25" t="s">
        <v>954</v>
      </c>
      <c r="BI6" s="25" t="s">
        <v>955</v>
      </c>
      <c r="BJ6" s="25" t="s">
        <v>956</v>
      </c>
      <c r="BK6" s="25" t="s">
        <v>957</v>
      </c>
      <c r="BL6" s="25" t="s">
        <v>958</v>
      </c>
      <c r="BM6" s="25" t="s">
        <v>959</v>
      </c>
      <c r="BN6" s="25" t="s">
        <v>960</v>
      </c>
      <c r="BO6" s="25" t="s">
        <v>961</v>
      </c>
      <c r="BP6" s="25" t="s">
        <v>962</v>
      </c>
      <c r="BQ6" s="25" t="s">
        <v>963</v>
      </c>
      <c r="BR6" s="25" t="s">
        <v>964</v>
      </c>
      <c r="BS6" s="25" t="s">
        <v>965</v>
      </c>
      <c r="BT6" s="25" t="s">
        <v>966</v>
      </c>
      <c r="BU6" s="25" t="s">
        <v>967</v>
      </c>
      <c r="BV6" s="25" t="s">
        <v>968</v>
      </c>
      <c r="BW6" s="25" t="s">
        <v>969</v>
      </c>
      <c r="BX6" s="25" t="s">
        <v>970</v>
      </c>
      <c r="BY6" s="25" t="s">
        <v>971</v>
      </c>
      <c r="BZ6" s="25" t="s">
        <v>972</v>
      </c>
      <c r="CA6" s="25" t="s">
        <v>973</v>
      </c>
      <c r="CB6" s="25" t="s">
        <v>974</v>
      </c>
      <c r="CC6" s="25" t="s">
        <v>975</v>
      </c>
      <c r="CD6" s="25" t="s">
        <v>976</v>
      </c>
      <c r="CE6" s="25" t="s">
        <v>977</v>
      </c>
      <c r="CF6" s="25" t="s">
        <v>978</v>
      </c>
      <c r="CG6" s="25" t="s">
        <v>979</v>
      </c>
      <c r="CH6" s="25" t="s">
        <v>980</v>
      </c>
      <c r="CI6" s="25" t="s">
        <v>981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index_T[[D_hts_tst_pos_index_u15_fy19]:[D_hts_tst_pos_index_u15_fy19]]*index_T[A_hts_tst_index_u1_unk_pos]</f>
        <v>0</v>
      </c>
      <c r="BA7" s="41">
        <f>index_T[[D_hts_tst_pos_index_u15_fy19]:[D_hts_tst_pos_index_u15_fy19]]*index_T[A_hts_tst_index_0109_unk_pos]</f>
        <v>0</v>
      </c>
      <c r="BB7" s="41">
        <f>index_T[[D_hts_tst_pos_index_u15_fy19]:[D_hts_tst_pos_index_u15_fy19]]*index_T[A_hts_tst_index_1014_f_pos]</f>
        <v>0</v>
      </c>
      <c r="BC7" s="41">
        <f>index_T[[D_hts_tst_pos_index_u15_fy19]:[D_hts_tst_pos_index_u15_fy19]]*index_T[A_hts_tst_index_1014_m_pos]</f>
        <v>0</v>
      </c>
      <c r="BD7" s="41">
        <f>index_T[[D_hts_tst_neg_index_u15_fy19]:[D_hts_tst_neg_index_u15_fy19]]*index_T[A_hts_tst_index_u1_unk_neg]</f>
        <v>0</v>
      </c>
      <c r="BE7" s="41">
        <f>index_T[[D_hts_tst_neg_index_u15_fy19]:[D_hts_tst_neg_index_u15_fy19]]*index_T[A_hts_tst_index_0109_unk_neg]</f>
        <v>0</v>
      </c>
      <c r="BF7" s="41">
        <f>index_T[[D_hts_tst_neg_index_u15_fy19]:[D_hts_tst_neg_index_u15_fy19]]*index_T[A_hts_tst_index_1014_f_neg]</f>
        <v>0</v>
      </c>
      <c r="BG7" s="41">
        <f>index_T[[D_hts_tst_neg_index_u15_fy19]:[D_hts_tst_neg_index_u15_fy19]]*index_T[A_hts_tst_index_1014_m_neg]</f>
        <v>0</v>
      </c>
      <c r="BH7" s="41">
        <f>index_T[[D_hts_tst_pos_index_o15_fy19]:[D_hts_tst_pos_index_o15_fy19]]*index_T[A_hts_tst_index_1519_f_pos]</f>
        <v>0</v>
      </c>
      <c r="BI7" s="41">
        <f>index_T[[D_hts_tst_pos_index_o15_fy19]:[D_hts_tst_pos_index_o15_fy19]]*index_T[A_hts_tst_index_1519_m_pos]</f>
        <v>0</v>
      </c>
      <c r="BJ7" s="41">
        <f>index_T[[D_hts_tst_pos_index_o15_fy19]:[D_hts_tst_pos_index_o15_fy19]]*index_T[A_hts_tst_index_2024_f_pos]</f>
        <v>0</v>
      </c>
      <c r="BK7" s="41">
        <f>index_T[[D_hts_tst_pos_index_o15_fy19]:[D_hts_tst_pos_index_o15_fy19]]*index_T[A_hts_tst_index_2024_m_pos]</f>
        <v>0</v>
      </c>
      <c r="BL7" s="41">
        <f>index_T[[D_hts_tst_pos_index_o15_fy19]:[D_hts_tst_pos_index_o15_fy19]]*index_T[A_hts_tst_index_2529_f_pos]</f>
        <v>0</v>
      </c>
      <c r="BM7" s="41">
        <f>index_T[[D_hts_tst_pos_index_o15_fy19]:[D_hts_tst_pos_index_o15_fy19]]*index_T[A_hts_tst_index_2529_m_pos]</f>
        <v>0</v>
      </c>
      <c r="BN7" s="41">
        <f>index_T[[D_hts_tst_pos_index_o15_fy19]:[D_hts_tst_pos_index_o15_fy19]]*index_T[A_hts_tst_index_3034_f_pos]</f>
        <v>0</v>
      </c>
      <c r="BO7" s="41">
        <f>index_T[[D_hts_tst_pos_index_o15_fy19]:[D_hts_tst_pos_index_o15_fy19]]*index_T[A_hts_tst_index_3034_m__pos]</f>
        <v>0</v>
      </c>
      <c r="BP7" s="41">
        <f>index_T[[D_hts_tst_pos_index_o15_fy19]:[D_hts_tst_pos_index_o15_fy19]]*index_T[A_hts_tst_index_3539_f_pos]</f>
        <v>0</v>
      </c>
      <c r="BQ7" s="41">
        <f>index_T[[D_hts_tst_pos_index_o15_fy19]:[D_hts_tst_pos_index_o15_fy19]]*index_T[A_hts_tst_index_3539_m__pos]</f>
        <v>0</v>
      </c>
      <c r="BR7" s="41">
        <f>index_T[[D_hts_tst_pos_index_o15_fy19]:[D_hts_tst_pos_index_o15_fy19]]*index_T[A_hts_tst_index_4049_f_pos]</f>
        <v>0</v>
      </c>
      <c r="BS7" s="41">
        <f>index_T[[D_hts_tst_pos_index_o15_fy19]:[D_hts_tst_pos_index_o15_fy19]]*index_T[A_hts_tst_index_4049_m_pos]</f>
        <v>0</v>
      </c>
      <c r="BT7" s="41">
        <f>index_T[[D_hts_tst_pos_index_o15_fy19]:[D_hts_tst_pos_index_o15_fy19]]*index_T[A_hts_tst_index_o50_f_pos]</f>
        <v>0</v>
      </c>
      <c r="BU7" s="41">
        <f>index_T[[D_hts_tst_pos_index_o15_fy19]:[D_hts_tst_pos_index_o15_fy19]]*index_T[A_hts_tst_index_o50_m_pos]</f>
        <v>0</v>
      </c>
      <c r="BV7" s="41">
        <f>index_T[[D_hts_tst_neg_index_o15_fy19]:[D_hts_tst_neg_index_o15_fy19]]*index_T[A_hts_tst_index_1519_f_neg]</f>
        <v>0</v>
      </c>
      <c r="BW7" s="41">
        <f>index_T[[D_hts_tst_neg_index_o15_fy19]:[D_hts_tst_neg_index_o15_fy19]]*index_T[A_hts_tst_index_1519_m_neg]</f>
        <v>0</v>
      </c>
      <c r="BX7" s="41">
        <f>index_T[[D_hts_tst_neg_index_o15_fy19]:[D_hts_tst_neg_index_o15_fy19]]*index_T[A_hts_tst_index_2024_f_neg]</f>
        <v>0</v>
      </c>
      <c r="BY7" s="41">
        <f>index_T[[D_hts_tst_neg_index_o15_fy19]:[D_hts_tst_neg_index_o15_fy19]]*index_T[A_hts_tst_index_2024_m_neg]</f>
        <v>0</v>
      </c>
      <c r="BZ7" s="41">
        <f>index_T[[D_hts_tst_neg_index_o15_fy19]:[D_hts_tst_neg_index_o15_fy19]]*index_T[A_hts_tst_index_2529_f_neg]</f>
        <v>0</v>
      </c>
      <c r="CA7" s="41">
        <f>index_T[[D_hts_tst_neg_index_o15_fy19]:[D_hts_tst_neg_index_o15_fy19]]*index_T[A_hts_tst_index_2529_m_neg]</f>
        <v>0</v>
      </c>
      <c r="CB7" s="41">
        <f>index_T[[D_hts_tst_neg_index_o15_fy19]:[D_hts_tst_neg_index_o15_fy19]]*index_T[A_hts_tst_index_3034_f_neg]</f>
        <v>0</v>
      </c>
      <c r="CC7" s="41">
        <f>index_T[[D_hts_tst_neg_index_o15_fy19]:[D_hts_tst_neg_index_o15_fy19]]*index_T[A_hts_tst_index_3034_m_neg]</f>
        <v>0</v>
      </c>
      <c r="CD7" s="41">
        <f>index_T[[D_hts_tst_neg_index_o15_fy19]:[D_hts_tst_neg_index_o15_fy19]]*index_T[A_hts_tst_index_3539_f_neg]</f>
        <v>0</v>
      </c>
      <c r="CE7" s="41">
        <f>index_T[[D_hts_tst_neg_index_o15_fy19]:[D_hts_tst_neg_index_o15_fy19]]*index_T[A_hts_tst_index_3539_m_neg]</f>
        <v>0</v>
      </c>
      <c r="CF7" s="41">
        <f>index_T[[D_hts_tst_neg_index_o15_fy19]:[D_hts_tst_neg_index_o15_fy19]]*index_T[A_hts_tst_index_4049_f_neg]</f>
        <v>0</v>
      </c>
      <c r="CG7" s="41">
        <f>index_T[[D_hts_tst_neg_index_o15_fy19]:[D_hts_tst_neg_index_o15_fy19]]*index_T[A_hts_tst_index_4049_m_neg]</f>
        <v>0</v>
      </c>
      <c r="CH7" s="41">
        <f>index_T[[D_hts_tst_neg_index_o15_fy19]:[D_hts_tst_neg_index_o15_fy19]]*index_T[A_hts_tst_index_o50_f_neg]</f>
        <v>0</v>
      </c>
      <c r="CI7" s="41">
        <f>index_T[[D_hts_tst_neg_index_o15_fy19]:[D_hts_tst_neg_index_o15_fy19]]*index_T[A_hts_tst_index_o50_m_neg]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982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SUBTOTAL(109,sti_T[hts_tst_sti_u1_unk_pos])</f>
        <v>0</v>
      </c>
      <c r="BA5" s="47">
        <f>SUBTOTAL(109,sti_T[hts_tst_sti_0109_unk_pos])</f>
        <v>0</v>
      </c>
      <c r="BB5" s="47">
        <f>SUBTOTAL(109,sti_T[hts_tst_sti_1014_f_pos])</f>
        <v>0</v>
      </c>
      <c r="BC5" s="47">
        <f>SUBTOTAL(109,sti_T[hts_tst_sti_1014_m_pos])</f>
        <v>0</v>
      </c>
      <c r="BD5" s="47">
        <f>SUBTOTAL(109,sti_T[hts_tst_sti_u1_unk_neg])</f>
        <v>0</v>
      </c>
      <c r="BE5" s="47">
        <f>SUBTOTAL(109,sti_T[hts_tst_sti_0109_unk_neg])</f>
        <v>0</v>
      </c>
      <c r="BF5" s="47">
        <f>SUBTOTAL(109,sti_T[hts_tst_sti_1014_f_neg])</f>
        <v>0</v>
      </c>
      <c r="BG5" s="47">
        <f>SUBTOTAL(109,sti_T[hts_tst_sti_1014_m_neg])</f>
        <v>0</v>
      </c>
      <c r="BH5" s="47">
        <f>SUBTOTAL(109,sti_T[hts_tst_sti_1519_f_pos])</f>
        <v>0</v>
      </c>
      <c r="BI5" s="47">
        <f>SUBTOTAL(109,sti_T[hts_tst_sti_1519_m_pos])</f>
        <v>0</v>
      </c>
      <c r="BJ5" s="47">
        <f>SUBTOTAL(109,sti_T[hts_tst_sti_2024_f_pos])</f>
        <v>0</v>
      </c>
      <c r="BK5" s="47">
        <f>SUBTOTAL(109,sti_T[hts_tst_sti_2024_m_pos])</f>
        <v>0</v>
      </c>
      <c r="BL5" s="47">
        <f>SUBTOTAL(109,sti_T[hts_tst_sti_2529_f_pos])</f>
        <v>0</v>
      </c>
      <c r="BM5" s="47">
        <f>SUBTOTAL(109,sti_T[hts_tst_sti_2529_m_pos])</f>
        <v>0</v>
      </c>
      <c r="BN5" s="47">
        <f>SUBTOTAL(109,sti_T[hts_tst_sti_3034_f_pos])</f>
        <v>0</v>
      </c>
      <c r="BO5" s="47">
        <f>SUBTOTAL(109,sti_T[hts_tst_sti_3034_m_pos])</f>
        <v>0</v>
      </c>
      <c r="BP5" s="47">
        <f>SUBTOTAL(109,sti_T[hts_tst_sti_3539_f_pos])</f>
        <v>0</v>
      </c>
      <c r="BQ5" s="47">
        <f>SUBTOTAL(109,sti_T[hts_tst_sti_3539_m_pos])</f>
        <v>0</v>
      </c>
      <c r="BR5" s="47">
        <f>SUBTOTAL(109,sti_T[hts_tst_sti_4049_f_pos])</f>
        <v>0</v>
      </c>
      <c r="BS5" s="47">
        <f>SUBTOTAL(109,sti_T[hts_tst_sti_4049_m_pos])</f>
        <v>0</v>
      </c>
      <c r="BT5" s="47">
        <f>SUBTOTAL(109,sti_T[hts_tst_sti_o50_f_pos])</f>
        <v>0</v>
      </c>
      <c r="BU5" s="47">
        <f>SUBTOTAL(109,sti_T[hts_tst_sti_o50_m_pos])</f>
        <v>0</v>
      </c>
      <c r="BV5" s="47">
        <f>SUBTOTAL(109,sti_T[hts_tst_sti_1519_f_neg])</f>
        <v>0</v>
      </c>
      <c r="BW5" s="47">
        <f>SUBTOTAL(109,sti_T[hts_tst_sti_1519_m_neg])</f>
        <v>0</v>
      </c>
      <c r="BX5" s="47">
        <f>SUBTOTAL(109,sti_T[hts_tst_sti_2024_f_neg])</f>
        <v>0</v>
      </c>
      <c r="BY5" s="47">
        <f>SUBTOTAL(109,sti_T[hts_tst_sti_2024_m_neg])</f>
        <v>0</v>
      </c>
      <c r="BZ5" s="47">
        <f>SUBTOTAL(109,sti_T[hts_tst_sti_2529_f_neg])</f>
        <v>0</v>
      </c>
      <c r="CA5" s="47">
        <f>SUBTOTAL(109,sti_T[hts_tst_sti_2529_m_neg])</f>
        <v>0</v>
      </c>
      <c r="CB5" s="47">
        <f>SUBTOTAL(109,sti_T[hts_tst_sti_3034_f_neg])</f>
        <v>0</v>
      </c>
      <c r="CC5" s="47">
        <f>SUBTOTAL(109,sti_T[hts_tst_sti_3034_m_neg])</f>
        <v>0</v>
      </c>
      <c r="CD5" s="47">
        <f>SUBTOTAL(109,sti_T[hts_tst_sti_3539_f_neg])</f>
        <v>0</v>
      </c>
      <c r="CE5" s="47">
        <f>SUBTOTAL(109,sti_T[hts_tst_sti_3539_m_neg])</f>
        <v>0</v>
      </c>
      <c r="CF5" s="47">
        <f>SUBTOTAL(109,sti_T[hts_tst_sti_4049_f_neg])</f>
        <v>0</v>
      </c>
      <c r="CG5" s="47">
        <f>SUBTOTAL(109,sti_T[hts_tst_sti_4049_m_neg])</f>
        <v>0</v>
      </c>
      <c r="CH5" s="47">
        <f>SUBTOTAL(109,sti_T[hts_tst_sti_o50_f_neg])</f>
        <v>0</v>
      </c>
      <c r="CI5" s="47">
        <f>SUBTOTAL(109,sti_T[hts_tst_sti_o50_m_neg])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983</v>
      </c>
      <c r="K6" s="25" t="s">
        <v>984</v>
      </c>
      <c r="L6" s="25" t="s">
        <v>985</v>
      </c>
      <c r="M6" s="25" t="s">
        <v>986</v>
      </c>
      <c r="N6" s="25" t="s">
        <v>987</v>
      </c>
      <c r="O6" s="25" t="s">
        <v>988</v>
      </c>
      <c r="P6" s="25" t="s">
        <v>989</v>
      </c>
      <c r="Q6" s="25" t="s">
        <v>990</v>
      </c>
      <c r="R6" s="25" t="s">
        <v>991</v>
      </c>
      <c r="S6" s="25" t="s">
        <v>992</v>
      </c>
      <c r="T6" s="25" t="s">
        <v>993</v>
      </c>
      <c r="U6" s="25" t="s">
        <v>994</v>
      </c>
      <c r="V6" s="25" t="s">
        <v>995</v>
      </c>
      <c r="W6" s="25" t="s">
        <v>996</v>
      </c>
      <c r="X6" s="25" t="s">
        <v>997</v>
      </c>
      <c r="Y6" s="25" t="s">
        <v>998</v>
      </c>
      <c r="Z6" s="25" t="s">
        <v>999</v>
      </c>
      <c r="AA6" s="25" t="s">
        <v>1000</v>
      </c>
      <c r="AB6" s="25" t="s">
        <v>1001</v>
      </c>
      <c r="AC6" s="25" t="s">
        <v>1002</v>
      </c>
      <c r="AD6" s="25" t="s">
        <v>1003</v>
      </c>
      <c r="AE6" s="25" t="s">
        <v>1004</v>
      </c>
      <c r="AF6" s="25" t="s">
        <v>1005</v>
      </c>
      <c r="AG6" s="25" t="s">
        <v>1006</v>
      </c>
      <c r="AH6" s="25" t="s">
        <v>1007</v>
      </c>
      <c r="AI6" s="25" t="s">
        <v>1008</v>
      </c>
      <c r="AJ6" s="25" t="s">
        <v>1009</v>
      </c>
      <c r="AK6" s="25" t="s">
        <v>1010</v>
      </c>
      <c r="AL6" s="25" t="s">
        <v>1011</v>
      </c>
      <c r="AM6" s="25" t="s">
        <v>1012</v>
      </c>
      <c r="AN6" s="25" t="s">
        <v>1013</v>
      </c>
      <c r="AO6" s="25" t="s">
        <v>1014</v>
      </c>
      <c r="AP6" s="25" t="s">
        <v>1015</v>
      </c>
      <c r="AQ6" s="25" t="s">
        <v>1016</v>
      </c>
      <c r="AR6" s="25" t="s">
        <v>1017</v>
      </c>
      <c r="AS6" s="25" t="s">
        <v>1018</v>
      </c>
      <c r="AT6" s="25" t="s">
        <v>244</v>
      </c>
      <c r="AU6" s="25" t="s">
        <v>256</v>
      </c>
      <c r="AV6" s="25" t="s">
        <v>1019</v>
      </c>
      <c r="AW6" s="25" t="s">
        <v>224</v>
      </c>
      <c r="AX6" s="25" t="s">
        <v>234</v>
      </c>
      <c r="AY6" s="25" t="s">
        <v>1020</v>
      </c>
      <c r="AZ6" s="25" t="s">
        <v>1021</v>
      </c>
      <c r="BA6" s="25" t="s">
        <v>1022</v>
      </c>
      <c r="BB6" s="25" t="s">
        <v>1023</v>
      </c>
      <c r="BC6" s="25" t="s">
        <v>1024</v>
      </c>
      <c r="BD6" s="25" t="s">
        <v>1025</v>
      </c>
      <c r="BE6" s="25" t="s">
        <v>1026</v>
      </c>
      <c r="BF6" s="25" t="s">
        <v>1027</v>
      </c>
      <c r="BG6" s="25" t="s">
        <v>1028</v>
      </c>
      <c r="BH6" s="25" t="s">
        <v>1029</v>
      </c>
      <c r="BI6" s="25" t="s">
        <v>1030</v>
      </c>
      <c r="BJ6" s="25" t="s">
        <v>1031</v>
      </c>
      <c r="BK6" s="25" t="s">
        <v>1032</v>
      </c>
      <c r="BL6" s="25" t="s">
        <v>1033</v>
      </c>
      <c r="BM6" s="25" t="s">
        <v>1034</v>
      </c>
      <c r="BN6" s="25" t="s">
        <v>1035</v>
      </c>
      <c r="BO6" s="25" t="s">
        <v>1036</v>
      </c>
      <c r="BP6" s="25" t="s">
        <v>1037</v>
      </c>
      <c r="BQ6" s="25" t="s">
        <v>1038</v>
      </c>
      <c r="BR6" s="25" t="s">
        <v>1039</v>
      </c>
      <c r="BS6" s="25" t="s">
        <v>1040</v>
      </c>
      <c r="BT6" s="25" t="s">
        <v>1041</v>
      </c>
      <c r="BU6" s="25" t="s">
        <v>1042</v>
      </c>
      <c r="BV6" s="25" t="s">
        <v>1043</v>
      </c>
      <c r="BW6" s="25" t="s">
        <v>1044</v>
      </c>
      <c r="BX6" s="25" t="s">
        <v>1045</v>
      </c>
      <c r="BY6" s="25" t="s">
        <v>1046</v>
      </c>
      <c r="BZ6" s="25" t="s">
        <v>1047</v>
      </c>
      <c r="CA6" s="25" t="s">
        <v>1048</v>
      </c>
      <c r="CB6" s="25" t="s">
        <v>1049</v>
      </c>
      <c r="CC6" s="25" t="s">
        <v>1050</v>
      </c>
      <c r="CD6" s="25" t="s">
        <v>1051</v>
      </c>
      <c r="CE6" s="25" t="s">
        <v>1052</v>
      </c>
      <c r="CF6" s="25" t="s">
        <v>1053</v>
      </c>
      <c r="CG6" s="25" t="s">
        <v>1054</v>
      </c>
      <c r="CH6" s="25" t="s">
        <v>1055</v>
      </c>
      <c r="CI6" s="25" t="s">
        <v>1056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sti_T[[D_hts_tst_pos_sti_u15_fy19]:[D_hts_tst_pos_sti_u15_fy19]]*sti_T[A_hts_tst_sti_u1_unk_pos]</f>
        <v>0</v>
      </c>
      <c r="BA7" s="41">
        <f>sti_T[[D_hts_tst_pos_sti_u15_fy19]:[D_hts_tst_pos_sti_u15_fy19]]*sti_T[A_hts_tst_sti_0109_unk_pos]</f>
        <v>0</v>
      </c>
      <c r="BB7" s="41">
        <f>sti_T[[D_hts_tst_pos_sti_u15_fy19]:[D_hts_tst_pos_sti_u15_fy19]]*sti_T[A_hts_tst_sti_1014_f_pos]</f>
        <v>0</v>
      </c>
      <c r="BC7" s="41">
        <f>sti_T[[D_hts_tst_pos_sti_u15_fy19]:[D_hts_tst_pos_sti_u15_fy19]]*sti_T[A_hts_tst_sti_1014_m_pos]</f>
        <v>0</v>
      </c>
      <c r="BD7" s="41">
        <f>sti_T[[D_hts_tst_neg_sti_u15_fy19]:[D_hts_tst_neg_sti_u15_fy19]]*sti_T[A_hts_tst_sti_u1_unk_neg]</f>
        <v>0</v>
      </c>
      <c r="BE7" s="41">
        <f>sti_T[[D_hts_tst_neg_sti_u15_fy19]:[D_hts_tst_neg_sti_u15_fy19]]*sti_T[A_hts_tst_sti_0109_unk_neg]</f>
        <v>0</v>
      </c>
      <c r="BF7" s="41">
        <f>sti_T[[D_hts_tst_neg_sti_u15_fy19]:[D_hts_tst_neg_sti_u15_fy19]]*sti_T[A_hts_tst_sti_1014_f_neg]</f>
        <v>0</v>
      </c>
      <c r="BG7" s="41">
        <f>sti_T[[D_hts_tst_neg_sti_u15_fy19]:[D_hts_tst_neg_sti_u15_fy19]]*sti_T[A_hts_tst_sti_1014_m_neg]</f>
        <v>0</v>
      </c>
      <c r="BH7" s="41">
        <f>sti_T[[D_hts_tst_pos_sti_o15_fy19]:[D_hts_tst_pos_sti_o15_fy19]]*sti_T[A_hts_tst_sti_1519_f_pos]</f>
        <v>0</v>
      </c>
      <c r="BI7" s="41">
        <f>sti_T[[D_hts_tst_pos_sti_o15_fy19]:[D_hts_tst_pos_sti_o15_fy19]]*sti_T[A_hts_tst_sti_1519_m_pos]</f>
        <v>0</v>
      </c>
      <c r="BJ7" s="41">
        <f>sti_T[[D_hts_tst_pos_sti_o15_fy19]:[D_hts_tst_pos_sti_o15_fy19]]*sti_T[A_hts_tst_sti_2024_f_pos]</f>
        <v>0</v>
      </c>
      <c r="BK7" s="41">
        <f>sti_T[[D_hts_tst_pos_sti_o15_fy19]:[D_hts_tst_pos_sti_o15_fy19]]*sti_T[A_hts_tst_sti_2024_m_pos]</f>
        <v>0</v>
      </c>
      <c r="BL7" s="41">
        <f>sti_T[[D_hts_tst_pos_sti_o15_fy19]:[D_hts_tst_pos_sti_o15_fy19]]*sti_T[A_hts_tst_sti_2529_f_pos]</f>
        <v>0</v>
      </c>
      <c r="BM7" s="41">
        <f>sti_T[[D_hts_tst_pos_sti_o15_fy19]:[D_hts_tst_pos_sti_o15_fy19]]*sti_T[A_hts_tst_sti_2529_m_pos]</f>
        <v>0</v>
      </c>
      <c r="BN7" s="41">
        <f>sti_T[[D_hts_tst_pos_sti_o15_fy19]:[D_hts_tst_pos_sti_o15_fy19]]*sti_T[A_hts_tst_sti_3034_f_pos]</f>
        <v>0</v>
      </c>
      <c r="BO7" s="41">
        <f>sti_T[[D_hts_tst_pos_sti_o15_fy19]:[D_hts_tst_pos_sti_o15_fy19]]*sti_T[A_hts_tst_sti_3034_m__pos]</f>
        <v>0</v>
      </c>
      <c r="BP7" s="41">
        <f>sti_T[[D_hts_tst_pos_sti_o15_fy19]:[D_hts_tst_pos_sti_o15_fy19]]*sti_T[A_hts_tst_sti_3539_f_pos]</f>
        <v>0</v>
      </c>
      <c r="BQ7" s="41">
        <f>sti_T[[D_hts_tst_pos_sti_o15_fy19]:[D_hts_tst_pos_sti_o15_fy19]]*sti_T[A_hts_tst_sti_3539_m__pos]</f>
        <v>0</v>
      </c>
      <c r="BR7" s="41">
        <f>sti_T[[D_hts_tst_pos_sti_o15_fy19]:[D_hts_tst_pos_sti_o15_fy19]]*sti_T[A_hts_tst_sti_4049_f_pos]</f>
        <v>0</v>
      </c>
      <c r="BS7" s="41">
        <f>sti_T[[D_hts_tst_pos_sti_o15_fy19]:[D_hts_tst_pos_sti_o15_fy19]]*sti_T[A_hts_tst_sti_4049_m_pos]</f>
        <v>0</v>
      </c>
      <c r="BT7" s="41">
        <f>sti_T[[D_hts_tst_pos_sti_o15_fy19]:[D_hts_tst_pos_sti_o15_fy19]]*sti_T[A_hts_tst_sti_o50_f_pos]</f>
        <v>0</v>
      </c>
      <c r="BU7" s="41">
        <f>sti_T[[D_hts_tst_pos_sti_o15_fy19]:[D_hts_tst_pos_sti_o15_fy19]]*sti_T[A_hts_tst_sti_o50_m_pos]</f>
        <v>0</v>
      </c>
      <c r="BV7" s="41">
        <f>sti_T[[D_hts_tst_neg_sti_o15_fy19]:[D_hts_tst_neg_sti_o15_fy19]]*sti_T[A_hts_tst_sti_1519_f_neg]</f>
        <v>0</v>
      </c>
      <c r="BW7" s="41">
        <f>sti_T[[D_hts_tst_neg_sti_o15_fy19]:[D_hts_tst_neg_sti_o15_fy19]]*sti_T[A_hts_tst_sti_1519_m_neg]</f>
        <v>0</v>
      </c>
      <c r="BX7" s="41">
        <f>sti_T[[D_hts_tst_neg_sti_o15_fy19]:[D_hts_tst_neg_sti_o15_fy19]]*sti_T[A_hts_tst_sti_2024_f_neg]</f>
        <v>0</v>
      </c>
      <c r="BY7" s="41">
        <f>sti_T[[D_hts_tst_neg_sti_o15_fy19]:[D_hts_tst_neg_sti_o15_fy19]]*sti_T[A_hts_tst_sti_2024_m_neg]</f>
        <v>0</v>
      </c>
      <c r="BZ7" s="41">
        <f>sti_T[[D_hts_tst_neg_sti_o15_fy19]:[D_hts_tst_neg_sti_o15_fy19]]*sti_T[A_hts_tst_sti_2529_f_neg]</f>
        <v>0</v>
      </c>
      <c r="CA7" s="41">
        <f>sti_T[[D_hts_tst_neg_sti_o15_fy19]:[D_hts_tst_neg_sti_o15_fy19]]*sti_T[A_hts_tst_sti_2529_m_neg]</f>
        <v>0</v>
      </c>
      <c r="CB7" s="41">
        <f>sti_T[[D_hts_tst_neg_sti_o15_fy19]:[D_hts_tst_neg_sti_o15_fy19]]*sti_T[A_hts_tst_sti_3034_f_neg]</f>
        <v>0</v>
      </c>
      <c r="CC7" s="41">
        <f>sti_T[[D_hts_tst_neg_sti_o15_fy19]:[D_hts_tst_neg_sti_o15_fy19]]*sti_T[A_hts_tst_sti_3034_m_neg]</f>
        <v>0</v>
      </c>
      <c r="CD7" s="41">
        <f>sti_T[[D_hts_tst_neg_sti_o15_fy19]:[D_hts_tst_neg_sti_o15_fy19]]*sti_T[A_hts_tst_sti_3539_f_neg]</f>
        <v>0</v>
      </c>
      <c r="CE7" s="41">
        <f>sti_T[[D_hts_tst_neg_sti_o15_fy19]:[D_hts_tst_neg_sti_o15_fy19]]*sti_T[A_hts_tst_sti_3539_m_neg]</f>
        <v>0</v>
      </c>
      <c r="CF7" s="41">
        <f>sti_T[[D_hts_tst_neg_sti_o15_fy19]:[D_hts_tst_neg_sti_o15_fy19]]*sti_T[A_hts_tst_sti_4049_f_neg]</f>
        <v>0</v>
      </c>
      <c r="CG7" s="41">
        <f>sti_T[[D_hts_tst_neg_sti_o15_fy19]:[D_hts_tst_neg_sti_o15_fy19]]*sti_T[A_hts_tst_sti_4049_m_neg]</f>
        <v>0</v>
      </c>
      <c r="CH7" s="41">
        <f>sti_T[[D_hts_tst_neg_sti_o15_fy19]:[D_hts_tst_neg_sti_o15_fy19]]*sti_T[A_hts_tst_sti_o50_f_neg]</f>
        <v>0</v>
      </c>
      <c r="CI7" s="41">
        <f>sti_T[[D_hts_tst_neg_sti_o15_fy19]:[D_hts_tst_neg_sti_o15_fy19]]*sti_T[A_hts_tst_sti_o50_m_neg]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1057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SUBTOTAL(109,inpat_T[hts_tst_inpat_u1_unk_pos])</f>
        <v>0</v>
      </c>
      <c r="BA5" s="47">
        <f>SUBTOTAL(109,inpat_T[hts_tst_inpat_0109_unk_pos])</f>
        <v>0</v>
      </c>
      <c r="BB5" s="47">
        <f>SUBTOTAL(109,inpat_T[hts_tst_inpat_1014_f_pos])</f>
        <v>0</v>
      </c>
      <c r="BC5" s="47">
        <f>SUBTOTAL(109,inpat_T[hts_tst_inpat_1014_m_pos])</f>
        <v>0</v>
      </c>
      <c r="BD5" s="47">
        <f>SUBTOTAL(109,inpat_T[hts_tst_inpat_u1_unk_neg])</f>
        <v>0</v>
      </c>
      <c r="BE5" s="47">
        <f>SUBTOTAL(109,inpat_T[hts_tst_inpat_0109_unk_neg])</f>
        <v>0</v>
      </c>
      <c r="BF5" s="47">
        <f>SUBTOTAL(109,inpat_T[hts_tst_inpat_1014_f_neg])</f>
        <v>0</v>
      </c>
      <c r="BG5" s="47">
        <f>SUBTOTAL(109,inpat_T[hts_tst_inpat_1014_m_neg])</f>
        <v>0</v>
      </c>
      <c r="BH5" s="47">
        <f>SUBTOTAL(109,inpat_T[hts_tst_inpat_1519_f_pos])</f>
        <v>0</v>
      </c>
      <c r="BI5" s="47">
        <f>SUBTOTAL(109,inpat_T[hts_tst_inpat_1519_m_pos])</f>
        <v>0</v>
      </c>
      <c r="BJ5" s="47">
        <f>SUBTOTAL(109,inpat_T[hts_tst_inpat_2024_f_pos])</f>
        <v>0</v>
      </c>
      <c r="BK5" s="47">
        <f>SUBTOTAL(109,inpat_T[hts_tst_inpat_2024_m_pos])</f>
        <v>0</v>
      </c>
      <c r="BL5" s="47">
        <f>SUBTOTAL(109,inpat_T[hts_tst_inpat_2529_f_pos])</f>
        <v>0</v>
      </c>
      <c r="BM5" s="47">
        <f>SUBTOTAL(109,inpat_T[hts_tst_inpat_2529_m_pos])</f>
        <v>0</v>
      </c>
      <c r="BN5" s="47">
        <f>SUBTOTAL(109,inpat_T[hts_tst_inpat_3034_f_pos])</f>
        <v>0</v>
      </c>
      <c r="BO5" s="47">
        <f>SUBTOTAL(109,inpat_T[hts_tst_inpat_3034_m_pos])</f>
        <v>0</v>
      </c>
      <c r="BP5" s="47">
        <f>SUBTOTAL(109,inpat_T[hts_tst_inpat_3539_f_pos])</f>
        <v>0</v>
      </c>
      <c r="BQ5" s="47">
        <f>SUBTOTAL(109,inpat_T[hts_tst_inpat_3539_m_pos])</f>
        <v>0</v>
      </c>
      <c r="BR5" s="47">
        <f>SUBTOTAL(109,inpat_T[hts_tst_inpat_4049_f_pos])</f>
        <v>0</v>
      </c>
      <c r="BS5" s="47">
        <f>SUBTOTAL(109,inpat_T[hts_tst_inpat_4049_m_pos])</f>
        <v>0</v>
      </c>
      <c r="BT5" s="47">
        <f>SUBTOTAL(109,inpat_T[hts_tst_inpat_o50_f_pos])</f>
        <v>0</v>
      </c>
      <c r="BU5" s="47">
        <f>SUBTOTAL(109,inpat_T[hts_tst_inpat_o50_m_pos])</f>
        <v>0</v>
      </c>
      <c r="BV5" s="47">
        <f>SUBTOTAL(109,inpat_T[hts_tst_inpat_1519_f_neg])</f>
        <v>0</v>
      </c>
      <c r="BW5" s="47">
        <f>SUBTOTAL(109,inpat_T[hts_tst_inpat_1519_m_neg])</f>
        <v>0</v>
      </c>
      <c r="BX5" s="47">
        <f>SUBTOTAL(109,inpat_T[hts_tst_inpat_2024_f_neg])</f>
        <v>0</v>
      </c>
      <c r="BY5" s="47">
        <f>SUBTOTAL(109,inpat_T[hts_tst_inpat_2024_m_neg])</f>
        <v>0</v>
      </c>
      <c r="BZ5" s="47">
        <f>SUBTOTAL(109,inpat_T[hts_tst_inpat_2529_f_neg])</f>
        <v>0</v>
      </c>
      <c r="CA5" s="47">
        <f>SUBTOTAL(109,inpat_T[hts_tst_inpat_2529_m_neg])</f>
        <v>0</v>
      </c>
      <c r="CB5" s="47">
        <f>SUBTOTAL(109,inpat_T[hts_tst_inpat_3034_f_neg])</f>
        <v>0</v>
      </c>
      <c r="CC5" s="47">
        <f>SUBTOTAL(109,inpat_T[hts_tst_inpat_3034_m_neg])</f>
        <v>0</v>
      </c>
      <c r="CD5" s="47">
        <f>SUBTOTAL(109,inpat_T[hts_tst_inpat_3539_f_neg])</f>
        <v>0</v>
      </c>
      <c r="CE5" s="47">
        <f>SUBTOTAL(109,inpat_T[hts_tst_inpat_3539_m_neg])</f>
        <v>0</v>
      </c>
      <c r="CF5" s="47">
        <f>SUBTOTAL(109,inpat_T[hts_tst_inpat_4049_f_neg])</f>
        <v>0</v>
      </c>
      <c r="CG5" s="47">
        <f>SUBTOTAL(109,inpat_T[hts_tst_inpat_4049_m_neg])</f>
        <v>0</v>
      </c>
      <c r="CH5" s="47">
        <f>SUBTOTAL(109,inpat_T[hts_tst_inpat_o50_f_neg])</f>
        <v>0</v>
      </c>
      <c r="CI5" s="47">
        <f>SUBTOTAL(109,inpat_T[hts_tst_inpat_o50_m_neg])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1058</v>
      </c>
      <c r="K6" s="25" t="s">
        <v>1059</v>
      </c>
      <c r="L6" s="25" t="s">
        <v>1060</v>
      </c>
      <c r="M6" s="25" t="s">
        <v>1061</v>
      </c>
      <c r="N6" s="25" t="s">
        <v>1062</v>
      </c>
      <c r="O6" s="25" t="s">
        <v>1063</v>
      </c>
      <c r="P6" s="25" t="s">
        <v>1064</v>
      </c>
      <c r="Q6" s="25" t="s">
        <v>1065</v>
      </c>
      <c r="R6" s="25" t="s">
        <v>1066</v>
      </c>
      <c r="S6" s="25" t="s">
        <v>1067</v>
      </c>
      <c r="T6" s="25" t="s">
        <v>1068</v>
      </c>
      <c r="U6" s="25" t="s">
        <v>1069</v>
      </c>
      <c r="V6" s="25" t="s">
        <v>1070</v>
      </c>
      <c r="W6" s="25" t="s">
        <v>1071</v>
      </c>
      <c r="X6" s="25" t="s">
        <v>1072</v>
      </c>
      <c r="Y6" s="25" t="s">
        <v>1073</v>
      </c>
      <c r="Z6" s="25" t="s">
        <v>1074</v>
      </c>
      <c r="AA6" s="25" t="s">
        <v>1075</v>
      </c>
      <c r="AB6" s="25" t="s">
        <v>1076</v>
      </c>
      <c r="AC6" s="25" t="s">
        <v>1077</v>
      </c>
      <c r="AD6" s="25" t="s">
        <v>1078</v>
      </c>
      <c r="AE6" s="25" t="s">
        <v>1079</v>
      </c>
      <c r="AF6" s="25" t="s">
        <v>1080</v>
      </c>
      <c r="AG6" s="25" t="s">
        <v>1081</v>
      </c>
      <c r="AH6" s="25" t="s">
        <v>1082</v>
      </c>
      <c r="AI6" s="25" t="s">
        <v>1083</v>
      </c>
      <c r="AJ6" s="25" t="s">
        <v>1084</v>
      </c>
      <c r="AK6" s="25" t="s">
        <v>1085</v>
      </c>
      <c r="AL6" s="25" t="s">
        <v>1086</v>
      </c>
      <c r="AM6" s="25" t="s">
        <v>1087</v>
      </c>
      <c r="AN6" s="25" t="s">
        <v>1088</v>
      </c>
      <c r="AO6" s="25" t="s">
        <v>1089</v>
      </c>
      <c r="AP6" s="25" t="s">
        <v>1090</v>
      </c>
      <c r="AQ6" s="25" t="s">
        <v>1091</v>
      </c>
      <c r="AR6" s="25" t="s">
        <v>1092</v>
      </c>
      <c r="AS6" s="25" t="s">
        <v>1093</v>
      </c>
      <c r="AT6" s="25" t="s">
        <v>245</v>
      </c>
      <c r="AU6" s="25" t="s">
        <v>257</v>
      </c>
      <c r="AV6" s="25" t="s">
        <v>1094</v>
      </c>
      <c r="AW6" s="25" t="s">
        <v>225</v>
      </c>
      <c r="AX6" s="25" t="s">
        <v>235</v>
      </c>
      <c r="AY6" s="25" t="s">
        <v>1095</v>
      </c>
      <c r="AZ6" s="25" t="s">
        <v>1096</v>
      </c>
      <c r="BA6" s="25" t="s">
        <v>1097</v>
      </c>
      <c r="BB6" s="25" t="s">
        <v>1098</v>
      </c>
      <c r="BC6" s="25" t="s">
        <v>1099</v>
      </c>
      <c r="BD6" s="25" t="s">
        <v>1100</v>
      </c>
      <c r="BE6" s="25" t="s">
        <v>1101</v>
      </c>
      <c r="BF6" s="25" t="s">
        <v>1102</v>
      </c>
      <c r="BG6" s="25" t="s">
        <v>1103</v>
      </c>
      <c r="BH6" s="25" t="s">
        <v>1104</v>
      </c>
      <c r="BI6" s="25" t="s">
        <v>1105</v>
      </c>
      <c r="BJ6" s="25" t="s">
        <v>1106</v>
      </c>
      <c r="BK6" s="25" t="s">
        <v>1107</v>
      </c>
      <c r="BL6" s="25" t="s">
        <v>1108</v>
      </c>
      <c r="BM6" s="25" t="s">
        <v>1109</v>
      </c>
      <c r="BN6" s="25" t="s">
        <v>1110</v>
      </c>
      <c r="BO6" s="25" t="s">
        <v>1111</v>
      </c>
      <c r="BP6" s="25" t="s">
        <v>1112</v>
      </c>
      <c r="BQ6" s="25" t="s">
        <v>1113</v>
      </c>
      <c r="BR6" s="25" t="s">
        <v>1114</v>
      </c>
      <c r="BS6" s="25" t="s">
        <v>1115</v>
      </c>
      <c r="BT6" s="25" t="s">
        <v>1116</v>
      </c>
      <c r="BU6" s="25" t="s">
        <v>1117</v>
      </c>
      <c r="BV6" s="25" t="s">
        <v>1118</v>
      </c>
      <c r="BW6" s="25" t="s">
        <v>1119</v>
      </c>
      <c r="BX6" s="25" t="s">
        <v>1120</v>
      </c>
      <c r="BY6" s="25" t="s">
        <v>1121</v>
      </c>
      <c r="BZ6" s="25" t="s">
        <v>1122</v>
      </c>
      <c r="CA6" s="25" t="s">
        <v>1123</v>
      </c>
      <c r="CB6" s="25" t="s">
        <v>1124</v>
      </c>
      <c r="CC6" s="25" t="s">
        <v>1125</v>
      </c>
      <c r="CD6" s="25" t="s">
        <v>1126</v>
      </c>
      <c r="CE6" s="25" t="s">
        <v>1127</v>
      </c>
      <c r="CF6" s="25" t="s">
        <v>1128</v>
      </c>
      <c r="CG6" s="25" t="s">
        <v>1129</v>
      </c>
      <c r="CH6" s="25" t="s">
        <v>1130</v>
      </c>
      <c r="CI6" s="25" t="s">
        <v>1131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inpat_T[[D_hts_tst_pos_inpat_u15_fy19]:[D_hts_tst_pos_inpat_u15_fy19]]*inpat_T[A_hts_tst_inpat_u1_unk_pos]</f>
        <v>0</v>
      </c>
      <c r="BA7" s="41">
        <f>inpat_T[[D_hts_tst_pos_inpat_u15_fy19]:[D_hts_tst_pos_inpat_u15_fy19]]*inpat_T[A_hts_tst_inpat_0109_unk_pos]</f>
        <v>0</v>
      </c>
      <c r="BB7" s="41">
        <f>inpat_T[[D_hts_tst_pos_inpat_u15_fy19]:[D_hts_tst_pos_inpat_u15_fy19]]*inpat_T[A_hts_tst_inpat_1014_f_pos]</f>
        <v>0</v>
      </c>
      <c r="BC7" s="41">
        <f>inpat_T[[D_hts_tst_pos_inpat_u15_fy19]:[D_hts_tst_pos_inpat_u15_fy19]]*inpat_T[A_hts_tst_inpat_1014_m_pos]</f>
        <v>0</v>
      </c>
      <c r="BD7" s="41">
        <f>inpat_T[[D_hts_tst_neg_inpat_u15_fy19]:[D_hts_tst_neg_inpat_u15_fy19]]*inpat_T[A_hts_tst_inpat_u1_unk_neg]</f>
        <v>0</v>
      </c>
      <c r="BE7" s="41">
        <f>inpat_T[[D_hts_tst_neg_inpat_u15_fy19]:[D_hts_tst_neg_inpat_u15_fy19]]*inpat_T[A_hts_tst_inpat_0109_unk_neg]</f>
        <v>0</v>
      </c>
      <c r="BF7" s="41">
        <f>inpat_T[[D_hts_tst_neg_inpat_u15_fy19]:[D_hts_tst_neg_inpat_u15_fy19]]*inpat_T[A_hts_tst_inpat_1014_f_neg]</f>
        <v>0</v>
      </c>
      <c r="BG7" s="41">
        <f>inpat_T[[D_hts_tst_neg_inpat_u15_fy19]:[D_hts_tst_neg_inpat_u15_fy19]]*inpat_T[A_hts_tst_inpat_1014_m_neg]</f>
        <v>0</v>
      </c>
      <c r="BH7" s="41">
        <f>inpat_T[[D_hts_tst_pos_inpat_o15_fy19]:[D_hts_tst_pos_inpat_o15_fy19]]*inpat_T[A_hts_tst_inpat_1519_f_pos]</f>
        <v>0</v>
      </c>
      <c r="BI7" s="41">
        <f>inpat_T[[D_hts_tst_pos_inpat_o15_fy19]:[D_hts_tst_pos_inpat_o15_fy19]]*inpat_T[A_hts_tst_inpat_1519_m_pos]</f>
        <v>0</v>
      </c>
      <c r="BJ7" s="41">
        <f>inpat_T[[D_hts_tst_pos_inpat_o15_fy19]:[D_hts_tst_pos_inpat_o15_fy19]]*inpat_T[A_hts_tst_inpat_2024_f_pos]</f>
        <v>0</v>
      </c>
      <c r="BK7" s="41">
        <f>inpat_T[[D_hts_tst_pos_inpat_o15_fy19]:[D_hts_tst_pos_inpat_o15_fy19]]*inpat_T[A_hts_tst_inpat_2024_m_pos]</f>
        <v>0</v>
      </c>
      <c r="BL7" s="41">
        <f>inpat_T[[D_hts_tst_pos_inpat_o15_fy19]:[D_hts_tst_pos_inpat_o15_fy19]]*inpat_T[A_hts_tst_inpat_2529_f_pos]</f>
        <v>0</v>
      </c>
      <c r="BM7" s="41">
        <f>inpat_T[[D_hts_tst_pos_inpat_o15_fy19]:[D_hts_tst_pos_inpat_o15_fy19]]*inpat_T[A_hts_tst_inpat_2529_m_pos]</f>
        <v>0</v>
      </c>
      <c r="BN7" s="41">
        <f>inpat_T[[D_hts_tst_pos_inpat_o15_fy19]:[D_hts_tst_pos_inpat_o15_fy19]]*inpat_T[A_hts_tst_inpat_3034_f_pos]</f>
        <v>0</v>
      </c>
      <c r="BO7" s="41">
        <f>inpat_T[[D_hts_tst_pos_inpat_o15_fy19]:[D_hts_tst_pos_inpat_o15_fy19]]*inpat_T[A_hts_tst_inpat_3034_m__pos]</f>
        <v>0</v>
      </c>
      <c r="BP7" s="41">
        <f>inpat_T[[D_hts_tst_pos_inpat_o15_fy19]:[D_hts_tst_pos_inpat_o15_fy19]]*inpat_T[A_hts_tst_inpat_3539_f_pos]</f>
        <v>0</v>
      </c>
      <c r="BQ7" s="41">
        <f>inpat_T[[D_hts_tst_pos_inpat_o15_fy19]:[D_hts_tst_pos_inpat_o15_fy19]]*inpat_T[A_hts_tst_inpat_3539_m__pos]</f>
        <v>0</v>
      </c>
      <c r="BR7" s="41">
        <f>inpat_T[[D_hts_tst_pos_inpat_o15_fy19]:[D_hts_tst_pos_inpat_o15_fy19]]*inpat_T[A_hts_tst_inpat_4049_f_pos]</f>
        <v>0</v>
      </c>
      <c r="BS7" s="41">
        <f>inpat_T[[D_hts_tst_pos_inpat_o15_fy19]:[D_hts_tst_pos_inpat_o15_fy19]]*inpat_T[A_hts_tst_inpat_4049_m_pos]</f>
        <v>0</v>
      </c>
      <c r="BT7" s="41">
        <f>inpat_T[[D_hts_tst_pos_inpat_o15_fy19]:[D_hts_tst_pos_inpat_o15_fy19]]*inpat_T[A_hts_tst_inpat_o50_f_pos]</f>
        <v>0</v>
      </c>
      <c r="BU7" s="41">
        <f>inpat_T[[D_hts_tst_pos_inpat_o15_fy19]:[D_hts_tst_pos_inpat_o15_fy19]]*inpat_T[A_hts_tst_inpat_o50_m_pos]</f>
        <v>0</v>
      </c>
      <c r="BV7" s="41">
        <f>inpat_T[[D_hts_tst_neg_inpat_o15_fy19]:[D_hts_tst_neg_inpat_o15_fy19]]*inpat_T[A_hts_tst_inpat_1519_f_neg]</f>
        <v>0</v>
      </c>
      <c r="BW7" s="41">
        <f>inpat_T[[D_hts_tst_neg_inpat_o15_fy19]:[D_hts_tst_neg_inpat_o15_fy19]]*inpat_T[A_hts_tst_inpat_1519_m_neg]</f>
        <v>0</v>
      </c>
      <c r="BX7" s="41">
        <f>inpat_T[[D_hts_tst_neg_inpat_o15_fy19]:[D_hts_tst_neg_inpat_o15_fy19]]*inpat_T[A_hts_tst_inpat_2024_f_neg]</f>
        <v>0</v>
      </c>
      <c r="BY7" s="41">
        <f>inpat_T[[D_hts_tst_neg_inpat_o15_fy19]:[D_hts_tst_neg_inpat_o15_fy19]]*inpat_T[A_hts_tst_inpat_2024_m_neg]</f>
        <v>0</v>
      </c>
      <c r="BZ7" s="41">
        <f>inpat_T[[D_hts_tst_neg_inpat_o15_fy19]:[D_hts_tst_neg_inpat_o15_fy19]]*inpat_T[A_hts_tst_inpat_2529_f_neg]</f>
        <v>0</v>
      </c>
      <c r="CA7" s="41">
        <f>inpat_T[[D_hts_tst_neg_inpat_o15_fy19]:[D_hts_tst_neg_inpat_o15_fy19]]*inpat_T[A_hts_tst_inpat_2529_m_neg]</f>
        <v>0</v>
      </c>
      <c r="CB7" s="41">
        <f>inpat_T[[D_hts_tst_neg_inpat_o15_fy19]:[D_hts_tst_neg_inpat_o15_fy19]]*inpat_T[A_hts_tst_inpat_3034_f_neg]</f>
        <v>0</v>
      </c>
      <c r="CC7" s="41">
        <f>inpat_T[[D_hts_tst_neg_inpat_o15_fy19]:[D_hts_tst_neg_inpat_o15_fy19]]*inpat_T[A_hts_tst_inpat_3034_m_neg]</f>
        <v>0</v>
      </c>
      <c r="CD7" s="41">
        <f>inpat_T[[D_hts_tst_neg_inpat_o15_fy19]:[D_hts_tst_neg_inpat_o15_fy19]]*inpat_T[A_hts_tst_inpat_3539_f_neg]</f>
        <v>0</v>
      </c>
      <c r="CE7" s="41">
        <f>inpat_T[[D_hts_tst_neg_inpat_o15_fy19]:[D_hts_tst_neg_inpat_o15_fy19]]*inpat_T[A_hts_tst_inpat_3539_m_neg]</f>
        <v>0</v>
      </c>
      <c r="CF7" s="41">
        <f>inpat_T[[D_hts_tst_neg_inpat_o15_fy19]:[D_hts_tst_neg_inpat_o15_fy19]]*inpat_T[A_hts_tst_inpat_4049_f_neg]</f>
        <v>0</v>
      </c>
      <c r="CG7" s="41">
        <f>inpat_T[[D_hts_tst_neg_inpat_o15_fy19]:[D_hts_tst_neg_inpat_o15_fy19]]*inpat_T[A_hts_tst_inpat_4049_m_neg]</f>
        <v>0</v>
      </c>
      <c r="CH7" s="41">
        <f>inpat_T[[D_hts_tst_neg_inpat_o15_fy19]:[D_hts_tst_neg_inpat_o15_fy19]]*inpat_T[A_hts_tst_inpat_o50_f_neg]</f>
        <v>0</v>
      </c>
      <c r="CI7" s="41">
        <f>inpat_T[[D_hts_tst_neg_inpat_o15_fy19]:[D_hts_tst_neg_inpat_o15_fy19]]*inpat_T[A_hts_tst_inpat_o50_m_neg]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1132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SUBTOTAL(109,emergency_T[hts_tst_emergency_u1_unk_pos])</f>
        <v>0</v>
      </c>
      <c r="BA5" s="47">
        <f>SUBTOTAL(109,emergency_T[hts_tst_emergency_0109_unk_pos])</f>
        <v>0</v>
      </c>
      <c r="BB5" s="47">
        <f>SUBTOTAL(109,emergency_T[hts_tst_emergency_1014_f_pos])</f>
        <v>0</v>
      </c>
      <c r="BC5" s="47">
        <f>SUBTOTAL(109,emergency_T[hts_tst_emergency_1014_m_pos])</f>
        <v>0</v>
      </c>
      <c r="BD5" s="47">
        <f>SUBTOTAL(109,emergency_T[hts_tst_emergency_u1_unk_neg])</f>
        <v>0</v>
      </c>
      <c r="BE5" s="47">
        <f>SUBTOTAL(109,emergency_T[hts_tst_emergency_0109_unk_neg])</f>
        <v>0</v>
      </c>
      <c r="BF5" s="47">
        <f>SUBTOTAL(109,emergency_T[hts_tst_emergency_1014_f_neg])</f>
        <v>0</v>
      </c>
      <c r="BG5" s="47">
        <f>SUBTOTAL(109,emergency_T[hts_tst_emergency_1014_m_neg])</f>
        <v>0</v>
      </c>
      <c r="BH5" s="47">
        <f>SUBTOTAL(109,emergency_T[hts_tst_emergency_1519_f_pos])</f>
        <v>0</v>
      </c>
      <c r="BI5" s="47">
        <f>SUBTOTAL(109,emergency_T[hts_tst_emergency_1519_m_pos])</f>
        <v>0</v>
      </c>
      <c r="BJ5" s="47">
        <f>SUBTOTAL(109,emergency_T[hts_tst_emergency_2024_f_pos])</f>
        <v>0</v>
      </c>
      <c r="BK5" s="47">
        <f>SUBTOTAL(109,emergency_T[hts_tst_emergency_2024_m_pos])</f>
        <v>0</v>
      </c>
      <c r="BL5" s="47">
        <f>SUBTOTAL(109,emergency_T[hts_tst_emergency_2529_f_pos])</f>
        <v>0</v>
      </c>
      <c r="BM5" s="47">
        <f>SUBTOTAL(109,emergency_T[hts_tst_emergency_2529_m_pos])</f>
        <v>0</v>
      </c>
      <c r="BN5" s="47">
        <f>SUBTOTAL(109,emergency_T[hts_tst_emergency_3034_f_pos])</f>
        <v>0</v>
      </c>
      <c r="BO5" s="47">
        <f>SUBTOTAL(109,emergency_T[hts_tst_emergency_3034_m_pos])</f>
        <v>0</v>
      </c>
      <c r="BP5" s="47">
        <f>SUBTOTAL(109,emergency_T[hts_tst_emergency_3539_f_pos])</f>
        <v>0</v>
      </c>
      <c r="BQ5" s="47">
        <f>SUBTOTAL(109,emergency_T[hts_tst_emergency_3539_m_pos])</f>
        <v>0</v>
      </c>
      <c r="BR5" s="47">
        <f>SUBTOTAL(109,emergency_T[hts_tst_emergency_4049_f_pos])</f>
        <v>0</v>
      </c>
      <c r="BS5" s="47">
        <f>SUBTOTAL(109,emergency_T[hts_tst_emergency_4049_m_pos])</f>
        <v>0</v>
      </c>
      <c r="BT5" s="47">
        <f>SUBTOTAL(109,emergency_T[hts_tst_emergency_o50_f_pos])</f>
        <v>0</v>
      </c>
      <c r="BU5" s="47">
        <f>SUBTOTAL(109,emergency_T[hts_tst_emergency_o50_m_pos])</f>
        <v>0</v>
      </c>
      <c r="BV5" s="47">
        <f>SUBTOTAL(109,emergency_T[hts_tst_emergency_1519_f_neg])</f>
        <v>0</v>
      </c>
      <c r="BW5" s="47">
        <f>SUBTOTAL(109,emergency_T[hts_tst_emergency_1519_m_neg])</f>
        <v>0</v>
      </c>
      <c r="BX5" s="47">
        <f>SUBTOTAL(109,emergency_T[hts_tst_emergency_2024_f_neg])</f>
        <v>0</v>
      </c>
      <c r="BY5" s="47">
        <f>SUBTOTAL(109,emergency_T[hts_tst_emergency_2024_m_neg])</f>
        <v>0</v>
      </c>
      <c r="BZ5" s="47">
        <f>SUBTOTAL(109,emergency_T[hts_tst_emergency_2529_f_neg])</f>
        <v>0</v>
      </c>
      <c r="CA5" s="47">
        <f>SUBTOTAL(109,emergency_T[hts_tst_emergency_2529_m_neg])</f>
        <v>0</v>
      </c>
      <c r="CB5" s="47">
        <f>SUBTOTAL(109,emergency_T[hts_tst_emergency_3034_f_neg])</f>
        <v>0</v>
      </c>
      <c r="CC5" s="47">
        <f>SUBTOTAL(109,emergency_T[hts_tst_emergency_3034_m_neg])</f>
        <v>0</v>
      </c>
      <c r="CD5" s="47">
        <f>SUBTOTAL(109,emergency_T[hts_tst_emergency_3539_f_neg])</f>
        <v>0</v>
      </c>
      <c r="CE5" s="47">
        <f>SUBTOTAL(109,emergency_T[hts_tst_emergency_3539_m_neg])</f>
        <v>0</v>
      </c>
      <c r="CF5" s="47">
        <f>SUBTOTAL(109,emergency_T[hts_tst_emergency_4049_f_neg])</f>
        <v>0</v>
      </c>
      <c r="CG5" s="47">
        <f>SUBTOTAL(109,emergency_T[hts_tst_emergency_4049_m_neg])</f>
        <v>0</v>
      </c>
      <c r="CH5" s="47">
        <f>SUBTOTAL(109,emergency_T[hts_tst_emergency_o50_f_neg])</f>
        <v>0</v>
      </c>
      <c r="CI5" s="47">
        <f>SUBTOTAL(109,emergency_T[hts_tst_emergency_o50_m_neg])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1133</v>
      </c>
      <c r="K6" s="25" t="s">
        <v>1134</v>
      </c>
      <c r="L6" s="25" t="s">
        <v>1135</v>
      </c>
      <c r="M6" s="25" t="s">
        <v>1136</v>
      </c>
      <c r="N6" s="25" t="s">
        <v>1137</v>
      </c>
      <c r="O6" s="25" t="s">
        <v>1138</v>
      </c>
      <c r="P6" s="25" t="s">
        <v>1139</v>
      </c>
      <c r="Q6" s="25" t="s">
        <v>1140</v>
      </c>
      <c r="R6" s="25" t="s">
        <v>1141</v>
      </c>
      <c r="S6" s="25" t="s">
        <v>1142</v>
      </c>
      <c r="T6" s="25" t="s">
        <v>1143</v>
      </c>
      <c r="U6" s="25" t="s">
        <v>1144</v>
      </c>
      <c r="V6" s="25" t="s">
        <v>1145</v>
      </c>
      <c r="W6" s="25" t="s">
        <v>1146</v>
      </c>
      <c r="X6" s="25" t="s">
        <v>1147</v>
      </c>
      <c r="Y6" s="25" t="s">
        <v>1148</v>
      </c>
      <c r="Z6" s="25" t="s">
        <v>1149</v>
      </c>
      <c r="AA6" s="25" t="s">
        <v>1150</v>
      </c>
      <c r="AB6" s="25" t="s">
        <v>1151</v>
      </c>
      <c r="AC6" s="25" t="s">
        <v>1152</v>
      </c>
      <c r="AD6" s="25" t="s">
        <v>1153</v>
      </c>
      <c r="AE6" s="25" t="s">
        <v>1154</v>
      </c>
      <c r="AF6" s="25" t="s">
        <v>1155</v>
      </c>
      <c r="AG6" s="25" t="s">
        <v>1156</v>
      </c>
      <c r="AH6" s="25" t="s">
        <v>1157</v>
      </c>
      <c r="AI6" s="25" t="s">
        <v>1158</v>
      </c>
      <c r="AJ6" s="25" t="s">
        <v>1159</v>
      </c>
      <c r="AK6" s="25" t="s">
        <v>1160</v>
      </c>
      <c r="AL6" s="25" t="s">
        <v>1161</v>
      </c>
      <c r="AM6" s="25" t="s">
        <v>1162</v>
      </c>
      <c r="AN6" s="25" t="s">
        <v>1163</v>
      </c>
      <c r="AO6" s="25" t="s">
        <v>1164</v>
      </c>
      <c r="AP6" s="25" t="s">
        <v>1165</v>
      </c>
      <c r="AQ6" s="25" t="s">
        <v>1166</v>
      </c>
      <c r="AR6" s="25" t="s">
        <v>1167</v>
      </c>
      <c r="AS6" s="25" t="s">
        <v>1168</v>
      </c>
      <c r="AT6" s="25" t="s">
        <v>246</v>
      </c>
      <c r="AU6" s="25" t="s">
        <v>258</v>
      </c>
      <c r="AV6" s="25" t="s">
        <v>1169</v>
      </c>
      <c r="AW6" s="25" t="s">
        <v>226</v>
      </c>
      <c r="AX6" s="25" t="s">
        <v>236</v>
      </c>
      <c r="AY6" s="25" t="s">
        <v>1170</v>
      </c>
      <c r="AZ6" s="25" t="s">
        <v>1171</v>
      </c>
      <c r="BA6" s="25" t="s">
        <v>1172</v>
      </c>
      <c r="BB6" s="25" t="s">
        <v>1173</v>
      </c>
      <c r="BC6" s="25" t="s">
        <v>1174</v>
      </c>
      <c r="BD6" s="25" t="s">
        <v>1175</v>
      </c>
      <c r="BE6" s="25" t="s">
        <v>1176</v>
      </c>
      <c r="BF6" s="25" t="s">
        <v>1177</v>
      </c>
      <c r="BG6" s="25" t="s">
        <v>1178</v>
      </c>
      <c r="BH6" s="25" t="s">
        <v>1179</v>
      </c>
      <c r="BI6" s="25" t="s">
        <v>1180</v>
      </c>
      <c r="BJ6" s="25" t="s">
        <v>1181</v>
      </c>
      <c r="BK6" s="25" t="s">
        <v>1182</v>
      </c>
      <c r="BL6" s="25" t="s">
        <v>1183</v>
      </c>
      <c r="BM6" s="25" t="s">
        <v>1184</v>
      </c>
      <c r="BN6" s="25" t="s">
        <v>1185</v>
      </c>
      <c r="BO6" s="25" t="s">
        <v>1186</v>
      </c>
      <c r="BP6" s="25" t="s">
        <v>1187</v>
      </c>
      <c r="BQ6" s="25" t="s">
        <v>1188</v>
      </c>
      <c r="BR6" s="25" t="s">
        <v>1189</v>
      </c>
      <c r="BS6" s="25" t="s">
        <v>1190</v>
      </c>
      <c r="BT6" s="25" t="s">
        <v>1191</v>
      </c>
      <c r="BU6" s="25" t="s">
        <v>1192</v>
      </c>
      <c r="BV6" s="25" t="s">
        <v>1193</v>
      </c>
      <c r="BW6" s="25" t="s">
        <v>1194</v>
      </c>
      <c r="BX6" s="25" t="s">
        <v>1195</v>
      </c>
      <c r="BY6" s="25" t="s">
        <v>1196</v>
      </c>
      <c r="BZ6" s="25" t="s">
        <v>1197</v>
      </c>
      <c r="CA6" s="25" t="s">
        <v>1198</v>
      </c>
      <c r="CB6" s="25" t="s">
        <v>1199</v>
      </c>
      <c r="CC6" s="25" t="s">
        <v>1200</v>
      </c>
      <c r="CD6" s="25" t="s">
        <v>1201</v>
      </c>
      <c r="CE6" s="25" t="s">
        <v>1202</v>
      </c>
      <c r="CF6" s="25" t="s">
        <v>1203</v>
      </c>
      <c r="CG6" s="25" t="s">
        <v>1204</v>
      </c>
      <c r="CH6" s="25" t="s">
        <v>1205</v>
      </c>
      <c r="CI6" s="25" t="s">
        <v>1206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emergency_T[[D_hts_tst_pos_emergency_u15_fy19]:[D_hts_tst_pos_emergency_u15_fy19]]*emergency_T[A_hts_tst_emergency_u1_unk_pos]</f>
        <v>0</v>
      </c>
      <c r="BA7" s="41">
        <f>emergency_T[[D_hts_tst_pos_emergency_u15_fy19]:[D_hts_tst_pos_emergency_u15_fy19]]*emergency_T[A_hts_tst_emergency_0109_unk_pos]</f>
        <v>0</v>
      </c>
      <c r="BB7" s="41">
        <f>emergency_T[[D_hts_tst_pos_emergency_u15_fy19]:[D_hts_tst_pos_emergency_u15_fy19]]*emergency_T[A_hts_tst_emergency_1014_f_pos]</f>
        <v>0</v>
      </c>
      <c r="BC7" s="41">
        <f>emergency_T[[D_hts_tst_pos_emergency_u15_fy19]:[D_hts_tst_pos_emergency_u15_fy19]]*emergency_T[A_hts_tst_emergency_1014_m_pos]</f>
        <v>0</v>
      </c>
      <c r="BD7" s="41">
        <f>emergency_T[[D_hts_tst_neg_emergency_u15_fy19]:[D_hts_tst_neg_emergency_u15_fy19]]*emergency_T[A_hts_tst_emergency_u1_unk_neg]</f>
        <v>0</v>
      </c>
      <c r="BE7" s="41">
        <f>emergency_T[[D_hts_tst_neg_emergency_u15_fy19]:[D_hts_tst_neg_emergency_u15_fy19]]*emergency_T[A_hts_tst_emergency_0109_unk_neg]</f>
        <v>0</v>
      </c>
      <c r="BF7" s="41">
        <f>emergency_T[[D_hts_tst_neg_emergency_u15_fy19]:[D_hts_tst_neg_emergency_u15_fy19]]*emergency_T[A_hts_tst_emergency_1014_f_neg]</f>
        <v>0</v>
      </c>
      <c r="BG7" s="41">
        <f>emergency_T[[D_hts_tst_neg_emergency_u15_fy19]:[D_hts_tst_neg_emergency_u15_fy19]]*emergency_T[A_hts_tst_emergency_1014_m_neg]</f>
        <v>0</v>
      </c>
      <c r="BH7" s="41">
        <f>emergency_T[[D_hts_tst_pos_emergency_o15_fy19]:[D_hts_tst_pos_emergency_o15_fy19]]*emergency_T[A_hts_tst_emergency_1519_f_pos]</f>
        <v>0</v>
      </c>
      <c r="BI7" s="41">
        <f>emergency_T[[D_hts_tst_pos_emergency_o15_fy19]:[D_hts_tst_pos_emergency_o15_fy19]]*emergency_T[A_hts_tst_emergency_1519_m_pos]</f>
        <v>0</v>
      </c>
      <c r="BJ7" s="41">
        <f>emergency_T[[D_hts_tst_pos_emergency_o15_fy19]:[D_hts_tst_pos_emergency_o15_fy19]]*emergency_T[A_hts_tst_emergency_2024_f_pos]</f>
        <v>0</v>
      </c>
      <c r="BK7" s="41">
        <f>emergency_T[[D_hts_tst_pos_emergency_o15_fy19]:[D_hts_tst_pos_emergency_o15_fy19]]*emergency_T[A_hts_tst_emergency_2024_m_pos]</f>
        <v>0</v>
      </c>
      <c r="BL7" s="41">
        <f>emergency_T[[D_hts_tst_pos_emergency_o15_fy19]:[D_hts_tst_pos_emergency_o15_fy19]]*emergency_T[A_hts_tst_emergency_2529_f_pos]</f>
        <v>0</v>
      </c>
      <c r="BM7" s="41">
        <f>emergency_T[[D_hts_tst_pos_emergency_o15_fy19]:[D_hts_tst_pos_emergency_o15_fy19]]*emergency_T[A_hts_tst_emergency_2529_m_pos]</f>
        <v>0</v>
      </c>
      <c r="BN7" s="41">
        <f>emergency_T[[D_hts_tst_pos_emergency_o15_fy19]:[D_hts_tst_pos_emergency_o15_fy19]]*emergency_T[A_hts_tst_emergency_3034_f_pos]</f>
        <v>0</v>
      </c>
      <c r="BO7" s="41">
        <f>emergency_T[[D_hts_tst_pos_emergency_o15_fy19]:[D_hts_tst_pos_emergency_o15_fy19]]*emergency_T[A_hts_tst_emergency_3034_m__pos]</f>
        <v>0</v>
      </c>
      <c r="BP7" s="41">
        <f>emergency_T[[D_hts_tst_pos_emergency_o15_fy19]:[D_hts_tst_pos_emergency_o15_fy19]]*emergency_T[A_hts_tst_emergency_3539_f_pos]</f>
        <v>0</v>
      </c>
      <c r="BQ7" s="41">
        <f>emergency_T[[D_hts_tst_pos_emergency_o15_fy19]:[D_hts_tst_pos_emergency_o15_fy19]]*emergency_T[A_hts_tst_emergency_3539_m__pos]</f>
        <v>0</v>
      </c>
      <c r="BR7" s="41">
        <f>emergency_T[[D_hts_tst_pos_emergency_o15_fy19]:[D_hts_tst_pos_emergency_o15_fy19]]*emergency_T[A_hts_tst_emergency_4049_f_pos]</f>
        <v>0</v>
      </c>
      <c r="BS7" s="41">
        <f>emergency_T[[D_hts_tst_pos_emergency_o15_fy19]:[D_hts_tst_pos_emergency_o15_fy19]]*emergency_T[A_hts_tst_emergency_4049_m_pos]</f>
        <v>0</v>
      </c>
      <c r="BT7" s="41">
        <f>emergency_T[[D_hts_tst_pos_emergency_o15_fy19]:[D_hts_tst_pos_emergency_o15_fy19]]*emergency_T[A_hts_tst_emergency_o50_f_pos]</f>
        <v>0</v>
      </c>
      <c r="BU7" s="41">
        <f>emergency_T[[D_hts_tst_pos_emergency_o15_fy19]:[D_hts_tst_pos_emergency_o15_fy19]]*emergency_T[A_hts_tst_emergency_o50_m_pos]</f>
        <v>0</v>
      </c>
      <c r="BV7" s="41">
        <f>emergency_T[[D_hts_tst_neg_emergency_o15_fy19]:[D_hts_tst_neg_emergency_o15_fy19]]*emergency_T[A_hts_tst_emergency_1519_f_neg]</f>
        <v>0</v>
      </c>
      <c r="BW7" s="41">
        <f>emergency_T[[D_hts_tst_neg_emergency_o15_fy19]:[D_hts_tst_neg_emergency_o15_fy19]]*emergency_T[A_hts_tst_emergency_1519_m_neg]</f>
        <v>0</v>
      </c>
      <c r="BX7" s="41">
        <f>emergency_T[[D_hts_tst_neg_emergency_o15_fy19]:[D_hts_tst_neg_emergency_o15_fy19]]*emergency_T[A_hts_tst_emergency_2024_f_neg]</f>
        <v>0</v>
      </c>
      <c r="BY7" s="41">
        <f>emergency_T[[D_hts_tst_neg_emergency_o15_fy19]:[D_hts_tst_neg_emergency_o15_fy19]]*emergency_T[A_hts_tst_emergency_2024_m_neg]</f>
        <v>0</v>
      </c>
      <c r="BZ7" s="41">
        <f>emergency_T[[D_hts_tst_neg_emergency_o15_fy19]:[D_hts_tst_neg_emergency_o15_fy19]]*emergency_T[A_hts_tst_emergency_2529_f_neg]</f>
        <v>0</v>
      </c>
      <c r="CA7" s="41">
        <f>emergency_T[[D_hts_tst_neg_emergency_o15_fy19]:[D_hts_tst_neg_emergency_o15_fy19]]*emergency_T[A_hts_tst_emergency_2529_m_neg]</f>
        <v>0</v>
      </c>
      <c r="CB7" s="41">
        <f>emergency_T[[D_hts_tst_neg_emergency_o15_fy19]:[D_hts_tst_neg_emergency_o15_fy19]]*emergency_T[A_hts_tst_emergency_3034_f_neg]</f>
        <v>0</v>
      </c>
      <c r="CC7" s="41">
        <f>emergency_T[[D_hts_tst_neg_emergency_o15_fy19]:[D_hts_tst_neg_emergency_o15_fy19]]*emergency_T[A_hts_tst_emergency_3034_m_neg]</f>
        <v>0</v>
      </c>
      <c r="CD7" s="41">
        <f>emergency_T[[D_hts_tst_neg_emergency_o15_fy19]:[D_hts_tst_neg_emergency_o15_fy19]]*emergency_T[A_hts_tst_emergency_3539_f_neg]</f>
        <v>0</v>
      </c>
      <c r="CE7" s="41">
        <f>emergency_T[[D_hts_tst_neg_emergency_o15_fy19]:[D_hts_tst_neg_emergency_o15_fy19]]*emergency_T[A_hts_tst_emergency_3539_m_neg]</f>
        <v>0</v>
      </c>
      <c r="CF7" s="41">
        <f>emergency_T[[D_hts_tst_neg_emergency_o15_fy19]:[D_hts_tst_neg_emergency_o15_fy19]]*emergency_T[A_hts_tst_emergency_4049_f_neg]</f>
        <v>0</v>
      </c>
      <c r="CG7" s="41">
        <f>emergency_T[[D_hts_tst_neg_emergency_o15_fy19]:[D_hts_tst_neg_emergency_o15_fy19]]*emergency_T[A_hts_tst_emergency_4049_m_neg]</f>
        <v>0</v>
      </c>
      <c r="CH7" s="41">
        <f>emergency_T[[D_hts_tst_neg_emergency_o15_fy19]:[D_hts_tst_neg_emergency_o15_fy19]]*emergency_T[A_hts_tst_emergency_o50_f_neg]</f>
        <v>0</v>
      </c>
      <c r="CI7" s="41">
        <f>emergency_T[[D_hts_tst_neg_emergency_o15_fy19]:[D_hts_tst_neg_emergency_o15_fy19]]*emergency_T[A_hts_tst_emergency_o50_m_neg]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I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1207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SUBTOTAL(109,vct_T[hts_tst_vct_u1_unk_pos])</f>
        <v>0</v>
      </c>
      <c r="BA5" s="47">
        <f>SUBTOTAL(109,vct_T[hts_tst_vct_0109_unk_pos])</f>
        <v>0</v>
      </c>
      <c r="BB5" s="47">
        <f>SUBTOTAL(109,vct_T[hts_tst_vct_1014_f_pos])</f>
        <v>0</v>
      </c>
      <c r="BC5" s="47">
        <f>SUBTOTAL(109,vct_T[hts_tst_vct_1014_m_pos])</f>
        <v>0</v>
      </c>
      <c r="BD5" s="47">
        <f>SUBTOTAL(109,vct_T[hts_tst_vct_u1_unk_neg])</f>
        <v>0</v>
      </c>
      <c r="BE5" s="47">
        <f>SUBTOTAL(109,vct_T[hts_tst_vct_0109_unk_neg])</f>
        <v>0</v>
      </c>
      <c r="BF5" s="47">
        <f>SUBTOTAL(109,vct_T[hts_tst_vct_1014_f_neg])</f>
        <v>0</v>
      </c>
      <c r="BG5" s="47">
        <f>SUBTOTAL(109,vct_T[hts_tst_vct_1014_m_neg])</f>
        <v>0</v>
      </c>
      <c r="BH5" s="47">
        <f>SUBTOTAL(109,vct_T[hts_tst_vct_1519_f_pos])</f>
        <v>0</v>
      </c>
      <c r="BI5" s="47">
        <f>SUBTOTAL(109,vct_T[hts_tst_vct_1519_m_pos])</f>
        <v>0</v>
      </c>
      <c r="BJ5" s="47">
        <f>SUBTOTAL(109,vct_T[hts_tst_vct_2024_f_pos])</f>
        <v>0</v>
      </c>
      <c r="BK5" s="47">
        <f>SUBTOTAL(109,vct_T[hts_tst_vct_2024_m_pos])</f>
        <v>0</v>
      </c>
      <c r="BL5" s="47">
        <f>SUBTOTAL(109,vct_T[hts_tst_vct_2529_f_pos])</f>
        <v>0</v>
      </c>
      <c r="BM5" s="47">
        <f>SUBTOTAL(109,vct_T[hts_tst_vct_2529_m_pos])</f>
        <v>0</v>
      </c>
      <c r="BN5" s="47">
        <f>SUBTOTAL(109,vct_T[hts_tst_vct_3034_f_pos])</f>
        <v>0</v>
      </c>
      <c r="BO5" s="47">
        <f>SUBTOTAL(109,vct_T[hts_tst_vct_3034_m_pos])</f>
        <v>0</v>
      </c>
      <c r="BP5" s="47">
        <f>SUBTOTAL(109,vct_T[hts_tst_vct_3539_f_pos])</f>
        <v>0</v>
      </c>
      <c r="BQ5" s="47">
        <f>SUBTOTAL(109,vct_T[hts_tst_vct_3539_m_pos])</f>
        <v>0</v>
      </c>
      <c r="BR5" s="47">
        <f>SUBTOTAL(109,vct_T[hts_tst_vct_4049_f_pos])</f>
        <v>0</v>
      </c>
      <c r="BS5" s="47">
        <f>SUBTOTAL(109,vct_T[hts_tst_vct_4049_m_pos])</f>
        <v>0</v>
      </c>
      <c r="BT5" s="47">
        <f>SUBTOTAL(109,vct_T[hts_tst_vct_o50_f_pos])</f>
        <v>0</v>
      </c>
      <c r="BU5" s="47">
        <f>SUBTOTAL(109,vct_T[hts_tst_vct_o50_m_pos])</f>
        <v>0</v>
      </c>
      <c r="BV5" s="47">
        <f>SUBTOTAL(109,vct_T[hts_tst_vct_1519_f_neg])</f>
        <v>0</v>
      </c>
      <c r="BW5" s="47">
        <f>SUBTOTAL(109,vct_T[hts_tst_vct_1519_m_neg])</f>
        <v>0</v>
      </c>
      <c r="BX5" s="47">
        <f>SUBTOTAL(109,vct_T[hts_tst_vct_2024_f_neg])</f>
        <v>0</v>
      </c>
      <c r="BY5" s="47">
        <f>SUBTOTAL(109,vct_T[hts_tst_vct_2024_m_neg])</f>
        <v>0</v>
      </c>
      <c r="BZ5" s="47">
        <f>SUBTOTAL(109,vct_T[hts_tst_vct_2529_f_neg])</f>
        <v>0</v>
      </c>
      <c r="CA5" s="47">
        <f>SUBTOTAL(109,vct_T[hts_tst_vct_2529_m_neg])</f>
        <v>0</v>
      </c>
      <c r="CB5" s="47">
        <f>SUBTOTAL(109,vct_T[hts_tst_vct_3034_f_neg])</f>
        <v>0</v>
      </c>
      <c r="CC5" s="47">
        <f>SUBTOTAL(109,vct_T[hts_tst_vct_3034_m_neg])</f>
        <v>0</v>
      </c>
      <c r="CD5" s="47">
        <f>SUBTOTAL(109,vct_T[hts_tst_vct_3539_f_neg])</f>
        <v>0</v>
      </c>
      <c r="CE5" s="47">
        <f>SUBTOTAL(109,vct_T[hts_tst_vct_3539_m_neg])</f>
        <v>0</v>
      </c>
      <c r="CF5" s="47">
        <f>SUBTOTAL(109,vct_T[hts_tst_vct_4049_f_neg])</f>
        <v>0</v>
      </c>
      <c r="CG5" s="47">
        <f>SUBTOTAL(109,vct_T[hts_tst_vct_4049_m_neg])</f>
        <v>0</v>
      </c>
      <c r="CH5" s="47">
        <f>SUBTOTAL(109,vct_T[hts_tst_vct_o50_f_neg])</f>
        <v>0</v>
      </c>
      <c r="CI5" s="47">
        <f>SUBTOTAL(109,vct_T[hts_tst_vct_o50_m_neg])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1208</v>
      </c>
      <c r="K6" s="25" t="s">
        <v>1209</v>
      </c>
      <c r="L6" s="25" t="s">
        <v>1210</v>
      </c>
      <c r="M6" s="25" t="s">
        <v>1211</v>
      </c>
      <c r="N6" s="25" t="s">
        <v>1212</v>
      </c>
      <c r="O6" s="25" t="s">
        <v>1213</v>
      </c>
      <c r="P6" s="25" t="s">
        <v>1214</v>
      </c>
      <c r="Q6" s="25" t="s">
        <v>1215</v>
      </c>
      <c r="R6" s="25" t="s">
        <v>1216</v>
      </c>
      <c r="S6" s="25" t="s">
        <v>1217</v>
      </c>
      <c r="T6" s="25" t="s">
        <v>1218</v>
      </c>
      <c r="U6" s="25" t="s">
        <v>1219</v>
      </c>
      <c r="V6" s="25" t="s">
        <v>1220</v>
      </c>
      <c r="W6" s="25" t="s">
        <v>1221</v>
      </c>
      <c r="X6" s="25" t="s">
        <v>1222</v>
      </c>
      <c r="Y6" s="25" t="s">
        <v>1223</v>
      </c>
      <c r="Z6" s="25" t="s">
        <v>1224</v>
      </c>
      <c r="AA6" s="25" t="s">
        <v>1225</v>
      </c>
      <c r="AB6" s="25" t="s">
        <v>1226</v>
      </c>
      <c r="AC6" s="25" t="s">
        <v>1227</v>
      </c>
      <c r="AD6" s="25" t="s">
        <v>1228</v>
      </c>
      <c r="AE6" s="25" t="s">
        <v>1229</v>
      </c>
      <c r="AF6" s="25" t="s">
        <v>1230</v>
      </c>
      <c r="AG6" s="25" t="s">
        <v>1231</v>
      </c>
      <c r="AH6" s="25" t="s">
        <v>1232</v>
      </c>
      <c r="AI6" s="25" t="s">
        <v>1233</v>
      </c>
      <c r="AJ6" s="25" t="s">
        <v>1234</v>
      </c>
      <c r="AK6" s="25" t="s">
        <v>1235</v>
      </c>
      <c r="AL6" s="25" t="s">
        <v>1236</v>
      </c>
      <c r="AM6" s="25" t="s">
        <v>1237</v>
      </c>
      <c r="AN6" s="25" t="s">
        <v>1238</v>
      </c>
      <c r="AO6" s="25" t="s">
        <v>1239</v>
      </c>
      <c r="AP6" s="25" t="s">
        <v>1240</v>
      </c>
      <c r="AQ6" s="25" t="s">
        <v>1241</v>
      </c>
      <c r="AR6" s="25" t="s">
        <v>1242</v>
      </c>
      <c r="AS6" s="25" t="s">
        <v>1243</v>
      </c>
      <c r="AT6" s="25" t="s">
        <v>247</v>
      </c>
      <c r="AU6" s="25" t="s">
        <v>259</v>
      </c>
      <c r="AV6" s="25" t="s">
        <v>1244</v>
      </c>
      <c r="AW6" s="25" t="s">
        <v>227</v>
      </c>
      <c r="AX6" s="25" t="s">
        <v>237</v>
      </c>
      <c r="AY6" s="25" t="s">
        <v>1245</v>
      </c>
      <c r="AZ6" s="25" t="s">
        <v>1246</v>
      </c>
      <c r="BA6" s="25" t="s">
        <v>1247</v>
      </c>
      <c r="BB6" s="25" t="s">
        <v>1248</v>
      </c>
      <c r="BC6" s="25" t="s">
        <v>1249</v>
      </c>
      <c r="BD6" s="25" t="s">
        <v>1250</v>
      </c>
      <c r="BE6" s="25" t="s">
        <v>1251</v>
      </c>
      <c r="BF6" s="25" t="s">
        <v>1252</v>
      </c>
      <c r="BG6" s="25" t="s">
        <v>1253</v>
      </c>
      <c r="BH6" s="25" t="s">
        <v>1254</v>
      </c>
      <c r="BI6" s="25" t="s">
        <v>1255</v>
      </c>
      <c r="BJ6" s="25" t="s">
        <v>1256</v>
      </c>
      <c r="BK6" s="25" t="s">
        <v>1257</v>
      </c>
      <c r="BL6" s="25" t="s">
        <v>1258</v>
      </c>
      <c r="BM6" s="25" t="s">
        <v>1259</v>
      </c>
      <c r="BN6" s="25" t="s">
        <v>1260</v>
      </c>
      <c r="BO6" s="25" t="s">
        <v>1261</v>
      </c>
      <c r="BP6" s="25" t="s">
        <v>1262</v>
      </c>
      <c r="BQ6" s="25" t="s">
        <v>1263</v>
      </c>
      <c r="BR6" s="25" t="s">
        <v>1264</v>
      </c>
      <c r="BS6" s="25" t="s">
        <v>1265</v>
      </c>
      <c r="BT6" s="25" t="s">
        <v>1266</v>
      </c>
      <c r="BU6" s="25" t="s">
        <v>1267</v>
      </c>
      <c r="BV6" s="25" t="s">
        <v>1268</v>
      </c>
      <c r="BW6" s="25" t="s">
        <v>1269</v>
      </c>
      <c r="BX6" s="25" t="s">
        <v>1270</v>
      </c>
      <c r="BY6" s="25" t="s">
        <v>1271</v>
      </c>
      <c r="BZ6" s="25" t="s">
        <v>1272</v>
      </c>
      <c r="CA6" s="25" t="s">
        <v>1273</v>
      </c>
      <c r="CB6" s="25" t="s">
        <v>1274</v>
      </c>
      <c r="CC6" s="25" t="s">
        <v>1275</v>
      </c>
      <c r="CD6" s="25" t="s">
        <v>1276</v>
      </c>
      <c r="CE6" s="25" t="s">
        <v>1277</v>
      </c>
      <c r="CF6" s="25" t="s">
        <v>1278</v>
      </c>
      <c r="CG6" s="25" t="s">
        <v>1279</v>
      </c>
      <c r="CH6" s="25" t="s">
        <v>1280</v>
      </c>
      <c r="CI6" s="25" t="s">
        <v>1281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vct_T[[D_hts_tst_pos_vct_u15_fy19]:[D_hts_tst_pos_vct_u15_fy19]]*vct_T[A_hts_tst_vct_u1_unk_pos]</f>
        <v>0</v>
      </c>
      <c r="BA7" s="41">
        <f>vct_T[[D_hts_tst_pos_vct_u15_fy19]:[D_hts_tst_pos_vct_u15_fy19]]*vct_T[A_hts_tst_vct_0109_unk_pos]</f>
        <v>0</v>
      </c>
      <c r="BB7" s="41">
        <f>vct_T[[D_hts_tst_pos_vct_u15_fy19]:[D_hts_tst_pos_vct_u15_fy19]]*vct_T[A_hts_tst_vct_1014_f_pos]</f>
        <v>0</v>
      </c>
      <c r="BC7" s="41">
        <f>vct_T[[D_hts_tst_pos_vct_u15_fy19]:[D_hts_tst_pos_vct_u15_fy19]]*vct_T[A_hts_tst_vct_1014_m_pos]</f>
        <v>0</v>
      </c>
      <c r="BD7" s="41">
        <f>vct_T[[D_hts_tst_neg_vct_u15_fy19]:[D_hts_tst_neg_vct_u15_fy19]]*vct_T[A_hts_tst_vct_u1_unk_neg]</f>
        <v>0</v>
      </c>
      <c r="BE7" s="41">
        <f>vct_T[[D_hts_tst_neg_vct_u15_fy19]:[D_hts_tst_neg_vct_u15_fy19]]*vct_T[A_hts_tst_vct_0109_unk_neg]</f>
        <v>0</v>
      </c>
      <c r="BF7" s="41">
        <f>vct_T[[D_hts_tst_neg_vct_u15_fy19]:[D_hts_tst_neg_vct_u15_fy19]]*vct_T[A_hts_tst_vct_1014_f_neg]</f>
        <v>0</v>
      </c>
      <c r="BG7" s="41">
        <f>vct_T[[D_hts_tst_neg_vct_u15_fy19]:[D_hts_tst_neg_vct_u15_fy19]]*vct_T[A_hts_tst_vct_1014_m_neg]</f>
        <v>0</v>
      </c>
      <c r="BH7" s="41">
        <f>vct_T[[D_hts_tst_pos_vct_o15_fy19]:[D_hts_tst_pos_vct_o15_fy19]]*vct_T[A_hts_tst_vct_1519_f_pos]</f>
        <v>0</v>
      </c>
      <c r="BI7" s="41">
        <f>vct_T[[D_hts_tst_pos_vct_o15_fy19]:[D_hts_tst_pos_vct_o15_fy19]]*vct_T[A_hts_tst_vct_1519_m_pos]</f>
        <v>0</v>
      </c>
      <c r="BJ7" s="41">
        <f>vct_T[[D_hts_tst_pos_vct_o15_fy19]:[D_hts_tst_pos_vct_o15_fy19]]*vct_T[A_hts_tst_vct_2024_f_pos]</f>
        <v>0</v>
      </c>
      <c r="BK7" s="41">
        <f>vct_T[[D_hts_tst_pos_vct_o15_fy19]:[D_hts_tst_pos_vct_o15_fy19]]*vct_T[A_hts_tst_vct_2024_m_pos]</f>
        <v>0</v>
      </c>
      <c r="BL7" s="41">
        <f>vct_T[[D_hts_tst_pos_vct_o15_fy19]:[D_hts_tst_pos_vct_o15_fy19]]*vct_T[A_hts_tst_vct_2529_f_pos]</f>
        <v>0</v>
      </c>
      <c r="BM7" s="41">
        <f>vct_T[[D_hts_tst_pos_vct_o15_fy19]:[D_hts_tst_pos_vct_o15_fy19]]*vct_T[A_hts_tst_vct_2529_m_pos]</f>
        <v>0</v>
      </c>
      <c r="BN7" s="41">
        <f>vct_T[[D_hts_tst_pos_vct_o15_fy19]:[D_hts_tst_pos_vct_o15_fy19]]*vct_T[A_hts_tst_vct_3034_f_pos]</f>
        <v>0</v>
      </c>
      <c r="BO7" s="41">
        <f>vct_T[[D_hts_tst_pos_vct_o15_fy19]:[D_hts_tst_pos_vct_o15_fy19]]*vct_T[A_hts_tst_vct_3034_m__pos]</f>
        <v>0</v>
      </c>
      <c r="BP7" s="41">
        <f>vct_T[[D_hts_tst_pos_vct_o15_fy19]:[D_hts_tst_pos_vct_o15_fy19]]*vct_T[A_hts_tst_vct_3539_f_pos]</f>
        <v>0</v>
      </c>
      <c r="BQ7" s="41">
        <f>vct_T[[D_hts_tst_pos_vct_o15_fy19]:[D_hts_tst_pos_vct_o15_fy19]]*vct_T[A_hts_tst_vct_3539_m__pos]</f>
        <v>0</v>
      </c>
      <c r="BR7" s="41">
        <f>vct_T[[D_hts_tst_pos_vct_o15_fy19]:[D_hts_tst_pos_vct_o15_fy19]]*vct_T[A_hts_tst_vct_4049_f_pos]</f>
        <v>0</v>
      </c>
      <c r="BS7" s="41">
        <f>vct_T[[D_hts_tst_pos_vct_o15_fy19]:[D_hts_tst_pos_vct_o15_fy19]]*vct_T[A_hts_tst_vct_4049_m_pos]</f>
        <v>0</v>
      </c>
      <c r="BT7" s="41">
        <f>vct_T[[D_hts_tst_pos_vct_o15_fy19]:[D_hts_tst_pos_vct_o15_fy19]]*vct_T[A_hts_tst_vct_o50_f_pos]</f>
        <v>0</v>
      </c>
      <c r="BU7" s="41">
        <f>vct_T[[D_hts_tst_pos_vct_o15_fy19]:[D_hts_tst_pos_vct_o15_fy19]]*vct_T[A_hts_tst_vct_o50_m_pos]</f>
        <v>0</v>
      </c>
      <c r="BV7" s="41">
        <f>vct_T[[D_hts_tst_neg_vct_o15_fy19]:[D_hts_tst_neg_vct_o15_fy19]]*vct_T[A_hts_tst_vct_1519_f_neg]</f>
        <v>0</v>
      </c>
      <c r="BW7" s="41">
        <f>vct_T[[D_hts_tst_neg_vct_o15_fy19]:[D_hts_tst_neg_vct_o15_fy19]]*vct_T[A_hts_tst_vct_1519_m_neg]</f>
        <v>0</v>
      </c>
      <c r="BX7" s="41">
        <f>vct_T[[D_hts_tst_neg_vct_o15_fy19]:[D_hts_tst_neg_vct_o15_fy19]]*vct_T[A_hts_tst_vct_2024_f_neg]</f>
        <v>0</v>
      </c>
      <c r="BY7" s="41">
        <f>vct_T[[D_hts_tst_neg_vct_o15_fy19]:[D_hts_tst_neg_vct_o15_fy19]]*vct_T[A_hts_tst_vct_2024_m_neg]</f>
        <v>0</v>
      </c>
      <c r="BZ7" s="41">
        <f>vct_T[[D_hts_tst_neg_vct_o15_fy19]:[D_hts_tst_neg_vct_o15_fy19]]*vct_T[A_hts_tst_vct_2529_f_neg]</f>
        <v>0</v>
      </c>
      <c r="CA7" s="41">
        <f>vct_T[[D_hts_tst_neg_vct_o15_fy19]:[D_hts_tst_neg_vct_o15_fy19]]*vct_T[A_hts_tst_vct_2529_m_neg]</f>
        <v>0</v>
      </c>
      <c r="CB7" s="41">
        <f>vct_T[[D_hts_tst_neg_vct_o15_fy19]:[D_hts_tst_neg_vct_o15_fy19]]*vct_T[A_hts_tst_vct_3034_f_neg]</f>
        <v>0</v>
      </c>
      <c r="CC7" s="41">
        <f>vct_T[[D_hts_tst_neg_vct_o15_fy19]:[D_hts_tst_neg_vct_o15_fy19]]*vct_T[A_hts_tst_vct_3034_m_neg]</f>
        <v>0</v>
      </c>
      <c r="CD7" s="41">
        <f>vct_T[[D_hts_tst_neg_vct_o15_fy19]:[D_hts_tst_neg_vct_o15_fy19]]*vct_T[A_hts_tst_vct_3539_f_neg]</f>
        <v>0</v>
      </c>
      <c r="CE7" s="41">
        <f>vct_T[[D_hts_tst_neg_vct_o15_fy19]:[D_hts_tst_neg_vct_o15_fy19]]*vct_T[A_hts_tst_vct_3539_m_neg]</f>
        <v>0</v>
      </c>
      <c r="CF7" s="41">
        <f>vct_T[[D_hts_tst_neg_vct_o15_fy19]:[D_hts_tst_neg_vct_o15_fy19]]*vct_T[A_hts_tst_vct_4049_f_neg]</f>
        <v>0</v>
      </c>
      <c r="CG7" s="41">
        <f>vct_T[[D_hts_tst_neg_vct_o15_fy19]:[D_hts_tst_neg_vct_o15_fy19]]*vct_T[A_hts_tst_vct_4049_m_neg]</f>
        <v>0</v>
      </c>
      <c r="CH7" s="41">
        <f>vct_T[[D_hts_tst_neg_vct_o15_fy19]:[D_hts_tst_neg_vct_o15_fy19]]*vct_T[A_hts_tst_vct_o50_f_neg]</f>
        <v>0</v>
      </c>
      <c r="CI7" s="41">
        <f>vct_T[[D_hts_tst_neg_vct_o15_fy19]:[D_hts_tst_neg_vct_o15_fy19]]*vct_T[A_hts_tst_vct_o50_m_neg]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N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30" max="33" width="11.5703125" style="1" customWidth="1"/>
    <col min="34" max="36" width="13" style="1" customWidth="1"/>
    <col min="37" max="38" width="11.5703125" style="56" customWidth="1"/>
    <col min="39" max="39" width="12.5703125" style="56" customWidth="1"/>
    <col min="40" max="40" width="12.140625" style="56" customWidth="1"/>
    <col min="41" max="42" width="13" style="56" customWidth="1"/>
    <col min="43" max="45" width="13" style="1" customWidth="1"/>
    <col min="53" max="58" width="13" style="56" customWidth="1"/>
    <col min="59" max="60" width="11.5703125" style="56" customWidth="1"/>
    <col min="61" max="66" width="13" style="56" customWidth="1"/>
    <col min="67" max="16384" width="9.140625" style="56"/>
  </cols>
  <sheetData>
    <row r="1" spans="1:66" s="1" customFormat="1" ht="23.25" x14ac:dyDescent="0.35">
      <c r="A1" s="83"/>
      <c r="C1" s="70" t="s">
        <v>429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4" t="s">
        <v>448</v>
      </c>
      <c r="AE1" s="75"/>
      <c r="AF1" s="75"/>
      <c r="AG1" s="74" t="s">
        <v>447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6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</row>
    <row r="3" spans="1:66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564</v>
      </c>
      <c r="U3" s="44"/>
      <c r="V3" s="44"/>
      <c r="W3" s="44"/>
      <c r="X3" s="44"/>
      <c r="Y3" s="44"/>
      <c r="Z3" s="44"/>
      <c r="AA3" s="44"/>
      <c r="AB3" s="44"/>
      <c r="AC3" s="43"/>
      <c r="AD3" s="48" t="s">
        <v>107</v>
      </c>
      <c r="AE3" s="50"/>
      <c r="AF3" s="50"/>
      <c r="AG3" s="64" t="s">
        <v>506</v>
      </c>
      <c r="AH3" s="65"/>
      <c r="AI3" s="65"/>
      <c r="AJ3" s="65"/>
      <c r="AK3" s="65"/>
      <c r="AL3" s="65"/>
      <c r="AM3" s="65"/>
      <c r="AN3" s="65"/>
      <c r="AO3" s="65"/>
      <c r="AP3" s="66"/>
      <c r="AQ3" s="64" t="s">
        <v>507</v>
      </c>
      <c r="AR3" s="65"/>
      <c r="AS3" s="65"/>
      <c r="AT3" s="65"/>
      <c r="AU3" s="65"/>
      <c r="AV3" s="65"/>
      <c r="AW3" s="65"/>
      <c r="AX3" s="65"/>
      <c r="AY3" s="65"/>
      <c r="AZ3" s="66"/>
    </row>
    <row r="4" spans="1:66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1463</v>
      </c>
      <c r="K4" s="13" t="s">
        <v>1464</v>
      </c>
      <c r="L4" s="13" t="s">
        <v>83</v>
      </c>
      <c r="M4" s="13" t="s">
        <v>85</v>
      </c>
      <c r="N4" s="13" t="s">
        <v>88</v>
      </c>
      <c r="O4" s="13" t="s">
        <v>90</v>
      </c>
      <c r="P4" s="13" t="s">
        <v>92</v>
      </c>
      <c r="Q4" s="13" t="s">
        <v>94</v>
      </c>
      <c r="R4" s="13" t="s">
        <v>96</v>
      </c>
      <c r="S4" s="13" t="s">
        <v>98</v>
      </c>
      <c r="T4" s="8" t="s">
        <v>1465</v>
      </c>
      <c r="U4" s="13" t="s">
        <v>1466</v>
      </c>
      <c r="V4" s="13" t="s">
        <v>513</v>
      </c>
      <c r="W4" s="13" t="s">
        <v>515</v>
      </c>
      <c r="X4" s="13" t="s">
        <v>517</v>
      </c>
      <c r="Y4" s="13" t="s">
        <v>519</v>
      </c>
      <c r="Z4" s="13" t="s">
        <v>521</v>
      </c>
      <c r="AA4" s="13" t="s">
        <v>523</v>
      </c>
      <c r="AB4" s="13" t="s">
        <v>525</v>
      </c>
      <c r="AC4" s="9" t="s">
        <v>527</v>
      </c>
      <c r="AD4" s="10" t="s">
        <v>15</v>
      </c>
      <c r="AE4" s="11" t="s">
        <v>428</v>
      </c>
      <c r="AF4" s="11" t="s">
        <v>1489</v>
      </c>
      <c r="AG4" s="67" t="s">
        <v>1463</v>
      </c>
      <c r="AH4" s="68" t="s">
        <v>1464</v>
      </c>
      <c r="AI4" s="68" t="s">
        <v>83</v>
      </c>
      <c r="AJ4" s="68" t="s">
        <v>85</v>
      </c>
      <c r="AK4" s="68" t="s">
        <v>88</v>
      </c>
      <c r="AL4" s="68" t="s">
        <v>90</v>
      </c>
      <c r="AM4" s="68" t="s">
        <v>92</v>
      </c>
      <c r="AN4" s="68" t="s">
        <v>94</v>
      </c>
      <c r="AO4" s="68" t="s">
        <v>96</v>
      </c>
      <c r="AP4" s="69" t="s">
        <v>98</v>
      </c>
      <c r="AQ4" s="67" t="s">
        <v>1465</v>
      </c>
      <c r="AR4" s="68" t="s">
        <v>1466</v>
      </c>
      <c r="AS4" s="68" t="s">
        <v>513</v>
      </c>
      <c r="AT4" s="68" t="s">
        <v>515</v>
      </c>
      <c r="AU4" s="68" t="s">
        <v>517</v>
      </c>
      <c r="AV4" s="68" t="s">
        <v>519</v>
      </c>
      <c r="AW4" s="68" t="s">
        <v>521</v>
      </c>
      <c r="AX4" s="68" t="s">
        <v>523</v>
      </c>
      <c r="AY4" s="68" t="s">
        <v>525</v>
      </c>
      <c r="AZ4" s="69" t="s">
        <v>527</v>
      </c>
    </row>
    <row r="5" spans="1:66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G5" s="47">
        <f>SUBTOTAL(109,vmmc_T[hts_tst_vmmc_u1_m_pos])</f>
        <v>0</v>
      </c>
      <c r="AH5" s="47">
        <f>SUBTOTAL(109,vmmc_T[hts_tst_vmmc_0109_m_pos])</f>
        <v>0</v>
      </c>
      <c r="AI5" s="47">
        <f>SUBTOTAL(109,vmmc_T[hts_tst_vmmc_1014_m_pos])</f>
        <v>0</v>
      </c>
      <c r="AJ5" s="47">
        <f>SUBTOTAL(109,vmmc_T[hts_tst_vmmc_1519_m_pos])</f>
        <v>0</v>
      </c>
      <c r="AK5" s="47">
        <f>SUBTOTAL(109,vmmc_T[hts_tst_vmmc_2024_m_pos])</f>
        <v>0</v>
      </c>
      <c r="AL5" s="47">
        <f>SUBTOTAL(109,vmmc_T[hts_tst_vmmc_2529_m_pos])</f>
        <v>0</v>
      </c>
      <c r="AM5" s="47">
        <f>SUBTOTAL(109,vmmc_T[hts_tst_vmmc_3034_m_pos])</f>
        <v>0</v>
      </c>
      <c r="AN5" s="47">
        <f>SUBTOTAL(109,vmmc_T[hts_tst_vmmc_3539_m_pos])</f>
        <v>0</v>
      </c>
      <c r="AO5" s="47">
        <f>SUBTOTAL(109,vmmc_T[hts_tst_vmmc_4049_m_pos])</f>
        <v>0</v>
      </c>
      <c r="AP5" s="47">
        <f>SUBTOTAL(109,vmmc_T[hts_tst_vmmc_o50_m_pos])</f>
        <v>0</v>
      </c>
      <c r="AQ5" s="47">
        <f>SUBTOTAL(109,vmmc_T[hts_tst_vmmc_u1_m_neg])</f>
        <v>0</v>
      </c>
      <c r="AR5" s="47">
        <f>SUBTOTAL(109,vmmc_T[hts_tst_vmmc_0109_unk_neg])</f>
        <v>0</v>
      </c>
      <c r="AS5" s="47">
        <f>SUBTOTAL(109,vmmc_T[hts_tst_vmmc_1014_m_neg])</f>
        <v>0</v>
      </c>
      <c r="AT5" s="47">
        <f>SUBTOTAL(109,vmmc_T[hts_tst_vmmc_1519_m_neg])</f>
        <v>0</v>
      </c>
      <c r="AU5" s="47">
        <f>SUBTOTAL(109,vmmc_T[hts_tst_vmmc_2024_m_neg])</f>
        <v>0</v>
      </c>
      <c r="AV5" s="47">
        <f>SUBTOTAL(109,vmmc_T[hts_tst_vmmc_2529_m_neg])</f>
        <v>0</v>
      </c>
      <c r="AW5" s="47">
        <f>SUBTOTAL(109,vmmc_T[hts_tst_vmmc_3034_m_neg])</f>
        <v>0</v>
      </c>
      <c r="AX5" s="47">
        <f>SUBTOTAL(109,vmmc_T[hts_tst_vmmc_3539_m_neg])</f>
        <v>0</v>
      </c>
      <c r="AY5" s="47">
        <f>SUBTOTAL(109,vmmc_T[hts_tst_vmmc_4049_m_neg])</f>
        <v>0</v>
      </c>
      <c r="AZ5" s="47">
        <f>SUBTOTAL(109,vmmc_T[hts_tst_vmmc_o50_m_neg])</f>
        <v>0</v>
      </c>
    </row>
    <row r="6" spans="1:66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1470</v>
      </c>
      <c r="K6" s="25" t="s">
        <v>1471</v>
      </c>
      <c r="L6" s="25" t="s">
        <v>1282</v>
      </c>
      <c r="M6" s="25" t="s">
        <v>1284</v>
      </c>
      <c r="N6" s="25" t="s">
        <v>1285</v>
      </c>
      <c r="O6" s="25" t="s">
        <v>1286</v>
      </c>
      <c r="P6" s="25" t="s">
        <v>1287</v>
      </c>
      <c r="Q6" s="25" t="s">
        <v>1288</v>
      </c>
      <c r="R6" s="25" t="s">
        <v>1289</v>
      </c>
      <c r="S6" s="25" t="s">
        <v>1290</v>
      </c>
      <c r="T6" s="25" t="s">
        <v>1472</v>
      </c>
      <c r="U6" s="25" t="s">
        <v>1473</v>
      </c>
      <c r="V6" s="25" t="s">
        <v>1283</v>
      </c>
      <c r="W6" s="25" t="s">
        <v>1291</v>
      </c>
      <c r="X6" s="25" t="s">
        <v>1292</v>
      </c>
      <c r="Y6" s="25" t="s">
        <v>1293</v>
      </c>
      <c r="Z6" s="25" t="s">
        <v>1294</v>
      </c>
      <c r="AA6" s="25" t="s">
        <v>1295</v>
      </c>
      <c r="AB6" s="25" t="s">
        <v>1296</v>
      </c>
      <c r="AC6" s="25" t="s">
        <v>1297</v>
      </c>
      <c r="AD6" s="25" t="s">
        <v>265</v>
      </c>
      <c r="AE6" s="25" t="s">
        <v>441</v>
      </c>
      <c r="AF6" s="25" t="s">
        <v>1490</v>
      </c>
      <c r="AG6" s="25" t="s">
        <v>1474</v>
      </c>
      <c r="AH6" s="25" t="s">
        <v>1475</v>
      </c>
      <c r="AI6" s="25" t="s">
        <v>1298</v>
      </c>
      <c r="AJ6" s="25" t="s">
        <v>1301</v>
      </c>
      <c r="AK6" s="25" t="s">
        <v>1302</v>
      </c>
      <c r="AL6" s="25" t="s">
        <v>1303</v>
      </c>
      <c r="AM6" s="25" t="s">
        <v>1304</v>
      </c>
      <c r="AN6" s="25" t="s">
        <v>1305</v>
      </c>
      <c r="AO6" s="25" t="s">
        <v>1306</v>
      </c>
      <c r="AP6" s="25" t="s">
        <v>1307</v>
      </c>
      <c r="AQ6" s="25" t="s">
        <v>1476</v>
      </c>
      <c r="AR6" s="25" t="s">
        <v>1299</v>
      </c>
      <c r="AS6" s="25" t="s">
        <v>1300</v>
      </c>
      <c r="AT6" s="25" t="s">
        <v>1308</v>
      </c>
      <c r="AU6" s="25" t="s">
        <v>1309</v>
      </c>
      <c r="AV6" s="25" t="s">
        <v>1310</v>
      </c>
      <c r="AW6" s="25" t="s">
        <v>1311</v>
      </c>
      <c r="AX6" s="25" t="s">
        <v>1312</v>
      </c>
      <c r="AY6" s="25" t="s">
        <v>1313</v>
      </c>
      <c r="AZ6" s="25" t="s">
        <v>1314</v>
      </c>
    </row>
    <row r="7" spans="1:66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>
        <f>vmmc_T[[D_hts_tst_pos_vmmc_fy19]:[D_hts_tst_pos_vmmc_fy19]]*vmmc_T[A_hts_tst_vmmc_u1_m_pos]</f>
        <v>0</v>
      </c>
      <c r="AH7" s="41">
        <f>vmmc_T[[D_hts_tst_pos_vmmc_fy19]:[D_hts_tst_pos_vmmc_fy19]]*vmmc_T[A_hts_tst_vmmc_0109_m_pos]</f>
        <v>0</v>
      </c>
      <c r="AI7" s="41">
        <f>vmmc_T[[D_hts_tst_pos_vmmc_fy19]:[D_hts_tst_pos_vmmc_fy19]]*vmmc_T[A_hts_tst_vmmc_1014_m_pos]</f>
        <v>0</v>
      </c>
      <c r="AJ7" s="41">
        <f>vmmc_T[[D_hts_tst_pos_vmmc_fy19]:[D_hts_tst_pos_vmmc_fy19]]*vmmc_T[A_hts_tst_vmmc_1519_m_pos]</f>
        <v>0</v>
      </c>
      <c r="AK7" s="41">
        <f>vmmc_T[[D_hts_tst_pos_vmmc_fy19]:[D_hts_tst_pos_vmmc_fy19]]*vmmc_T[A_hts_tst_vmmc_2024_m_pos]</f>
        <v>0</v>
      </c>
      <c r="AL7" s="41">
        <f>vmmc_T[[D_hts_tst_pos_vmmc_fy19]:[D_hts_tst_pos_vmmc_fy19]]*vmmc_T[A_hts_tst_vmmc_2529_m_pos]</f>
        <v>0</v>
      </c>
      <c r="AM7" s="41">
        <f>vmmc_T[[D_hts_tst_pos_vmmc_fy19]:[D_hts_tst_pos_vmmc_fy19]]*vmmc_T[A_hts_tst_vmmc_3034_m__pos]</f>
        <v>0</v>
      </c>
      <c r="AN7" s="41">
        <f>vmmc_T[[D_hts_tst_pos_vmmc_fy19]:[D_hts_tst_pos_vmmc_fy19]]*vmmc_T[A_hts_tst_vmmc_3539_m__pos]</f>
        <v>0</v>
      </c>
      <c r="AO7" s="41">
        <f>vmmc_T[[D_hts_tst_pos_vmmc_fy19]:[D_hts_tst_pos_vmmc_fy19]]*vmmc_T[A_hts_tst_vmmc_4049_m_pos]</f>
        <v>0</v>
      </c>
      <c r="AP7" s="41">
        <f>vmmc_T[[D_hts_tst_pos_vmmc_fy19]:[D_hts_tst_pos_vmmc_fy19]]*vmmc_T[A_hts_tst_vmmc_o50_m_pos]</f>
        <v>0</v>
      </c>
      <c r="AQ7" s="41">
        <f>vmmc_T[[D_hts_tst_neg_vmmc_fy19]:[D_hts_tst_neg_vmmc_fy19]]*vmmc_T[A_hts_tst_vmmc_u1_m_neg]</f>
        <v>0</v>
      </c>
      <c r="AR7" s="41">
        <f>vmmc_T[[D_hts_tst_neg_vmmc_fy19]:[D_hts_tst_neg_vmmc_fy19]]*vmmc_T[A_hts_tst_vmmc_0109_m_neg]</f>
        <v>0</v>
      </c>
      <c r="AS7" s="41">
        <f>vmmc_T[[D_hts_tst_neg_vmmc_fy19]:[D_hts_tst_neg_vmmc_fy19]]*vmmc_T[A_hts_tst_vmmc_1014_m_neg]</f>
        <v>0</v>
      </c>
      <c r="AT7" s="41">
        <f>vmmc_T[[D_hts_tst_neg_vmmc_fy19]:[D_hts_tst_neg_vmmc_fy19]]*vmmc_T[A_hts_tst_vmmc_1519_m_neg]</f>
        <v>0</v>
      </c>
      <c r="AU7" s="41">
        <f>vmmc_T[[D_hts_tst_neg_vmmc_fy19]:[D_hts_tst_neg_vmmc_fy19]]*vmmc_T[A_hts_tst_vmmc_2024_m_neg]</f>
        <v>0</v>
      </c>
      <c r="AV7" s="41">
        <f>vmmc_T[[D_hts_tst_neg_vmmc_fy19]:[D_hts_tst_neg_vmmc_fy19]]*vmmc_T[A_hts_tst_vmmc_2529_m_neg]</f>
        <v>0</v>
      </c>
      <c r="AW7" s="41">
        <f>vmmc_T[[D_hts_tst_neg_vmmc_fy19]:[D_hts_tst_neg_vmmc_fy19]]*vmmc_T[A_hts_tst_vmmc_3034_m_neg]</f>
        <v>0</v>
      </c>
      <c r="AX7" s="41">
        <f>vmmc_T[[D_hts_tst_neg_vmmc_fy19]:[D_hts_tst_neg_vmmc_fy19]]*vmmc_T[A_hts_tst_vmmc_3539_m_neg]</f>
        <v>0</v>
      </c>
      <c r="AY7" s="41">
        <f>vmmc_T[[D_hts_tst_neg_vmmc_fy19]:[D_hts_tst_neg_vmmc_fy19]]*vmmc_T[A_hts_tst_vmmc_4049_m_neg]</f>
        <v>0</v>
      </c>
      <c r="AZ7" s="41">
        <f>vmmc_T[[D_hts_tst_neg_vmmc_fy19]:[D_hts_tst_neg_vmmc_fy19]]*vmmc_T[A_hts_tst_vmmc_o50_m_neg]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</row>
    <row r="10" spans="1:66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D10" s="19"/>
      <c r="AE10" s="19"/>
      <c r="AF10" s="19"/>
      <c r="AG10" s="19"/>
      <c r="AH10" s="19"/>
      <c r="AI10" s="19"/>
      <c r="AJ10" s="19"/>
      <c r="AQ10" s="19"/>
      <c r="AR10" s="19"/>
      <c r="AS10" s="19"/>
    </row>
    <row r="11" spans="1:66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</row>
    <row r="12" spans="1:66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D12" s="56"/>
      <c r="AE12" s="56"/>
      <c r="AF12" s="56"/>
      <c r="AG12" s="56"/>
      <c r="AH12" s="56"/>
      <c r="AI12" s="56"/>
      <c r="AJ12" s="56"/>
      <c r="AQ12" s="56"/>
      <c r="AR12" s="56"/>
      <c r="AS12" s="56"/>
    </row>
    <row r="13" spans="1:66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D13" s="56"/>
      <c r="AE13" s="56"/>
      <c r="AF13" s="56"/>
      <c r="AG13" s="56"/>
      <c r="AH13" s="56"/>
      <c r="AI13" s="56"/>
      <c r="AJ13" s="56"/>
      <c r="AQ13" s="56"/>
      <c r="AR13" s="56"/>
      <c r="AS13" s="56"/>
    </row>
    <row r="14" spans="1:66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D14" s="56"/>
      <c r="AE14" s="56"/>
      <c r="AF14" s="56"/>
      <c r="AG14" s="56"/>
      <c r="AH14" s="56"/>
      <c r="AI14" s="56"/>
      <c r="AJ14" s="56"/>
      <c r="AQ14" s="56"/>
      <c r="AR14" s="56"/>
      <c r="AS14" s="56"/>
    </row>
    <row r="15" spans="1:66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D15" s="56"/>
      <c r="AE15" s="56"/>
      <c r="AF15" s="56"/>
      <c r="AG15" s="56"/>
      <c r="AH15" s="56"/>
      <c r="AI15" s="56"/>
      <c r="AJ15" s="56"/>
      <c r="AQ15" s="56"/>
      <c r="AR15" s="56"/>
      <c r="AS15" s="56"/>
    </row>
    <row r="16" spans="1:66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D16" s="56"/>
      <c r="AE16" s="56"/>
      <c r="AF16" s="56"/>
      <c r="AG16" s="56"/>
      <c r="AH16" s="56"/>
      <c r="AI16" s="56"/>
      <c r="AJ16" s="56"/>
      <c r="AQ16" s="56"/>
      <c r="AR16" s="56"/>
      <c r="AS16" s="56"/>
    </row>
    <row r="17" spans="1:4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D17" s="56"/>
      <c r="AE17" s="56"/>
      <c r="AF17" s="56"/>
      <c r="AG17" s="56"/>
      <c r="AH17" s="56"/>
      <c r="AI17" s="56"/>
      <c r="AJ17" s="56"/>
      <c r="AQ17" s="56"/>
      <c r="AR17" s="56"/>
      <c r="AS17" s="56"/>
    </row>
    <row r="18" spans="1:4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D18" s="56"/>
      <c r="AE18" s="56"/>
      <c r="AF18" s="56"/>
      <c r="AG18" s="56"/>
      <c r="AH18" s="56"/>
      <c r="AI18" s="56"/>
      <c r="AJ18" s="56"/>
      <c r="AQ18" s="56"/>
      <c r="AR18" s="56"/>
      <c r="AS18" s="56"/>
    </row>
    <row r="19" spans="1:4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D19" s="56"/>
      <c r="AE19" s="56"/>
      <c r="AF19" s="56"/>
      <c r="AG19" s="56"/>
      <c r="AH19" s="56"/>
      <c r="AI19" s="56"/>
      <c r="AJ19" s="56"/>
      <c r="AQ19" s="56"/>
      <c r="AR19" s="56"/>
      <c r="AS19" s="56"/>
    </row>
    <row r="20" spans="1:4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D20" s="56"/>
      <c r="AE20" s="56"/>
      <c r="AF20" s="56"/>
      <c r="AG20" s="56"/>
      <c r="AH20" s="56"/>
      <c r="AI20" s="56"/>
      <c r="AJ20" s="56"/>
      <c r="AQ20" s="56"/>
      <c r="AR20" s="56"/>
      <c r="AS20" s="56"/>
    </row>
    <row r="21" spans="1:4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D21" s="56"/>
      <c r="AE21" s="56"/>
      <c r="AF21" s="56"/>
      <c r="AG21" s="56"/>
      <c r="AH21" s="56"/>
      <c r="AI21" s="56"/>
      <c r="AJ21" s="56"/>
      <c r="AQ21" s="56"/>
      <c r="AR21" s="56"/>
      <c r="AS21" s="56"/>
    </row>
    <row r="22" spans="1:4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D22" s="56"/>
      <c r="AE22" s="56"/>
      <c r="AF22" s="56"/>
      <c r="AG22" s="56"/>
      <c r="AH22" s="56"/>
      <c r="AI22" s="56"/>
      <c r="AJ22" s="56"/>
      <c r="AQ22" s="56"/>
      <c r="AR22" s="56"/>
      <c r="AS22" s="56"/>
    </row>
    <row r="23" spans="1:4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D23" s="56"/>
      <c r="AE23" s="56"/>
      <c r="AF23" s="56"/>
      <c r="AG23" s="56"/>
      <c r="AH23" s="56"/>
      <c r="AI23" s="56"/>
      <c r="AJ23" s="56"/>
      <c r="AQ23" s="56"/>
      <c r="AR23" s="56"/>
      <c r="AS23" s="56"/>
    </row>
    <row r="24" spans="1:4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D24" s="56"/>
      <c r="AE24" s="56"/>
      <c r="AF24" s="56"/>
      <c r="AG24" s="56"/>
      <c r="AH24" s="56"/>
      <c r="AI24" s="56"/>
      <c r="AJ24" s="56"/>
      <c r="AQ24" s="56"/>
      <c r="AR24" s="56"/>
      <c r="AS24" s="56"/>
    </row>
    <row r="25" spans="1:4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D25" s="56"/>
      <c r="AE25" s="56"/>
      <c r="AF25" s="56"/>
      <c r="AG25" s="56"/>
      <c r="AH25" s="56"/>
      <c r="AI25" s="56"/>
      <c r="AJ25" s="56"/>
      <c r="AQ25" s="56"/>
      <c r="AR25" s="56"/>
      <c r="AS25" s="56"/>
    </row>
    <row r="26" spans="1:4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D26" s="56"/>
      <c r="AE26" s="56"/>
      <c r="AF26" s="56"/>
      <c r="AG26" s="56"/>
      <c r="AH26" s="56"/>
      <c r="AI26" s="56"/>
      <c r="AJ26" s="56"/>
      <c r="AQ26" s="56"/>
      <c r="AR26" s="56"/>
      <c r="AS26" s="56"/>
    </row>
    <row r="27" spans="1:4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D27" s="56"/>
      <c r="AE27" s="56"/>
      <c r="AF27" s="56"/>
      <c r="AG27" s="56"/>
      <c r="AH27" s="56"/>
      <c r="AI27" s="56"/>
      <c r="AJ27" s="56"/>
      <c r="AQ27" s="56"/>
      <c r="AR27" s="56"/>
      <c r="AS27" s="56"/>
    </row>
    <row r="28" spans="1:4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D28" s="56"/>
      <c r="AE28" s="56"/>
      <c r="AF28" s="56"/>
      <c r="AG28" s="56"/>
      <c r="AH28" s="56"/>
      <c r="AI28" s="56"/>
      <c r="AJ28" s="56"/>
      <c r="AQ28" s="56"/>
      <c r="AR28" s="56"/>
      <c r="AS28" s="56"/>
    </row>
    <row r="29" spans="1:4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D29" s="56"/>
      <c r="AE29" s="56"/>
      <c r="AF29" s="56"/>
      <c r="AG29" s="56"/>
      <c r="AH29" s="56"/>
      <c r="AI29" s="56"/>
      <c r="AJ29" s="56"/>
      <c r="AQ29" s="56"/>
      <c r="AR29" s="56"/>
      <c r="AS29" s="56"/>
    </row>
    <row r="30" spans="1:4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D30" s="56"/>
      <c r="AE30" s="56"/>
      <c r="AF30" s="56"/>
      <c r="AG30" s="56"/>
      <c r="AH30" s="56"/>
      <c r="AI30" s="56"/>
      <c r="AJ30" s="56"/>
      <c r="AQ30" s="56"/>
      <c r="AR30" s="56"/>
      <c r="AS30" s="56"/>
    </row>
    <row r="31" spans="1:4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D31" s="56"/>
      <c r="AE31" s="56"/>
      <c r="AF31" s="56"/>
      <c r="AG31" s="56"/>
      <c r="AH31" s="56"/>
      <c r="AI31" s="56"/>
      <c r="AJ31" s="56"/>
      <c r="AQ31" s="56"/>
      <c r="AR31" s="56"/>
      <c r="AS31" s="56"/>
    </row>
    <row r="32" spans="1:4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D32" s="56"/>
      <c r="AE32" s="56"/>
      <c r="AF32" s="56"/>
      <c r="AG32" s="56"/>
      <c r="AH32" s="56"/>
      <c r="AI32" s="56"/>
      <c r="AJ32" s="56"/>
      <c r="AQ32" s="56"/>
      <c r="AR32" s="56"/>
      <c r="AS32" s="56"/>
    </row>
    <row r="33" spans="1:4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D33" s="56"/>
      <c r="AE33" s="56"/>
      <c r="AF33" s="56"/>
      <c r="AG33" s="56"/>
      <c r="AH33" s="56"/>
      <c r="AI33" s="56"/>
      <c r="AJ33" s="56"/>
      <c r="AQ33" s="56"/>
      <c r="AR33" s="56"/>
      <c r="AS33" s="56"/>
    </row>
    <row r="34" spans="1:4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D34" s="56"/>
      <c r="AE34" s="56"/>
      <c r="AF34" s="56"/>
      <c r="AG34" s="56"/>
      <c r="AH34" s="56"/>
      <c r="AI34" s="56"/>
      <c r="AJ34" s="56"/>
      <c r="AQ34" s="56"/>
      <c r="AR34" s="56"/>
      <c r="AS34" s="56"/>
    </row>
    <row r="35" spans="1:4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D35" s="56"/>
      <c r="AE35" s="56"/>
      <c r="AF35" s="56"/>
      <c r="AG35" s="56"/>
      <c r="AH35" s="56"/>
      <c r="AI35" s="56"/>
      <c r="AJ35" s="56"/>
      <c r="AQ35" s="56"/>
      <c r="AR35" s="56"/>
      <c r="AS35" s="56"/>
    </row>
    <row r="36" spans="1:4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D36" s="56"/>
      <c r="AE36" s="56"/>
      <c r="AF36" s="56"/>
      <c r="AG36" s="56"/>
      <c r="AH36" s="56"/>
      <c r="AI36" s="56"/>
      <c r="AJ36" s="56"/>
      <c r="AQ36" s="56"/>
      <c r="AR36" s="56"/>
      <c r="AS36" s="56"/>
    </row>
    <row r="37" spans="1:4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D37" s="56"/>
      <c r="AE37" s="56"/>
      <c r="AF37" s="56"/>
      <c r="AG37" s="56"/>
      <c r="AH37" s="56"/>
      <c r="AI37" s="56"/>
      <c r="AJ37" s="56"/>
      <c r="AQ37" s="56"/>
      <c r="AR37" s="56"/>
      <c r="AS37" s="56"/>
    </row>
    <row r="38" spans="1:4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D38" s="56"/>
      <c r="AE38" s="56"/>
      <c r="AF38" s="56"/>
      <c r="AG38" s="56"/>
      <c r="AH38" s="56"/>
      <c r="AI38" s="56"/>
      <c r="AJ38" s="56"/>
      <c r="AQ38" s="56"/>
      <c r="AR38" s="56"/>
      <c r="AS38" s="56"/>
    </row>
    <row r="39" spans="1:4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D39" s="56"/>
      <c r="AE39" s="56"/>
      <c r="AF39" s="56"/>
      <c r="AG39" s="56"/>
      <c r="AH39" s="56"/>
      <c r="AI39" s="56"/>
      <c r="AJ39" s="56"/>
      <c r="AQ39" s="56"/>
      <c r="AR39" s="56"/>
      <c r="AS39" s="56"/>
    </row>
    <row r="40" spans="1:4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D40" s="56"/>
      <c r="AE40" s="56"/>
      <c r="AF40" s="56"/>
      <c r="AG40" s="56"/>
      <c r="AH40" s="56"/>
      <c r="AI40" s="56"/>
      <c r="AJ40" s="56"/>
      <c r="AQ40" s="56"/>
      <c r="AR40" s="56"/>
      <c r="AS40" s="56"/>
    </row>
    <row r="41" spans="1:4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D41" s="56"/>
      <c r="AE41" s="56"/>
      <c r="AF41" s="56"/>
      <c r="AG41" s="56"/>
      <c r="AH41" s="56"/>
      <c r="AI41" s="56"/>
      <c r="AJ41" s="56"/>
      <c r="AQ41" s="56"/>
      <c r="AR41" s="56"/>
      <c r="AS41" s="56"/>
    </row>
    <row r="42" spans="1:4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D42" s="56"/>
      <c r="AE42" s="56"/>
      <c r="AF42" s="56"/>
      <c r="AG42" s="56"/>
      <c r="AH42" s="56"/>
      <c r="AI42" s="56"/>
      <c r="AJ42" s="56"/>
      <c r="AQ42" s="56"/>
      <c r="AR42" s="56"/>
      <c r="AS42" s="56"/>
    </row>
    <row r="43" spans="1:4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D43" s="56"/>
      <c r="AE43" s="56"/>
      <c r="AF43" s="56"/>
      <c r="AG43" s="56"/>
      <c r="AH43" s="56"/>
      <c r="AI43" s="56"/>
      <c r="AJ43" s="56"/>
      <c r="AQ43" s="56"/>
      <c r="AR43" s="56"/>
      <c r="AS43" s="56"/>
    </row>
    <row r="44" spans="1:4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D44" s="56"/>
      <c r="AE44" s="56"/>
      <c r="AF44" s="56"/>
      <c r="AG44" s="56"/>
      <c r="AH44" s="56"/>
      <c r="AI44" s="56"/>
      <c r="AJ44" s="56"/>
      <c r="AQ44" s="56"/>
      <c r="AR44" s="56"/>
      <c r="AS44" s="56"/>
    </row>
    <row r="45" spans="1:4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D45" s="56"/>
      <c r="AE45" s="56"/>
      <c r="AF45" s="56"/>
      <c r="AG45" s="56"/>
      <c r="AH45" s="56"/>
      <c r="AI45" s="56"/>
      <c r="AJ45" s="56"/>
      <c r="AQ45" s="56"/>
      <c r="AR45" s="56"/>
      <c r="AS45" s="56"/>
    </row>
    <row r="46" spans="1:4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D46" s="56"/>
      <c r="AE46" s="56"/>
      <c r="AF46" s="56"/>
      <c r="AG46" s="56"/>
      <c r="AH46" s="56"/>
      <c r="AI46" s="56"/>
      <c r="AJ46" s="56"/>
      <c r="AQ46" s="56"/>
      <c r="AR46" s="56"/>
      <c r="AS46" s="56"/>
    </row>
    <row r="47" spans="1:4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D47" s="56"/>
      <c r="AE47" s="56"/>
      <c r="AF47" s="56"/>
      <c r="AG47" s="56"/>
      <c r="AH47" s="56"/>
      <c r="AI47" s="56"/>
      <c r="AJ47" s="56"/>
      <c r="AQ47" s="56"/>
      <c r="AR47" s="56"/>
      <c r="AS47" s="56"/>
    </row>
    <row r="48" spans="1:4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D48" s="56"/>
      <c r="AE48" s="56"/>
      <c r="AF48" s="56"/>
      <c r="AG48" s="56"/>
      <c r="AH48" s="56"/>
      <c r="AI48" s="56"/>
      <c r="AJ48" s="56"/>
      <c r="AQ48" s="56"/>
      <c r="AR48" s="56"/>
      <c r="AS48" s="56"/>
    </row>
    <row r="49" spans="1:4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D49" s="56"/>
      <c r="AE49" s="56"/>
      <c r="AF49" s="56"/>
      <c r="AG49" s="56"/>
      <c r="AH49" s="56"/>
      <c r="AI49" s="56"/>
      <c r="AJ49" s="56"/>
      <c r="AQ49" s="56"/>
      <c r="AR49" s="56"/>
      <c r="AS49" s="56"/>
    </row>
    <row r="50" spans="1:4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D50" s="56"/>
      <c r="AE50" s="56"/>
      <c r="AF50" s="56"/>
      <c r="AG50" s="56"/>
      <c r="AH50" s="56"/>
      <c r="AI50" s="56"/>
      <c r="AJ50" s="56"/>
      <c r="AQ50" s="56"/>
      <c r="AR50" s="56"/>
      <c r="AS50" s="56"/>
    </row>
    <row r="51" spans="1:4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D51" s="56"/>
      <c r="AE51" s="56"/>
      <c r="AF51" s="56"/>
      <c r="AG51" s="56"/>
      <c r="AH51" s="56"/>
      <c r="AI51" s="56"/>
      <c r="AJ51" s="56"/>
      <c r="AQ51" s="56"/>
      <c r="AR51" s="56"/>
      <c r="AS51" s="56"/>
    </row>
    <row r="52" spans="1:4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D52" s="56"/>
      <c r="AE52" s="56"/>
      <c r="AF52" s="56"/>
      <c r="AG52" s="56"/>
      <c r="AH52" s="56"/>
      <c r="AI52" s="56"/>
      <c r="AJ52" s="56"/>
      <c r="AQ52" s="56"/>
      <c r="AR52" s="56"/>
      <c r="AS52" s="56"/>
    </row>
    <row r="53" spans="1:4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D53" s="56"/>
      <c r="AE53" s="56"/>
      <c r="AF53" s="56"/>
      <c r="AG53" s="56"/>
      <c r="AH53" s="56"/>
      <c r="AI53" s="56"/>
      <c r="AJ53" s="56"/>
      <c r="AQ53" s="56"/>
      <c r="AR53" s="56"/>
      <c r="AS53" s="56"/>
    </row>
    <row r="54" spans="1:4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D54" s="56"/>
      <c r="AE54" s="56"/>
      <c r="AF54" s="56"/>
      <c r="AG54" s="56"/>
      <c r="AH54" s="56"/>
      <c r="AI54" s="56"/>
      <c r="AJ54" s="56"/>
      <c r="AQ54" s="56"/>
      <c r="AR54" s="56"/>
      <c r="AS54" s="56"/>
    </row>
    <row r="55" spans="1:4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D55" s="56"/>
      <c r="AE55" s="56"/>
      <c r="AF55" s="56"/>
      <c r="AG55" s="56"/>
      <c r="AH55" s="56"/>
      <c r="AI55" s="56"/>
      <c r="AJ55" s="56"/>
      <c r="AQ55" s="56"/>
      <c r="AR55" s="56"/>
      <c r="AS55" s="56"/>
    </row>
    <row r="56" spans="1:4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D56" s="56"/>
      <c r="AE56" s="56"/>
      <c r="AF56" s="56"/>
      <c r="AG56" s="56"/>
      <c r="AH56" s="56"/>
      <c r="AI56" s="56"/>
      <c r="AJ56" s="56"/>
      <c r="AQ56" s="56"/>
      <c r="AR56" s="56"/>
      <c r="AS56" s="56"/>
    </row>
    <row r="57" spans="1:4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D57" s="56"/>
      <c r="AE57" s="56"/>
      <c r="AF57" s="56"/>
      <c r="AG57" s="56"/>
      <c r="AH57" s="56"/>
      <c r="AI57" s="56"/>
      <c r="AJ57" s="56"/>
      <c r="AQ57" s="56"/>
      <c r="AR57" s="56"/>
      <c r="AS57" s="56"/>
    </row>
    <row r="58" spans="1:4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D58" s="56"/>
      <c r="AE58" s="56"/>
      <c r="AF58" s="56"/>
      <c r="AG58" s="56"/>
      <c r="AH58" s="56"/>
      <c r="AI58" s="56"/>
      <c r="AJ58" s="56"/>
      <c r="AQ58" s="56"/>
      <c r="AR58" s="56"/>
      <c r="AS58" s="56"/>
    </row>
    <row r="59" spans="1:4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D59" s="56"/>
      <c r="AE59" s="56"/>
      <c r="AF59" s="56"/>
      <c r="AG59" s="56"/>
      <c r="AH59" s="56"/>
      <c r="AI59" s="56"/>
      <c r="AJ59" s="56"/>
      <c r="AQ59" s="56"/>
      <c r="AR59" s="56"/>
      <c r="AS59" s="56"/>
    </row>
    <row r="60" spans="1:4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D60" s="56"/>
      <c r="AE60" s="56"/>
      <c r="AF60" s="56"/>
      <c r="AG60" s="56"/>
      <c r="AH60" s="56"/>
      <c r="AI60" s="56"/>
      <c r="AJ60" s="56"/>
      <c r="AQ60" s="56"/>
      <c r="AR60" s="56"/>
      <c r="AS60" s="56"/>
    </row>
    <row r="61" spans="1:4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D61" s="56"/>
      <c r="AE61" s="56"/>
      <c r="AF61" s="56"/>
      <c r="AG61" s="56"/>
      <c r="AH61" s="56"/>
      <c r="AI61" s="56"/>
      <c r="AJ61" s="56"/>
      <c r="AQ61" s="56"/>
      <c r="AR61" s="56"/>
      <c r="AS61" s="56"/>
    </row>
    <row r="62" spans="1:4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D62" s="56"/>
      <c r="AE62" s="56"/>
      <c r="AF62" s="56"/>
      <c r="AG62" s="56"/>
      <c r="AH62" s="56"/>
      <c r="AI62" s="56"/>
      <c r="AJ62" s="56"/>
      <c r="AQ62" s="56"/>
      <c r="AR62" s="56"/>
      <c r="AS62" s="56"/>
    </row>
    <row r="63" spans="1:4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D63" s="56"/>
      <c r="AE63" s="56"/>
      <c r="AF63" s="56"/>
      <c r="AG63" s="56"/>
      <c r="AH63" s="56"/>
      <c r="AI63" s="56"/>
      <c r="AJ63" s="56"/>
      <c r="AQ63" s="56"/>
      <c r="AR63" s="56"/>
      <c r="AS63" s="56"/>
    </row>
    <row r="64" spans="1:4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D64" s="56"/>
      <c r="AE64" s="56"/>
      <c r="AF64" s="56"/>
      <c r="AG64" s="56"/>
      <c r="AH64" s="56"/>
      <c r="AI64" s="56"/>
      <c r="AJ64" s="56"/>
      <c r="AQ64" s="56"/>
      <c r="AR64" s="56"/>
      <c r="AS64" s="56"/>
    </row>
    <row r="65" spans="1:4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D65" s="56"/>
      <c r="AE65" s="56"/>
      <c r="AF65" s="56"/>
      <c r="AG65" s="56"/>
      <c r="AH65" s="56"/>
      <c r="AI65" s="56"/>
      <c r="AJ65" s="56"/>
      <c r="AQ65" s="56"/>
      <c r="AR65" s="56"/>
      <c r="AS65" s="56"/>
    </row>
    <row r="66" spans="1:4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D66" s="56"/>
      <c r="AE66" s="56"/>
      <c r="AF66" s="56"/>
      <c r="AG66" s="56"/>
      <c r="AH66" s="56"/>
      <c r="AI66" s="56"/>
      <c r="AJ66" s="56"/>
      <c r="AQ66" s="56"/>
      <c r="AR66" s="56"/>
      <c r="AS66" s="56"/>
    </row>
    <row r="67" spans="1:4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D67" s="56"/>
      <c r="AE67" s="56"/>
      <c r="AF67" s="56"/>
      <c r="AG67" s="56"/>
      <c r="AH67" s="56"/>
      <c r="AI67" s="56"/>
      <c r="AJ67" s="56"/>
      <c r="AQ67" s="56"/>
      <c r="AR67" s="56"/>
      <c r="AS67" s="56"/>
    </row>
    <row r="68" spans="1:4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D68" s="56"/>
      <c r="AE68" s="56"/>
      <c r="AF68" s="56"/>
      <c r="AG68" s="56"/>
      <c r="AH68" s="56"/>
      <c r="AI68" s="56"/>
      <c r="AJ68" s="56"/>
      <c r="AQ68" s="56"/>
      <c r="AR68" s="56"/>
      <c r="AS68" s="56"/>
    </row>
    <row r="69" spans="1:4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D69" s="56"/>
      <c r="AE69" s="56"/>
      <c r="AF69" s="56"/>
      <c r="AG69" s="56"/>
      <c r="AH69" s="56"/>
      <c r="AI69" s="56"/>
      <c r="AJ69" s="56"/>
      <c r="AQ69" s="56"/>
      <c r="AR69" s="56"/>
      <c r="AS69" s="56"/>
    </row>
    <row r="70" spans="1:4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D70" s="56"/>
      <c r="AE70" s="56"/>
      <c r="AF70" s="56"/>
      <c r="AG70" s="56"/>
      <c r="AH70" s="56"/>
      <c r="AI70" s="56"/>
      <c r="AJ70" s="56"/>
      <c r="AQ70" s="56"/>
      <c r="AR70" s="56"/>
      <c r="AS70" s="56"/>
    </row>
    <row r="71" spans="1:4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D71" s="56"/>
      <c r="AE71" s="56"/>
      <c r="AF71" s="56"/>
      <c r="AG71" s="56"/>
      <c r="AH71" s="56"/>
      <c r="AI71" s="56"/>
      <c r="AJ71" s="56"/>
      <c r="AQ71" s="56"/>
      <c r="AR71" s="56"/>
      <c r="AS71" s="56"/>
    </row>
    <row r="72" spans="1:4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D72" s="56"/>
      <c r="AE72" s="56"/>
      <c r="AF72" s="56"/>
      <c r="AG72" s="56"/>
      <c r="AH72" s="56"/>
      <c r="AI72" s="56"/>
      <c r="AJ72" s="56"/>
      <c r="AQ72" s="56"/>
      <c r="AR72" s="56"/>
      <c r="AS72" s="56"/>
    </row>
    <row r="73" spans="1:4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D73" s="56"/>
      <c r="AE73" s="56"/>
      <c r="AF73" s="56"/>
      <c r="AG73" s="56"/>
      <c r="AH73" s="56"/>
      <c r="AI73" s="56"/>
      <c r="AJ73" s="56"/>
      <c r="AQ73" s="56"/>
      <c r="AR73" s="56"/>
      <c r="AS73" s="56"/>
    </row>
    <row r="74" spans="1:4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D74" s="56"/>
      <c r="AE74" s="56"/>
      <c r="AF74" s="56"/>
      <c r="AG74" s="56"/>
      <c r="AH74" s="56"/>
      <c r="AI74" s="56"/>
      <c r="AJ74" s="56"/>
      <c r="AQ74" s="56"/>
      <c r="AR74" s="56"/>
      <c r="AS74" s="56"/>
    </row>
    <row r="75" spans="1:4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D75" s="56"/>
      <c r="AE75" s="56"/>
      <c r="AF75" s="56"/>
      <c r="AG75" s="56"/>
      <c r="AH75" s="56"/>
      <c r="AI75" s="56"/>
      <c r="AJ75" s="56"/>
      <c r="AQ75" s="56"/>
      <c r="AR75" s="56"/>
      <c r="AS75" s="56"/>
    </row>
    <row r="76" spans="1:4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D76" s="56"/>
      <c r="AE76" s="56"/>
      <c r="AF76" s="56"/>
      <c r="AG76" s="56"/>
      <c r="AH76" s="56"/>
      <c r="AI76" s="56"/>
      <c r="AJ76" s="56"/>
      <c r="AQ76" s="56"/>
      <c r="AR76" s="56"/>
      <c r="AS76" s="56"/>
    </row>
    <row r="77" spans="1:4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D77" s="56"/>
      <c r="AE77" s="56"/>
      <c r="AF77" s="56"/>
      <c r="AG77" s="56"/>
      <c r="AH77" s="56"/>
      <c r="AI77" s="56"/>
      <c r="AJ77" s="56"/>
      <c r="AQ77" s="56"/>
      <c r="AR77" s="56"/>
      <c r="AS77" s="56"/>
    </row>
    <row r="78" spans="1:4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D78" s="56"/>
      <c r="AE78" s="56"/>
      <c r="AF78" s="56"/>
      <c r="AG78" s="56"/>
      <c r="AH78" s="56"/>
      <c r="AI78" s="56"/>
      <c r="AJ78" s="56"/>
      <c r="AQ78" s="56"/>
      <c r="AR78" s="56"/>
      <c r="AS78" s="56"/>
    </row>
    <row r="79" spans="1:4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D79" s="56"/>
      <c r="AE79" s="56"/>
      <c r="AF79" s="56"/>
      <c r="AG79" s="56"/>
      <c r="AH79" s="56"/>
      <c r="AI79" s="56"/>
      <c r="AJ79" s="56"/>
      <c r="AQ79" s="56"/>
      <c r="AR79" s="56"/>
      <c r="AS79" s="56"/>
    </row>
    <row r="80" spans="1:4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D80" s="56"/>
      <c r="AE80" s="56"/>
      <c r="AF80" s="56"/>
      <c r="AG80" s="56"/>
      <c r="AH80" s="56"/>
      <c r="AI80" s="56"/>
      <c r="AJ80" s="56"/>
      <c r="AQ80" s="56"/>
      <c r="AR80" s="56"/>
      <c r="AS80" s="56"/>
    </row>
    <row r="81" spans="1:4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D81" s="56"/>
      <c r="AE81" s="56"/>
      <c r="AF81" s="56"/>
      <c r="AG81" s="56"/>
      <c r="AH81" s="56"/>
      <c r="AI81" s="56"/>
      <c r="AJ81" s="56"/>
      <c r="AQ81" s="56"/>
      <c r="AR81" s="56"/>
      <c r="AS81" s="56"/>
    </row>
    <row r="82" spans="1:4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D82" s="56"/>
      <c r="AE82" s="56"/>
      <c r="AF82" s="56"/>
      <c r="AG82" s="56"/>
      <c r="AH82" s="56"/>
      <c r="AI82" s="56"/>
      <c r="AJ82" s="56"/>
      <c r="AQ82" s="56"/>
      <c r="AR82" s="56"/>
      <c r="AS82" s="56"/>
    </row>
    <row r="83" spans="1:4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D83" s="56"/>
      <c r="AE83" s="56"/>
      <c r="AF83" s="56"/>
      <c r="AG83" s="56"/>
      <c r="AH83" s="56"/>
      <c r="AI83" s="56"/>
      <c r="AJ83" s="56"/>
      <c r="AQ83" s="56"/>
      <c r="AR83" s="56"/>
      <c r="AS83" s="56"/>
    </row>
    <row r="84" spans="1:4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D84" s="56"/>
      <c r="AE84" s="56"/>
      <c r="AF84" s="56"/>
      <c r="AG84" s="56"/>
      <c r="AH84" s="56"/>
      <c r="AI84" s="56"/>
      <c r="AJ84" s="56"/>
      <c r="AQ84" s="56"/>
      <c r="AR84" s="56"/>
      <c r="AS84" s="56"/>
    </row>
    <row r="85" spans="1:4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D85" s="56"/>
      <c r="AE85" s="56"/>
      <c r="AF85" s="56"/>
      <c r="AG85" s="56"/>
      <c r="AH85" s="56"/>
      <c r="AI85" s="56"/>
      <c r="AJ85" s="56"/>
      <c r="AQ85" s="56"/>
      <c r="AR85" s="56"/>
      <c r="AS85" s="56"/>
    </row>
    <row r="86" spans="1:4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D86" s="56"/>
      <c r="AE86" s="56"/>
      <c r="AF86" s="56"/>
      <c r="AG86" s="56"/>
      <c r="AH86" s="56"/>
      <c r="AI86" s="56"/>
      <c r="AJ86" s="56"/>
      <c r="AQ86" s="56"/>
      <c r="AR86" s="56"/>
      <c r="AS86" s="56"/>
    </row>
    <row r="87" spans="1:4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D87" s="56"/>
      <c r="AE87" s="56"/>
      <c r="AF87" s="56"/>
      <c r="AG87" s="56"/>
      <c r="AH87" s="56"/>
      <c r="AI87" s="56"/>
      <c r="AJ87" s="56"/>
      <c r="AQ87" s="56"/>
      <c r="AR87" s="56"/>
      <c r="AS87" s="56"/>
    </row>
    <row r="88" spans="1:4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D88" s="56"/>
      <c r="AE88" s="56"/>
      <c r="AF88" s="56"/>
      <c r="AG88" s="56"/>
      <c r="AH88" s="56"/>
      <c r="AI88" s="56"/>
      <c r="AJ88" s="56"/>
      <c r="AQ88" s="56"/>
      <c r="AR88" s="56"/>
      <c r="AS88" s="56"/>
    </row>
    <row r="89" spans="1:4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D89" s="56"/>
      <c r="AE89" s="56"/>
      <c r="AF89" s="56"/>
      <c r="AG89" s="56"/>
      <c r="AH89" s="56"/>
      <c r="AI89" s="56"/>
      <c r="AJ89" s="56"/>
      <c r="AQ89" s="56"/>
      <c r="AR89" s="56"/>
      <c r="AS89" s="56"/>
    </row>
    <row r="90" spans="1:4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D90" s="56"/>
      <c r="AE90" s="56"/>
      <c r="AF90" s="56"/>
      <c r="AG90" s="56"/>
      <c r="AH90" s="56"/>
      <c r="AI90" s="56"/>
      <c r="AJ90" s="56"/>
      <c r="AQ90" s="56"/>
      <c r="AR90" s="56"/>
      <c r="AS90" s="56"/>
    </row>
    <row r="91" spans="1:4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D91" s="56"/>
      <c r="AE91" s="56"/>
      <c r="AF91" s="56"/>
      <c r="AG91" s="56"/>
      <c r="AH91" s="56"/>
      <c r="AI91" s="56"/>
      <c r="AJ91" s="56"/>
      <c r="AQ91" s="56"/>
      <c r="AR91" s="56"/>
      <c r="AS91" s="56"/>
    </row>
    <row r="92" spans="1:4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D92" s="56"/>
      <c r="AE92" s="56"/>
      <c r="AF92" s="56"/>
      <c r="AG92" s="56"/>
      <c r="AH92" s="56"/>
      <c r="AI92" s="56"/>
      <c r="AJ92" s="56"/>
      <c r="AQ92" s="56"/>
      <c r="AR92" s="56"/>
      <c r="AS92" s="56"/>
    </row>
    <row r="93" spans="1:4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D93" s="56"/>
      <c r="AE93" s="56"/>
      <c r="AF93" s="56"/>
      <c r="AG93" s="56"/>
      <c r="AH93" s="56"/>
      <c r="AI93" s="56"/>
      <c r="AJ93" s="56"/>
      <c r="AQ93" s="56"/>
      <c r="AR93" s="56"/>
      <c r="AS93" s="56"/>
    </row>
    <row r="94" spans="1:4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D94" s="56"/>
      <c r="AE94" s="56"/>
      <c r="AF94" s="56"/>
      <c r="AG94" s="56"/>
      <c r="AH94" s="56"/>
      <c r="AI94" s="56"/>
      <c r="AJ94" s="56"/>
      <c r="AQ94" s="56"/>
      <c r="AR94" s="56"/>
      <c r="AS94" s="56"/>
    </row>
    <row r="95" spans="1:4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D95" s="56"/>
      <c r="AE95" s="56"/>
      <c r="AF95" s="56"/>
      <c r="AG95" s="56"/>
      <c r="AH95" s="56"/>
      <c r="AI95" s="56"/>
      <c r="AJ95" s="56"/>
      <c r="AQ95" s="56"/>
      <c r="AR95" s="56"/>
      <c r="AS95" s="56"/>
    </row>
    <row r="96" spans="1:4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D96" s="56"/>
      <c r="AE96" s="56"/>
      <c r="AF96" s="56"/>
      <c r="AG96" s="56"/>
      <c r="AH96" s="56"/>
      <c r="AI96" s="56"/>
      <c r="AJ96" s="56"/>
      <c r="AQ96" s="56"/>
      <c r="AR96" s="56"/>
      <c r="AS96" s="56"/>
    </row>
    <row r="97" spans="1:4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D97" s="56"/>
      <c r="AE97" s="56"/>
      <c r="AF97" s="56"/>
      <c r="AG97" s="56"/>
      <c r="AH97" s="56"/>
      <c r="AI97" s="56"/>
      <c r="AJ97" s="56"/>
      <c r="AQ97" s="56"/>
      <c r="AR97" s="56"/>
      <c r="AS97" s="56"/>
    </row>
    <row r="98" spans="1:4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D98" s="56"/>
      <c r="AE98" s="56"/>
      <c r="AF98" s="56"/>
      <c r="AG98" s="56"/>
      <c r="AH98" s="56"/>
      <c r="AI98" s="56"/>
      <c r="AJ98" s="56"/>
      <c r="AQ98" s="56"/>
      <c r="AR98" s="56"/>
      <c r="AS98" s="56"/>
    </row>
    <row r="99" spans="1:4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D99" s="56"/>
      <c r="AE99" s="56"/>
      <c r="AF99" s="56"/>
      <c r="AG99" s="56"/>
      <c r="AH99" s="56"/>
      <c r="AI99" s="56"/>
      <c r="AJ99" s="56"/>
      <c r="AQ99" s="56"/>
      <c r="AR99" s="56"/>
      <c r="AS99" s="56"/>
    </row>
    <row r="100" spans="1:4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D100" s="56"/>
      <c r="AE100" s="56"/>
      <c r="AF100" s="56"/>
      <c r="AG100" s="56"/>
      <c r="AH100" s="56"/>
      <c r="AI100" s="56"/>
      <c r="AJ100" s="56"/>
      <c r="AQ100" s="56"/>
      <c r="AR100" s="56"/>
      <c r="AS100" s="56"/>
    </row>
    <row r="101" spans="1:4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D101" s="56"/>
      <c r="AE101" s="56"/>
      <c r="AF101" s="56"/>
      <c r="AG101" s="56"/>
      <c r="AH101" s="56"/>
      <c r="AI101" s="56"/>
      <c r="AJ101" s="56"/>
      <c r="AQ101" s="56"/>
      <c r="AR101" s="56"/>
      <c r="AS101" s="56"/>
    </row>
    <row r="102" spans="1:4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D102" s="56"/>
      <c r="AE102" s="56"/>
      <c r="AF102" s="56"/>
      <c r="AG102" s="56"/>
      <c r="AH102" s="56"/>
      <c r="AI102" s="56"/>
      <c r="AJ102" s="56"/>
      <c r="AQ102" s="56"/>
      <c r="AR102" s="56"/>
      <c r="AS102" s="56"/>
    </row>
    <row r="103" spans="1:4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D103" s="56"/>
      <c r="AE103" s="56"/>
      <c r="AF103" s="56"/>
      <c r="AG103" s="56"/>
      <c r="AH103" s="56"/>
      <c r="AI103" s="56"/>
      <c r="AJ103" s="56"/>
      <c r="AQ103" s="56"/>
      <c r="AR103" s="56"/>
      <c r="AS103" s="56"/>
    </row>
    <row r="104" spans="1:4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D104" s="56"/>
      <c r="AE104" s="56"/>
      <c r="AF104" s="56"/>
      <c r="AG104" s="56"/>
      <c r="AH104" s="56"/>
      <c r="AI104" s="56"/>
      <c r="AJ104" s="56"/>
      <c r="AQ104" s="56"/>
      <c r="AR104" s="56"/>
      <c r="AS104" s="56"/>
    </row>
    <row r="105" spans="1:4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D105" s="56"/>
      <c r="AE105" s="56"/>
      <c r="AF105" s="56"/>
      <c r="AG105" s="56"/>
      <c r="AH105" s="56"/>
      <c r="AI105" s="56"/>
      <c r="AJ105" s="56"/>
      <c r="AQ105" s="56"/>
      <c r="AR105" s="56"/>
      <c r="AS105" s="56"/>
    </row>
    <row r="106" spans="1:4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D106" s="56"/>
      <c r="AE106" s="56"/>
      <c r="AF106" s="56"/>
      <c r="AG106" s="56"/>
      <c r="AH106" s="56"/>
      <c r="AI106" s="56"/>
      <c r="AJ106" s="56"/>
      <c r="AQ106" s="56"/>
      <c r="AR106" s="56"/>
      <c r="AS106" s="56"/>
    </row>
    <row r="107" spans="1:4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D107" s="56"/>
      <c r="AE107" s="56"/>
      <c r="AF107" s="56"/>
      <c r="AG107" s="56"/>
      <c r="AH107" s="56"/>
      <c r="AI107" s="56"/>
      <c r="AJ107" s="56"/>
      <c r="AQ107" s="56"/>
      <c r="AR107" s="56"/>
      <c r="AS107" s="56"/>
    </row>
    <row r="108" spans="1:4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D108" s="56"/>
      <c r="AE108" s="56"/>
      <c r="AF108" s="56"/>
      <c r="AG108" s="56"/>
      <c r="AH108" s="56"/>
      <c r="AI108" s="56"/>
      <c r="AJ108" s="56"/>
      <c r="AQ108" s="56"/>
      <c r="AR108" s="56"/>
      <c r="AS108" s="56"/>
    </row>
    <row r="109" spans="1:4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D109" s="56"/>
      <c r="AE109" s="56"/>
      <c r="AF109" s="56"/>
      <c r="AG109" s="56"/>
      <c r="AH109" s="56"/>
      <c r="AI109" s="56"/>
      <c r="AJ109" s="56"/>
      <c r="AQ109" s="56"/>
      <c r="AR109" s="56"/>
      <c r="AS109" s="56"/>
    </row>
    <row r="110" spans="1:4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D110" s="56"/>
      <c r="AE110" s="56"/>
      <c r="AF110" s="56"/>
      <c r="AG110" s="56"/>
      <c r="AH110" s="56"/>
      <c r="AI110" s="56"/>
      <c r="AJ110" s="56"/>
      <c r="AQ110" s="56"/>
      <c r="AR110" s="56"/>
      <c r="AS110" s="56"/>
    </row>
    <row r="111" spans="1:4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D111" s="56"/>
      <c r="AE111" s="56"/>
      <c r="AF111" s="56"/>
      <c r="AG111" s="56"/>
      <c r="AH111" s="56"/>
      <c r="AI111" s="56"/>
      <c r="AJ111" s="56"/>
      <c r="AQ111" s="56"/>
      <c r="AR111" s="56"/>
      <c r="AS111" s="56"/>
    </row>
    <row r="112" spans="1:4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D112" s="56"/>
      <c r="AE112" s="56"/>
      <c r="AF112" s="56"/>
      <c r="AG112" s="56"/>
      <c r="AH112" s="56"/>
      <c r="AI112" s="56"/>
      <c r="AJ112" s="56"/>
      <c r="AQ112" s="56"/>
      <c r="AR112" s="56"/>
      <c r="AS112" s="56"/>
    </row>
    <row r="113" spans="1:4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D113" s="56"/>
      <c r="AE113" s="56"/>
      <c r="AF113" s="56"/>
      <c r="AG113" s="56"/>
      <c r="AH113" s="56"/>
      <c r="AI113" s="56"/>
      <c r="AJ113" s="56"/>
      <c r="AQ113" s="56"/>
      <c r="AR113" s="56"/>
      <c r="AS113" s="56"/>
    </row>
    <row r="114" spans="1:4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D114" s="56"/>
      <c r="AE114" s="56"/>
      <c r="AF114" s="56"/>
      <c r="AG114" s="56"/>
      <c r="AH114" s="56"/>
      <c r="AI114" s="56"/>
      <c r="AJ114" s="56"/>
      <c r="AQ114" s="56"/>
      <c r="AR114" s="56"/>
      <c r="AS114" s="56"/>
    </row>
    <row r="115" spans="1:4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D115" s="56"/>
      <c r="AE115" s="56"/>
      <c r="AF115" s="56"/>
      <c r="AG115" s="56"/>
      <c r="AH115" s="56"/>
      <c r="AI115" s="56"/>
      <c r="AJ115" s="56"/>
      <c r="AQ115" s="56"/>
      <c r="AR115" s="56"/>
      <c r="AS115" s="56"/>
    </row>
    <row r="116" spans="1:4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D116" s="56"/>
      <c r="AE116" s="56"/>
      <c r="AF116" s="56"/>
      <c r="AG116" s="56"/>
      <c r="AH116" s="56"/>
      <c r="AI116" s="56"/>
      <c r="AJ116" s="56"/>
      <c r="AQ116" s="56"/>
      <c r="AR116" s="56"/>
      <c r="AS116" s="56"/>
    </row>
    <row r="117" spans="1:4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D117" s="56"/>
      <c r="AE117" s="56"/>
      <c r="AF117" s="56"/>
      <c r="AG117" s="56"/>
      <c r="AH117" s="56"/>
      <c r="AI117" s="56"/>
      <c r="AJ117" s="56"/>
      <c r="AQ117" s="56"/>
      <c r="AR117" s="56"/>
      <c r="AS117" s="56"/>
    </row>
    <row r="118" spans="1:4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D118" s="56"/>
      <c r="AE118" s="56"/>
      <c r="AF118" s="56"/>
      <c r="AG118" s="56"/>
      <c r="AH118" s="56"/>
      <c r="AI118" s="56"/>
      <c r="AJ118" s="56"/>
      <c r="AQ118" s="56"/>
      <c r="AR118" s="56"/>
      <c r="AS118" s="56"/>
    </row>
    <row r="119" spans="1:4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D119" s="56"/>
      <c r="AE119" s="56"/>
      <c r="AF119" s="56"/>
      <c r="AG119" s="56"/>
      <c r="AH119" s="56"/>
      <c r="AI119" s="56"/>
      <c r="AJ119" s="56"/>
      <c r="AQ119" s="56"/>
      <c r="AR119" s="56"/>
      <c r="AS119" s="56"/>
    </row>
    <row r="120" spans="1:4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D120" s="56"/>
      <c r="AE120" s="56"/>
      <c r="AF120" s="56"/>
      <c r="AG120" s="56"/>
      <c r="AH120" s="56"/>
      <c r="AI120" s="56"/>
      <c r="AJ120" s="56"/>
      <c r="AQ120" s="56"/>
      <c r="AR120" s="56"/>
      <c r="AS120" s="56"/>
    </row>
    <row r="121" spans="1:4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D121" s="56"/>
      <c r="AE121" s="56"/>
      <c r="AF121" s="56"/>
      <c r="AG121" s="56"/>
      <c r="AH121" s="56"/>
      <c r="AI121" s="56"/>
      <c r="AJ121" s="56"/>
      <c r="AQ121" s="56"/>
      <c r="AR121" s="56"/>
      <c r="AS121" s="56"/>
    </row>
    <row r="122" spans="1:4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D122" s="56"/>
      <c r="AE122" s="56"/>
      <c r="AF122" s="56"/>
      <c r="AG122" s="56"/>
      <c r="AH122" s="56"/>
      <c r="AI122" s="56"/>
      <c r="AJ122" s="56"/>
      <c r="AQ122" s="56"/>
      <c r="AR122" s="56"/>
      <c r="AS122" s="56"/>
    </row>
    <row r="123" spans="1:4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D123" s="56"/>
      <c r="AE123" s="56"/>
      <c r="AF123" s="56"/>
      <c r="AG123" s="56"/>
      <c r="AH123" s="56"/>
      <c r="AI123" s="56"/>
      <c r="AJ123" s="56"/>
      <c r="AQ123" s="56"/>
      <c r="AR123" s="56"/>
      <c r="AS123" s="56"/>
    </row>
    <row r="124" spans="1:4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D124" s="56"/>
      <c r="AE124" s="56"/>
      <c r="AF124" s="56"/>
      <c r="AG124" s="56"/>
      <c r="AH124" s="56"/>
      <c r="AI124" s="56"/>
      <c r="AJ124" s="56"/>
      <c r="AQ124" s="56"/>
      <c r="AR124" s="56"/>
      <c r="AS124" s="56"/>
    </row>
    <row r="125" spans="1:4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D125" s="56"/>
      <c r="AE125" s="56"/>
      <c r="AF125" s="56"/>
      <c r="AG125" s="56"/>
      <c r="AH125" s="56"/>
      <c r="AI125" s="56"/>
      <c r="AJ125" s="56"/>
      <c r="AQ125" s="56"/>
      <c r="AR125" s="56"/>
      <c r="AS125" s="56"/>
    </row>
    <row r="126" spans="1:4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D126" s="56"/>
      <c r="AE126" s="56"/>
      <c r="AF126" s="56"/>
      <c r="AG126" s="56"/>
      <c r="AH126" s="56"/>
      <c r="AI126" s="56"/>
      <c r="AJ126" s="56"/>
      <c r="AQ126" s="56"/>
      <c r="AR126" s="56"/>
      <c r="AS126" s="56"/>
    </row>
    <row r="127" spans="1:4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D127" s="56"/>
      <c r="AE127" s="56"/>
      <c r="AF127" s="56"/>
      <c r="AG127" s="56"/>
      <c r="AH127" s="56"/>
      <c r="AI127" s="56"/>
      <c r="AJ127" s="56"/>
      <c r="AQ127" s="56"/>
      <c r="AR127" s="56"/>
      <c r="AS127" s="56"/>
    </row>
    <row r="128" spans="1:4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D128" s="56"/>
      <c r="AE128" s="56"/>
      <c r="AF128" s="56"/>
      <c r="AG128" s="56"/>
      <c r="AH128" s="56"/>
      <c r="AI128" s="56"/>
      <c r="AJ128" s="56"/>
      <c r="AQ128" s="56"/>
      <c r="AR128" s="56"/>
      <c r="AS128" s="56"/>
    </row>
    <row r="129" spans="1:4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D129" s="56"/>
      <c r="AE129" s="56"/>
      <c r="AF129" s="56"/>
      <c r="AG129" s="56"/>
      <c r="AH129" s="56"/>
      <c r="AI129" s="56"/>
      <c r="AJ129" s="56"/>
      <c r="AQ129" s="56"/>
      <c r="AR129" s="56"/>
      <c r="AS129" s="56"/>
    </row>
    <row r="130" spans="1:4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D130" s="56"/>
      <c r="AE130" s="56"/>
      <c r="AF130" s="56"/>
      <c r="AG130" s="56"/>
      <c r="AH130" s="56"/>
      <c r="AI130" s="56"/>
      <c r="AJ130" s="56"/>
      <c r="AQ130" s="56"/>
      <c r="AR130" s="56"/>
      <c r="AS130" s="56"/>
    </row>
    <row r="131" spans="1:4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D131" s="56"/>
      <c r="AE131" s="56"/>
      <c r="AF131" s="56"/>
      <c r="AG131" s="56"/>
      <c r="AH131" s="56"/>
      <c r="AI131" s="56"/>
      <c r="AJ131" s="56"/>
      <c r="AQ131" s="56"/>
      <c r="AR131" s="56"/>
      <c r="AS131" s="56"/>
    </row>
    <row r="132" spans="1:4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D132" s="56"/>
      <c r="AE132" s="56"/>
      <c r="AF132" s="56"/>
      <c r="AG132" s="56"/>
      <c r="AH132" s="56"/>
      <c r="AI132" s="56"/>
      <c r="AJ132" s="56"/>
      <c r="AQ132" s="56"/>
      <c r="AR132" s="56"/>
      <c r="AS132" s="56"/>
    </row>
    <row r="133" spans="1:4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D133" s="56"/>
      <c r="AE133" s="56"/>
      <c r="AF133" s="56"/>
      <c r="AG133" s="56"/>
      <c r="AH133" s="56"/>
      <c r="AI133" s="56"/>
      <c r="AJ133" s="56"/>
      <c r="AQ133" s="56"/>
      <c r="AR133" s="56"/>
      <c r="AS133" s="56"/>
    </row>
    <row r="134" spans="1:4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D134" s="56"/>
      <c r="AE134" s="56"/>
      <c r="AF134" s="56"/>
      <c r="AG134" s="56"/>
      <c r="AH134" s="56"/>
      <c r="AI134" s="56"/>
      <c r="AJ134" s="56"/>
      <c r="AQ134" s="56"/>
      <c r="AR134" s="56"/>
      <c r="AS134" s="56"/>
    </row>
    <row r="135" spans="1:4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D135" s="56"/>
      <c r="AE135" s="56"/>
      <c r="AF135" s="56"/>
      <c r="AG135" s="56"/>
      <c r="AH135" s="56"/>
      <c r="AI135" s="56"/>
      <c r="AJ135" s="56"/>
      <c r="AQ135" s="56"/>
      <c r="AR135" s="56"/>
      <c r="AS135" s="56"/>
    </row>
    <row r="136" spans="1:4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D136" s="56"/>
      <c r="AE136" s="56"/>
      <c r="AF136" s="56"/>
      <c r="AG136" s="56"/>
      <c r="AH136" s="56"/>
      <c r="AI136" s="56"/>
      <c r="AJ136" s="56"/>
      <c r="AQ136" s="56"/>
      <c r="AR136" s="56"/>
      <c r="AS136" s="56"/>
    </row>
    <row r="137" spans="1:4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D137" s="56"/>
      <c r="AE137" s="56"/>
      <c r="AF137" s="56"/>
      <c r="AG137" s="56"/>
      <c r="AH137" s="56"/>
      <c r="AI137" s="56"/>
      <c r="AJ137" s="56"/>
      <c r="AQ137" s="56"/>
      <c r="AR137" s="56"/>
      <c r="AS137" s="56"/>
    </row>
    <row r="138" spans="1:4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D138" s="56"/>
      <c r="AE138" s="56"/>
      <c r="AF138" s="56"/>
      <c r="AG138" s="56"/>
      <c r="AH138" s="56"/>
      <c r="AI138" s="56"/>
      <c r="AJ138" s="56"/>
      <c r="AQ138" s="56"/>
      <c r="AR138" s="56"/>
      <c r="AS138" s="56"/>
    </row>
    <row r="139" spans="1:4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D139" s="56"/>
      <c r="AE139" s="56"/>
      <c r="AF139" s="56"/>
      <c r="AG139" s="56"/>
      <c r="AH139" s="56"/>
      <c r="AI139" s="56"/>
      <c r="AJ139" s="56"/>
      <c r="AQ139" s="56"/>
      <c r="AR139" s="56"/>
      <c r="AS139" s="56"/>
    </row>
    <row r="140" spans="1:4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D140" s="56"/>
      <c r="AE140" s="56"/>
      <c r="AF140" s="56"/>
      <c r="AG140" s="56"/>
      <c r="AH140" s="56"/>
      <c r="AI140" s="56"/>
      <c r="AJ140" s="56"/>
      <c r="AQ140" s="56"/>
      <c r="AR140" s="56"/>
      <c r="AS140" s="56"/>
    </row>
    <row r="141" spans="1:4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D141" s="56"/>
      <c r="AE141" s="56"/>
      <c r="AF141" s="56"/>
      <c r="AG141" s="56"/>
      <c r="AH141" s="56"/>
      <c r="AI141" s="56"/>
      <c r="AJ141" s="56"/>
      <c r="AQ141" s="56"/>
      <c r="AR141" s="56"/>
      <c r="AS141" s="56"/>
    </row>
    <row r="142" spans="1:4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D142" s="56"/>
      <c r="AE142" s="56"/>
      <c r="AF142" s="56"/>
      <c r="AG142" s="56"/>
      <c r="AH142" s="56"/>
      <c r="AI142" s="56"/>
      <c r="AJ142" s="56"/>
      <c r="AQ142" s="56"/>
      <c r="AR142" s="56"/>
      <c r="AS142" s="56"/>
    </row>
    <row r="143" spans="1:4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D143" s="56"/>
      <c r="AE143" s="56"/>
      <c r="AF143" s="56"/>
      <c r="AG143" s="56"/>
      <c r="AH143" s="56"/>
      <c r="AI143" s="56"/>
      <c r="AJ143" s="56"/>
      <c r="AQ143" s="56"/>
      <c r="AR143" s="56"/>
      <c r="AS143" s="56"/>
    </row>
    <row r="144" spans="1:4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D144" s="56"/>
      <c r="AE144" s="56"/>
      <c r="AF144" s="56"/>
      <c r="AG144" s="56"/>
      <c r="AH144" s="56"/>
      <c r="AI144" s="56"/>
      <c r="AJ144" s="56"/>
      <c r="AQ144" s="56"/>
      <c r="AR144" s="56"/>
      <c r="AS144" s="56"/>
    </row>
    <row r="145" spans="1:4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D145" s="56"/>
      <c r="AE145" s="56"/>
      <c r="AF145" s="56"/>
      <c r="AG145" s="56"/>
      <c r="AH145" s="56"/>
      <c r="AI145" s="56"/>
      <c r="AJ145" s="56"/>
      <c r="AQ145" s="56"/>
      <c r="AR145" s="56"/>
      <c r="AS145" s="56"/>
    </row>
    <row r="146" spans="1:4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D146" s="56"/>
      <c r="AE146" s="56"/>
      <c r="AF146" s="56"/>
      <c r="AG146" s="56"/>
      <c r="AH146" s="56"/>
      <c r="AI146" s="56"/>
      <c r="AJ146" s="56"/>
      <c r="AQ146" s="56"/>
      <c r="AR146" s="56"/>
      <c r="AS146" s="56"/>
    </row>
    <row r="147" spans="1:4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D147" s="56"/>
      <c r="AE147" s="56"/>
      <c r="AF147" s="56"/>
      <c r="AG147" s="56"/>
      <c r="AH147" s="56"/>
      <c r="AI147" s="56"/>
      <c r="AJ147" s="56"/>
      <c r="AQ147" s="56"/>
      <c r="AR147" s="56"/>
      <c r="AS147" s="56"/>
    </row>
    <row r="148" spans="1:4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D148" s="56"/>
      <c r="AE148" s="56"/>
      <c r="AF148" s="56"/>
      <c r="AG148" s="56"/>
      <c r="AH148" s="56"/>
      <c r="AI148" s="56"/>
      <c r="AJ148" s="56"/>
      <c r="AQ148" s="56"/>
      <c r="AR148" s="56"/>
      <c r="AS148" s="56"/>
    </row>
    <row r="149" spans="1:4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D149" s="56"/>
      <c r="AE149" s="56"/>
      <c r="AF149" s="56"/>
      <c r="AG149" s="56"/>
      <c r="AH149" s="56"/>
      <c r="AI149" s="56"/>
      <c r="AJ149" s="56"/>
      <c r="AQ149" s="56"/>
      <c r="AR149" s="56"/>
      <c r="AS149" s="56"/>
    </row>
    <row r="150" spans="1:4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D150" s="56"/>
      <c r="AE150" s="56"/>
      <c r="AF150" s="56"/>
      <c r="AG150" s="56"/>
      <c r="AH150" s="56"/>
      <c r="AI150" s="56"/>
      <c r="AJ150" s="56"/>
      <c r="AQ150" s="56"/>
      <c r="AR150" s="56"/>
      <c r="AS150" s="56"/>
    </row>
    <row r="151" spans="1:4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D151" s="56"/>
      <c r="AE151" s="56"/>
      <c r="AF151" s="56"/>
      <c r="AG151" s="56"/>
      <c r="AH151" s="56"/>
      <c r="AI151" s="56"/>
      <c r="AJ151" s="56"/>
      <c r="AQ151" s="56"/>
      <c r="AR151" s="56"/>
      <c r="AS151" s="56"/>
    </row>
    <row r="152" spans="1:4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D152" s="56"/>
      <c r="AE152" s="56"/>
      <c r="AF152" s="56"/>
      <c r="AG152" s="56"/>
      <c r="AH152" s="56"/>
      <c r="AI152" s="56"/>
      <c r="AJ152" s="56"/>
      <c r="AQ152" s="56"/>
      <c r="AR152" s="56"/>
      <c r="AS152" s="56"/>
    </row>
    <row r="153" spans="1:4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D153" s="56"/>
      <c r="AE153" s="56"/>
      <c r="AF153" s="56"/>
      <c r="AG153" s="56"/>
      <c r="AH153" s="56"/>
      <c r="AI153" s="56"/>
      <c r="AJ153" s="56"/>
      <c r="AQ153" s="56"/>
      <c r="AR153" s="56"/>
      <c r="AS153" s="56"/>
    </row>
    <row r="154" spans="1:4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D154" s="56"/>
      <c r="AE154" s="56"/>
      <c r="AF154" s="56"/>
      <c r="AG154" s="56"/>
      <c r="AH154" s="56"/>
      <c r="AI154" s="56"/>
      <c r="AJ154" s="56"/>
      <c r="AQ154" s="56"/>
      <c r="AR154" s="56"/>
      <c r="AS154" s="56"/>
    </row>
    <row r="155" spans="1:4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D155" s="56"/>
      <c r="AE155" s="56"/>
      <c r="AF155" s="56"/>
      <c r="AG155" s="56"/>
      <c r="AH155" s="56"/>
      <c r="AI155" s="56"/>
      <c r="AJ155" s="56"/>
      <c r="AQ155" s="56"/>
      <c r="AR155" s="56"/>
      <c r="AS155" s="56"/>
    </row>
    <row r="156" spans="1:4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D156" s="56"/>
      <c r="AE156" s="56"/>
      <c r="AF156" s="56"/>
      <c r="AG156" s="56"/>
      <c r="AH156" s="56"/>
      <c r="AI156" s="56"/>
      <c r="AJ156" s="56"/>
      <c r="AQ156" s="56"/>
      <c r="AR156" s="56"/>
      <c r="AS156" s="56"/>
    </row>
    <row r="157" spans="1:4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D157" s="56"/>
      <c r="AE157" s="56"/>
      <c r="AF157" s="56"/>
      <c r="AG157" s="56"/>
      <c r="AH157" s="56"/>
      <c r="AI157" s="56"/>
      <c r="AJ157" s="56"/>
      <c r="AQ157" s="56"/>
      <c r="AR157" s="56"/>
      <c r="AS157" s="56"/>
    </row>
    <row r="158" spans="1:4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D158" s="56"/>
      <c r="AE158" s="56"/>
      <c r="AF158" s="56"/>
      <c r="AG158" s="56"/>
      <c r="AH158" s="56"/>
      <c r="AI158" s="56"/>
      <c r="AJ158" s="56"/>
      <c r="AQ158" s="56"/>
      <c r="AR158" s="56"/>
      <c r="AS158" s="56"/>
    </row>
    <row r="159" spans="1:4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D159" s="56"/>
      <c r="AE159" s="56"/>
      <c r="AF159" s="56"/>
      <c r="AG159" s="56"/>
      <c r="AH159" s="56"/>
      <c r="AI159" s="56"/>
      <c r="AJ159" s="56"/>
      <c r="AQ159" s="56"/>
      <c r="AR159" s="56"/>
      <c r="AS159" s="56"/>
    </row>
    <row r="160" spans="1:4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D160" s="56"/>
      <c r="AE160" s="56"/>
      <c r="AF160" s="56"/>
      <c r="AG160" s="56"/>
      <c r="AH160" s="56"/>
      <c r="AI160" s="56"/>
      <c r="AJ160" s="56"/>
      <c r="AQ160" s="56"/>
      <c r="AR160" s="56"/>
      <c r="AS160" s="56"/>
    </row>
    <row r="161" spans="1:4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D161" s="56"/>
      <c r="AE161" s="56"/>
      <c r="AF161" s="56"/>
      <c r="AG161" s="56"/>
      <c r="AH161" s="56"/>
      <c r="AI161" s="56"/>
      <c r="AJ161" s="56"/>
      <c r="AQ161" s="56"/>
      <c r="AR161" s="56"/>
      <c r="AS161" s="56"/>
    </row>
    <row r="162" spans="1:4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D162" s="56"/>
      <c r="AE162" s="56"/>
      <c r="AF162" s="56"/>
      <c r="AG162" s="56"/>
      <c r="AH162" s="56"/>
      <c r="AI162" s="56"/>
      <c r="AJ162" s="56"/>
      <c r="AQ162" s="56"/>
      <c r="AR162" s="56"/>
      <c r="AS162" s="56"/>
    </row>
    <row r="163" spans="1:4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D163" s="56"/>
      <c r="AE163" s="56"/>
      <c r="AF163" s="56"/>
      <c r="AG163" s="56"/>
      <c r="AH163" s="56"/>
      <c r="AI163" s="56"/>
      <c r="AJ163" s="56"/>
      <c r="AQ163" s="56"/>
      <c r="AR163" s="56"/>
      <c r="AS163" s="56"/>
    </row>
    <row r="164" spans="1:4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D164" s="56"/>
      <c r="AE164" s="56"/>
      <c r="AF164" s="56"/>
      <c r="AG164" s="56"/>
      <c r="AH164" s="56"/>
      <c r="AI164" s="56"/>
      <c r="AJ164" s="56"/>
      <c r="AQ164" s="56"/>
      <c r="AR164" s="56"/>
      <c r="AS164" s="56"/>
    </row>
    <row r="165" spans="1:4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D165" s="56"/>
      <c r="AE165" s="56"/>
      <c r="AF165" s="56"/>
      <c r="AG165" s="56"/>
      <c r="AH165" s="56"/>
      <c r="AI165" s="56"/>
      <c r="AJ165" s="56"/>
      <c r="AQ165" s="56"/>
      <c r="AR165" s="56"/>
      <c r="AS165" s="56"/>
    </row>
    <row r="166" spans="1:4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D166" s="56"/>
      <c r="AE166" s="56"/>
      <c r="AF166" s="56"/>
      <c r="AG166" s="56"/>
      <c r="AH166" s="56"/>
      <c r="AI166" s="56"/>
      <c r="AJ166" s="56"/>
      <c r="AQ166" s="56"/>
      <c r="AR166" s="56"/>
      <c r="AS166" s="56"/>
    </row>
    <row r="167" spans="1:4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D167" s="56"/>
      <c r="AE167" s="56"/>
      <c r="AF167" s="56"/>
      <c r="AG167" s="56"/>
      <c r="AH167" s="56"/>
      <c r="AI167" s="56"/>
      <c r="AJ167" s="56"/>
      <c r="AQ167" s="56"/>
      <c r="AR167" s="56"/>
      <c r="AS167" s="56"/>
    </row>
    <row r="168" spans="1:4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D168" s="56"/>
      <c r="AE168" s="56"/>
      <c r="AF168" s="56"/>
      <c r="AG168" s="56"/>
      <c r="AH168" s="56"/>
      <c r="AI168" s="56"/>
      <c r="AJ168" s="56"/>
      <c r="AQ168" s="56"/>
      <c r="AR168" s="56"/>
      <c r="AS168" s="56"/>
    </row>
    <row r="169" spans="1:4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D169" s="56"/>
      <c r="AE169" s="56"/>
      <c r="AF169" s="56"/>
      <c r="AG169" s="56"/>
      <c r="AH169" s="56"/>
      <c r="AI169" s="56"/>
      <c r="AJ169" s="56"/>
      <c r="AQ169" s="56"/>
      <c r="AR169" s="56"/>
      <c r="AS169" s="56"/>
    </row>
    <row r="170" spans="1:4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D170" s="56"/>
      <c r="AE170" s="56"/>
      <c r="AF170" s="56"/>
      <c r="AG170" s="56"/>
      <c r="AH170" s="56"/>
      <c r="AI170" s="56"/>
      <c r="AJ170" s="56"/>
      <c r="AQ170" s="56"/>
      <c r="AR170" s="56"/>
      <c r="AS170" s="56"/>
    </row>
    <row r="171" spans="1:4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D171" s="56"/>
      <c r="AE171" s="56"/>
      <c r="AF171" s="56"/>
      <c r="AG171" s="56"/>
      <c r="AH171" s="56"/>
      <c r="AI171" s="56"/>
      <c r="AJ171" s="56"/>
      <c r="AQ171" s="56"/>
      <c r="AR171" s="56"/>
      <c r="AS171" s="56"/>
    </row>
    <row r="172" spans="1:4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D172" s="56"/>
      <c r="AE172" s="56"/>
      <c r="AF172" s="56"/>
      <c r="AG172" s="56"/>
      <c r="AH172" s="56"/>
      <c r="AI172" s="56"/>
      <c r="AJ172" s="56"/>
      <c r="AQ172" s="56"/>
      <c r="AR172" s="56"/>
      <c r="AS172" s="56"/>
    </row>
    <row r="173" spans="1:4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D173" s="56"/>
      <c r="AE173" s="56"/>
      <c r="AF173" s="56"/>
      <c r="AG173" s="56"/>
      <c r="AH173" s="56"/>
      <c r="AI173" s="56"/>
      <c r="AJ173" s="56"/>
      <c r="AQ173" s="56"/>
      <c r="AR173" s="56"/>
      <c r="AS173" s="56"/>
    </row>
    <row r="174" spans="1:4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D174" s="56"/>
      <c r="AE174" s="56"/>
      <c r="AF174" s="56"/>
      <c r="AG174" s="56"/>
      <c r="AH174" s="56"/>
      <c r="AI174" s="56"/>
      <c r="AJ174" s="56"/>
      <c r="AQ174" s="56"/>
      <c r="AR174" s="56"/>
      <c r="AS174" s="56"/>
    </row>
    <row r="175" spans="1:4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D175" s="56"/>
      <c r="AE175" s="56"/>
      <c r="AF175" s="56"/>
      <c r="AG175" s="56"/>
      <c r="AH175" s="56"/>
      <c r="AI175" s="56"/>
      <c r="AJ175" s="56"/>
      <c r="AQ175" s="56"/>
      <c r="AR175" s="56"/>
      <c r="AS175" s="56"/>
    </row>
    <row r="176" spans="1:4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D176" s="56"/>
      <c r="AE176" s="56"/>
      <c r="AF176" s="56"/>
      <c r="AG176" s="56"/>
      <c r="AH176" s="56"/>
      <c r="AI176" s="56"/>
      <c r="AJ176" s="56"/>
      <c r="AQ176" s="56"/>
      <c r="AR176" s="56"/>
      <c r="AS176" s="56"/>
    </row>
    <row r="177" spans="1:4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D177" s="56"/>
      <c r="AE177" s="56"/>
      <c r="AF177" s="56"/>
      <c r="AG177" s="56"/>
      <c r="AH177" s="56"/>
      <c r="AI177" s="56"/>
      <c r="AJ177" s="56"/>
      <c r="AQ177" s="56"/>
      <c r="AR177" s="56"/>
      <c r="AS177" s="56"/>
    </row>
    <row r="178" spans="1:4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D178" s="56"/>
      <c r="AE178" s="56"/>
      <c r="AF178" s="56"/>
      <c r="AG178" s="56"/>
      <c r="AH178" s="56"/>
      <c r="AI178" s="56"/>
      <c r="AJ178" s="56"/>
      <c r="AQ178" s="56"/>
      <c r="AR178" s="56"/>
      <c r="AS178" s="56"/>
    </row>
    <row r="179" spans="1:4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D179" s="56"/>
      <c r="AE179" s="56"/>
      <c r="AF179" s="56"/>
      <c r="AG179" s="56"/>
      <c r="AH179" s="56"/>
      <c r="AI179" s="56"/>
      <c r="AJ179" s="56"/>
      <c r="AQ179" s="56"/>
      <c r="AR179" s="56"/>
      <c r="AS179" s="56"/>
    </row>
    <row r="180" spans="1:4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D180" s="56"/>
      <c r="AE180" s="56"/>
      <c r="AF180" s="56"/>
      <c r="AG180" s="56"/>
      <c r="AH180" s="56"/>
      <c r="AI180" s="56"/>
      <c r="AJ180" s="56"/>
      <c r="AQ180" s="56"/>
      <c r="AR180" s="56"/>
      <c r="AS180" s="56"/>
    </row>
    <row r="181" spans="1:4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D181" s="56"/>
      <c r="AE181" s="56"/>
      <c r="AF181" s="56"/>
      <c r="AG181" s="56"/>
      <c r="AH181" s="56"/>
      <c r="AI181" s="56"/>
      <c r="AJ181" s="56"/>
      <c r="AQ181" s="56"/>
      <c r="AR181" s="56"/>
      <c r="AS181" s="56"/>
    </row>
    <row r="182" spans="1:4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D182" s="56"/>
      <c r="AE182" s="56"/>
      <c r="AF182" s="56"/>
      <c r="AG182" s="56"/>
      <c r="AH182" s="56"/>
      <c r="AI182" s="56"/>
      <c r="AJ182" s="56"/>
      <c r="AQ182" s="56"/>
      <c r="AR182" s="56"/>
      <c r="AS182" s="56"/>
    </row>
    <row r="183" spans="1:4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D183" s="56"/>
      <c r="AE183" s="56"/>
      <c r="AF183" s="56"/>
      <c r="AG183" s="56"/>
      <c r="AH183" s="56"/>
      <c r="AI183" s="56"/>
      <c r="AJ183" s="56"/>
      <c r="AQ183" s="56"/>
      <c r="AR183" s="56"/>
      <c r="AS183" s="56"/>
    </row>
    <row r="184" spans="1:4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D184" s="56"/>
      <c r="AE184" s="56"/>
      <c r="AF184" s="56"/>
      <c r="AG184" s="56"/>
      <c r="AH184" s="56"/>
      <c r="AI184" s="56"/>
      <c r="AJ184" s="56"/>
      <c r="AQ184" s="56"/>
      <c r="AR184" s="56"/>
      <c r="AS184" s="56"/>
    </row>
    <row r="185" spans="1:4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D185" s="56"/>
      <c r="AE185" s="56"/>
      <c r="AF185" s="56"/>
      <c r="AG185" s="56"/>
      <c r="AH185" s="56"/>
      <c r="AI185" s="56"/>
      <c r="AJ185" s="56"/>
      <c r="AQ185" s="56"/>
      <c r="AR185" s="56"/>
      <c r="AS185" s="56"/>
    </row>
    <row r="186" spans="1:4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D186" s="56"/>
      <c r="AE186" s="56"/>
      <c r="AF186" s="56"/>
      <c r="AG186" s="56"/>
      <c r="AH186" s="56"/>
      <c r="AI186" s="56"/>
      <c r="AJ186" s="56"/>
      <c r="AQ186" s="56"/>
      <c r="AR186" s="56"/>
      <c r="AS186" s="56"/>
    </row>
    <row r="187" spans="1:4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D187" s="56"/>
      <c r="AE187" s="56"/>
      <c r="AF187" s="56"/>
      <c r="AG187" s="56"/>
      <c r="AH187" s="56"/>
      <c r="AI187" s="56"/>
      <c r="AJ187" s="56"/>
      <c r="AQ187" s="56"/>
      <c r="AR187" s="56"/>
      <c r="AS187" s="56"/>
    </row>
    <row r="188" spans="1:4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D188" s="56"/>
      <c r="AE188" s="56"/>
      <c r="AF188" s="56"/>
      <c r="AG188" s="56"/>
      <c r="AH188" s="56"/>
      <c r="AI188" s="56"/>
      <c r="AJ188" s="56"/>
      <c r="AQ188" s="56"/>
      <c r="AR188" s="56"/>
      <c r="AS188" s="56"/>
    </row>
    <row r="189" spans="1:4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D189" s="56"/>
      <c r="AE189" s="56"/>
      <c r="AF189" s="56"/>
      <c r="AG189" s="56"/>
      <c r="AH189" s="56"/>
      <c r="AI189" s="56"/>
      <c r="AJ189" s="56"/>
      <c r="AQ189" s="56"/>
      <c r="AR189" s="56"/>
      <c r="AS189" s="56"/>
    </row>
    <row r="190" spans="1:4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D190" s="56"/>
      <c r="AE190" s="56"/>
      <c r="AF190" s="56"/>
      <c r="AG190" s="56"/>
      <c r="AH190" s="56"/>
      <c r="AI190" s="56"/>
      <c r="AJ190" s="56"/>
      <c r="AQ190" s="56"/>
      <c r="AR190" s="56"/>
      <c r="AS190" s="56"/>
    </row>
    <row r="191" spans="1:4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D191" s="56"/>
      <c r="AE191" s="56"/>
      <c r="AF191" s="56"/>
      <c r="AG191" s="56"/>
      <c r="AH191" s="56"/>
      <c r="AI191" s="56"/>
      <c r="AJ191" s="56"/>
      <c r="AQ191" s="56"/>
      <c r="AR191" s="56"/>
      <c r="AS191" s="56"/>
    </row>
    <row r="192" spans="1:4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D192" s="56"/>
      <c r="AE192" s="56"/>
      <c r="AF192" s="56"/>
      <c r="AG192" s="56"/>
      <c r="AH192" s="56"/>
      <c r="AI192" s="56"/>
      <c r="AJ192" s="56"/>
      <c r="AQ192" s="56"/>
      <c r="AR192" s="56"/>
      <c r="AS192" s="56"/>
    </row>
    <row r="193" spans="1:4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D193" s="56"/>
      <c r="AE193" s="56"/>
      <c r="AF193" s="56"/>
      <c r="AG193" s="56"/>
      <c r="AH193" s="56"/>
      <c r="AI193" s="56"/>
      <c r="AJ193" s="56"/>
      <c r="AQ193" s="56"/>
      <c r="AR193" s="56"/>
      <c r="AS193" s="56"/>
    </row>
    <row r="194" spans="1:4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D194" s="56"/>
      <c r="AE194" s="56"/>
      <c r="AF194" s="56"/>
      <c r="AG194" s="56"/>
      <c r="AH194" s="56"/>
      <c r="AI194" s="56"/>
      <c r="AJ194" s="56"/>
      <c r="AQ194" s="56"/>
      <c r="AR194" s="56"/>
      <c r="AS194" s="56"/>
    </row>
    <row r="195" spans="1:4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D195" s="56"/>
      <c r="AE195" s="56"/>
      <c r="AF195" s="56"/>
      <c r="AG195" s="56"/>
      <c r="AH195" s="56"/>
      <c r="AI195" s="56"/>
      <c r="AJ195" s="56"/>
      <c r="AQ195" s="56"/>
      <c r="AR195" s="56"/>
      <c r="AS195" s="56"/>
    </row>
    <row r="196" spans="1:4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D196" s="56"/>
      <c r="AE196" s="56"/>
      <c r="AF196" s="56"/>
      <c r="AG196" s="56"/>
      <c r="AH196" s="56"/>
      <c r="AI196" s="56"/>
      <c r="AJ196" s="56"/>
      <c r="AQ196" s="56"/>
      <c r="AR196" s="56"/>
      <c r="AS196" s="56"/>
    </row>
    <row r="197" spans="1:4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D197" s="56"/>
      <c r="AE197" s="56"/>
      <c r="AF197" s="56"/>
      <c r="AG197" s="56"/>
      <c r="AH197" s="56"/>
      <c r="AI197" s="56"/>
      <c r="AJ197" s="56"/>
      <c r="AQ197" s="56"/>
      <c r="AR197" s="56"/>
      <c r="AS197" s="56"/>
    </row>
    <row r="198" spans="1:4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D198" s="56"/>
      <c r="AE198" s="56"/>
      <c r="AF198" s="56"/>
      <c r="AG198" s="56"/>
      <c r="AH198" s="56"/>
      <c r="AI198" s="56"/>
      <c r="AJ198" s="56"/>
      <c r="AQ198" s="56"/>
      <c r="AR198" s="56"/>
      <c r="AS198" s="56"/>
    </row>
    <row r="199" spans="1:4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D199" s="56"/>
      <c r="AE199" s="56"/>
      <c r="AF199" s="56"/>
      <c r="AG199" s="56"/>
      <c r="AH199" s="56"/>
      <c r="AI199" s="56"/>
      <c r="AJ199" s="56"/>
      <c r="AQ199" s="56"/>
      <c r="AR199" s="56"/>
      <c r="AS199" s="56"/>
    </row>
    <row r="200" spans="1:4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D200" s="56"/>
      <c r="AE200" s="56"/>
      <c r="AF200" s="56"/>
      <c r="AG200" s="56"/>
      <c r="AH200" s="56"/>
      <c r="AI200" s="56"/>
      <c r="AJ200" s="56"/>
      <c r="AQ200" s="56"/>
      <c r="AR200" s="56"/>
      <c r="AS200" s="56"/>
    </row>
    <row r="201" spans="1:4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D201" s="56"/>
      <c r="AE201" s="56"/>
      <c r="AF201" s="56"/>
      <c r="AG201" s="56"/>
      <c r="AH201" s="56"/>
      <c r="AI201" s="56"/>
      <c r="AJ201" s="56"/>
      <c r="AQ201" s="56"/>
      <c r="AR201" s="56"/>
      <c r="AS201" s="56"/>
    </row>
    <row r="202" spans="1:4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D202" s="56"/>
      <c r="AE202" s="56"/>
      <c r="AF202" s="56"/>
      <c r="AG202" s="56"/>
      <c r="AH202" s="56"/>
      <c r="AI202" s="56"/>
      <c r="AJ202" s="56"/>
      <c r="AQ202" s="56"/>
      <c r="AR202" s="56"/>
      <c r="AS202" s="56"/>
    </row>
    <row r="203" spans="1:4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D203" s="56"/>
      <c r="AE203" s="56"/>
      <c r="AF203" s="56"/>
      <c r="AG203" s="56"/>
      <c r="AH203" s="56"/>
      <c r="AI203" s="56"/>
      <c r="AJ203" s="56"/>
      <c r="AQ203" s="56"/>
      <c r="AR203" s="56"/>
      <c r="AS203" s="56"/>
    </row>
    <row r="204" spans="1:4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D204" s="56"/>
      <c r="AE204" s="56"/>
      <c r="AF204" s="56"/>
      <c r="AG204" s="56"/>
      <c r="AH204" s="56"/>
      <c r="AI204" s="56"/>
      <c r="AJ204" s="56"/>
      <c r="AQ204" s="56"/>
      <c r="AR204" s="56"/>
      <c r="AS204" s="56"/>
    </row>
    <row r="205" spans="1:4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D205" s="56"/>
      <c r="AE205" s="56"/>
      <c r="AF205" s="56"/>
      <c r="AG205" s="56"/>
      <c r="AH205" s="56"/>
      <c r="AI205" s="56"/>
      <c r="AJ205" s="56"/>
      <c r="AQ205" s="56"/>
      <c r="AR205" s="56"/>
      <c r="AS205" s="56"/>
    </row>
    <row r="206" spans="1:4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D206" s="56"/>
      <c r="AE206" s="56"/>
      <c r="AF206" s="56"/>
      <c r="AG206" s="56"/>
      <c r="AH206" s="56"/>
      <c r="AI206" s="56"/>
      <c r="AJ206" s="56"/>
      <c r="AQ206" s="56"/>
      <c r="AR206" s="56"/>
      <c r="AS206" s="56"/>
    </row>
    <row r="207" spans="1:4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D207" s="56"/>
      <c r="AE207" s="56"/>
      <c r="AF207" s="56"/>
      <c r="AG207" s="56"/>
      <c r="AH207" s="56"/>
      <c r="AI207" s="56"/>
      <c r="AJ207" s="56"/>
      <c r="AQ207" s="56"/>
      <c r="AR207" s="56"/>
      <c r="AS207" s="56"/>
    </row>
    <row r="208" spans="1:4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D208" s="56"/>
      <c r="AE208" s="56"/>
      <c r="AF208" s="56"/>
      <c r="AG208" s="56"/>
      <c r="AH208" s="56"/>
      <c r="AI208" s="56"/>
      <c r="AJ208" s="56"/>
      <c r="AQ208" s="56"/>
      <c r="AR208" s="56"/>
      <c r="AS208" s="56"/>
    </row>
    <row r="209" spans="1:4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D209" s="56"/>
      <c r="AE209" s="56"/>
      <c r="AF209" s="56"/>
      <c r="AG209" s="56"/>
      <c r="AH209" s="56"/>
      <c r="AI209" s="56"/>
      <c r="AJ209" s="56"/>
      <c r="AQ209" s="56"/>
      <c r="AR209" s="56"/>
      <c r="AS209" s="56"/>
    </row>
    <row r="210" spans="1:4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D210" s="56"/>
      <c r="AE210" s="56"/>
      <c r="AF210" s="56"/>
      <c r="AG210" s="56"/>
      <c r="AH210" s="56"/>
      <c r="AI210" s="56"/>
      <c r="AJ210" s="56"/>
      <c r="AQ210" s="56"/>
      <c r="AR210" s="56"/>
      <c r="AS210" s="56"/>
    </row>
    <row r="211" spans="1:4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D211" s="56"/>
      <c r="AE211" s="56"/>
      <c r="AF211" s="56"/>
      <c r="AG211" s="56"/>
      <c r="AH211" s="56"/>
      <c r="AI211" s="56"/>
      <c r="AJ211" s="56"/>
      <c r="AQ211" s="56"/>
      <c r="AR211" s="56"/>
      <c r="AS211" s="56"/>
    </row>
    <row r="212" spans="1:4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D212" s="56"/>
      <c r="AE212" s="56"/>
      <c r="AF212" s="56"/>
      <c r="AG212" s="56"/>
      <c r="AH212" s="56"/>
      <c r="AI212" s="56"/>
      <c r="AJ212" s="56"/>
      <c r="AQ212" s="56"/>
      <c r="AR212" s="56"/>
      <c r="AS212" s="56"/>
    </row>
    <row r="213" spans="1:4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D213" s="56"/>
      <c r="AE213" s="56"/>
      <c r="AF213" s="56"/>
      <c r="AG213" s="56"/>
      <c r="AH213" s="56"/>
      <c r="AI213" s="56"/>
      <c r="AJ213" s="56"/>
      <c r="AQ213" s="56"/>
      <c r="AR213" s="56"/>
      <c r="AS213" s="56"/>
    </row>
    <row r="214" spans="1:4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D214" s="56"/>
      <c r="AE214" s="56"/>
      <c r="AF214" s="56"/>
      <c r="AG214" s="56"/>
      <c r="AH214" s="56"/>
      <c r="AI214" s="56"/>
      <c r="AJ214" s="56"/>
      <c r="AQ214" s="56"/>
      <c r="AR214" s="56"/>
      <c r="AS214" s="56"/>
    </row>
    <row r="215" spans="1:4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D215" s="56"/>
      <c r="AE215" s="56"/>
      <c r="AF215" s="56"/>
      <c r="AG215" s="56"/>
      <c r="AH215" s="56"/>
      <c r="AI215" s="56"/>
      <c r="AJ215" s="56"/>
      <c r="AQ215" s="56"/>
      <c r="AR215" s="56"/>
      <c r="AS215" s="56"/>
    </row>
    <row r="216" spans="1:4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D216" s="56"/>
      <c r="AE216" s="56"/>
      <c r="AF216" s="56"/>
      <c r="AG216" s="56"/>
      <c r="AH216" s="56"/>
      <c r="AI216" s="56"/>
      <c r="AJ216" s="56"/>
      <c r="AQ216" s="56"/>
      <c r="AR216" s="56"/>
      <c r="AS216" s="56"/>
    </row>
    <row r="217" spans="1:4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D217" s="56"/>
      <c r="AE217" s="56"/>
      <c r="AF217" s="56"/>
      <c r="AG217" s="56"/>
      <c r="AH217" s="56"/>
      <c r="AI217" s="56"/>
      <c r="AJ217" s="56"/>
      <c r="AQ217" s="56"/>
      <c r="AR217" s="56"/>
      <c r="AS217" s="56"/>
    </row>
    <row r="218" spans="1:4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D218" s="56"/>
      <c r="AE218" s="56"/>
      <c r="AF218" s="56"/>
      <c r="AG218" s="56"/>
      <c r="AH218" s="56"/>
      <c r="AI218" s="56"/>
      <c r="AJ218" s="56"/>
      <c r="AQ218" s="56"/>
      <c r="AR218" s="56"/>
      <c r="AS218" s="56"/>
    </row>
    <row r="219" spans="1:4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D219" s="56"/>
      <c r="AE219" s="56"/>
      <c r="AF219" s="56"/>
      <c r="AG219" s="56"/>
      <c r="AH219" s="56"/>
      <c r="AI219" s="56"/>
      <c r="AJ219" s="56"/>
      <c r="AQ219" s="56"/>
      <c r="AR219" s="56"/>
      <c r="AS219" s="56"/>
    </row>
    <row r="220" spans="1:4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D220" s="56"/>
      <c r="AE220" s="56"/>
      <c r="AF220" s="56"/>
      <c r="AG220" s="56"/>
      <c r="AH220" s="56"/>
      <c r="AI220" s="56"/>
      <c r="AJ220" s="56"/>
      <c r="AQ220" s="56"/>
      <c r="AR220" s="56"/>
      <c r="AS220" s="56"/>
    </row>
    <row r="221" spans="1:4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D221" s="56"/>
      <c r="AE221" s="56"/>
      <c r="AF221" s="56"/>
      <c r="AG221" s="56"/>
      <c r="AH221" s="56"/>
      <c r="AI221" s="56"/>
      <c r="AJ221" s="56"/>
      <c r="AQ221" s="56"/>
      <c r="AR221" s="56"/>
      <c r="AS221" s="56"/>
    </row>
    <row r="222" spans="1:4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D222" s="56"/>
      <c r="AE222" s="56"/>
      <c r="AF222" s="56"/>
      <c r="AG222" s="56"/>
      <c r="AH222" s="56"/>
      <c r="AI222" s="56"/>
      <c r="AJ222" s="56"/>
      <c r="AQ222" s="56"/>
      <c r="AR222" s="56"/>
      <c r="AS222" s="56"/>
    </row>
    <row r="223" spans="1:4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D223" s="56"/>
      <c r="AE223" s="56"/>
      <c r="AF223" s="56"/>
      <c r="AG223" s="56"/>
      <c r="AH223" s="56"/>
      <c r="AI223" s="56"/>
      <c r="AJ223" s="56"/>
      <c r="AQ223" s="56"/>
      <c r="AR223" s="56"/>
      <c r="AS223" s="56"/>
    </row>
    <row r="224" spans="1:4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D224" s="56"/>
      <c r="AE224" s="56"/>
      <c r="AF224" s="56"/>
      <c r="AG224" s="56"/>
      <c r="AH224" s="56"/>
      <c r="AI224" s="56"/>
      <c r="AJ224" s="56"/>
      <c r="AQ224" s="56"/>
      <c r="AR224" s="56"/>
      <c r="AS224" s="56"/>
    </row>
    <row r="225" spans="1:4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D225" s="56"/>
      <c r="AE225" s="56"/>
      <c r="AF225" s="56"/>
      <c r="AG225" s="56"/>
      <c r="AH225" s="56"/>
      <c r="AI225" s="56"/>
      <c r="AJ225" s="56"/>
      <c r="AQ225" s="56"/>
      <c r="AR225" s="56"/>
      <c r="AS225" s="56"/>
    </row>
    <row r="226" spans="1:4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D226" s="56"/>
      <c r="AE226" s="56"/>
      <c r="AF226" s="56"/>
      <c r="AG226" s="56"/>
      <c r="AH226" s="56"/>
      <c r="AI226" s="56"/>
      <c r="AJ226" s="56"/>
      <c r="AQ226" s="56"/>
      <c r="AR226" s="56"/>
      <c r="AS226" s="56"/>
    </row>
    <row r="227" spans="1:4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D227" s="56"/>
      <c r="AE227" s="56"/>
      <c r="AF227" s="56"/>
      <c r="AG227" s="56"/>
      <c r="AH227" s="56"/>
      <c r="AI227" s="56"/>
      <c r="AJ227" s="56"/>
      <c r="AQ227" s="56"/>
      <c r="AR227" s="56"/>
      <c r="AS227" s="56"/>
    </row>
    <row r="228" spans="1:4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D228" s="56"/>
      <c r="AE228" s="56"/>
      <c r="AF228" s="56"/>
      <c r="AG228" s="56"/>
      <c r="AH228" s="56"/>
      <c r="AI228" s="56"/>
      <c r="AJ228" s="56"/>
      <c r="AQ228" s="56"/>
      <c r="AR228" s="56"/>
      <c r="AS228" s="56"/>
    </row>
    <row r="229" spans="1:4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D229" s="56"/>
      <c r="AE229" s="56"/>
      <c r="AF229" s="56"/>
      <c r="AG229" s="56"/>
      <c r="AH229" s="56"/>
      <c r="AI229" s="56"/>
      <c r="AJ229" s="56"/>
      <c r="AQ229" s="56"/>
      <c r="AR229" s="56"/>
      <c r="AS229" s="56"/>
    </row>
    <row r="230" spans="1:4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D230" s="56"/>
      <c r="AE230" s="56"/>
      <c r="AF230" s="56"/>
      <c r="AG230" s="56"/>
      <c r="AH230" s="56"/>
      <c r="AI230" s="56"/>
      <c r="AJ230" s="56"/>
      <c r="AQ230" s="56"/>
      <c r="AR230" s="56"/>
      <c r="AS230" s="56"/>
    </row>
    <row r="231" spans="1:4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D231" s="56"/>
      <c r="AE231" s="56"/>
      <c r="AF231" s="56"/>
      <c r="AG231" s="56"/>
      <c r="AH231" s="56"/>
      <c r="AI231" s="56"/>
      <c r="AJ231" s="56"/>
      <c r="AQ231" s="56"/>
      <c r="AR231" s="56"/>
      <c r="AS231" s="56"/>
    </row>
    <row r="232" spans="1:4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D232" s="56"/>
      <c r="AE232" s="56"/>
      <c r="AF232" s="56"/>
      <c r="AG232" s="56"/>
      <c r="AH232" s="56"/>
      <c r="AI232" s="56"/>
      <c r="AJ232" s="56"/>
      <c r="AQ232" s="56"/>
      <c r="AR232" s="56"/>
      <c r="AS232" s="56"/>
    </row>
    <row r="233" spans="1:4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D233" s="56"/>
      <c r="AE233" s="56"/>
      <c r="AF233" s="56"/>
      <c r="AG233" s="56"/>
      <c r="AH233" s="56"/>
      <c r="AI233" s="56"/>
      <c r="AJ233" s="56"/>
      <c r="AQ233" s="56"/>
      <c r="AR233" s="56"/>
      <c r="AS233" s="56"/>
    </row>
    <row r="234" spans="1:4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D234" s="56"/>
      <c r="AE234" s="56"/>
      <c r="AF234" s="56"/>
      <c r="AG234" s="56"/>
      <c r="AH234" s="56"/>
      <c r="AI234" s="56"/>
      <c r="AJ234" s="56"/>
      <c r="AQ234" s="56"/>
      <c r="AR234" s="56"/>
      <c r="AS234" s="56"/>
    </row>
    <row r="235" spans="1:4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D235" s="56"/>
      <c r="AE235" s="56"/>
      <c r="AF235" s="56"/>
      <c r="AG235" s="56"/>
      <c r="AH235" s="56"/>
      <c r="AI235" s="56"/>
      <c r="AJ235" s="56"/>
      <c r="AQ235" s="56"/>
      <c r="AR235" s="56"/>
      <c r="AS235" s="56"/>
    </row>
    <row r="236" spans="1:4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D236" s="56"/>
      <c r="AE236" s="56"/>
      <c r="AF236" s="56"/>
      <c r="AG236" s="56"/>
      <c r="AH236" s="56"/>
      <c r="AI236" s="56"/>
      <c r="AJ236" s="56"/>
      <c r="AQ236" s="56"/>
      <c r="AR236" s="56"/>
      <c r="AS236" s="56"/>
    </row>
    <row r="237" spans="1:4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D237" s="56"/>
      <c r="AE237" s="56"/>
      <c r="AF237" s="56"/>
      <c r="AG237" s="56"/>
      <c r="AH237" s="56"/>
      <c r="AI237" s="56"/>
      <c r="AJ237" s="56"/>
      <c r="AQ237" s="56"/>
      <c r="AR237" s="56"/>
      <c r="AS237" s="56"/>
    </row>
    <row r="238" spans="1:4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D238" s="56"/>
      <c r="AE238" s="56"/>
      <c r="AF238" s="56"/>
      <c r="AG238" s="56"/>
      <c r="AH238" s="56"/>
      <c r="AI238" s="56"/>
      <c r="AJ238" s="56"/>
      <c r="AQ238" s="56"/>
      <c r="AR238" s="56"/>
      <c r="AS238" s="56"/>
    </row>
    <row r="239" spans="1:4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D239" s="56"/>
      <c r="AE239" s="56"/>
      <c r="AF239" s="56"/>
      <c r="AG239" s="56"/>
      <c r="AH239" s="56"/>
      <c r="AI239" s="56"/>
      <c r="AJ239" s="56"/>
      <c r="AQ239" s="56"/>
      <c r="AR239" s="56"/>
      <c r="AS239" s="56"/>
    </row>
    <row r="240" spans="1:4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D240" s="56"/>
      <c r="AE240" s="56"/>
      <c r="AF240" s="56"/>
      <c r="AG240" s="56"/>
      <c r="AH240" s="56"/>
      <c r="AI240" s="56"/>
      <c r="AJ240" s="56"/>
      <c r="AQ240" s="56"/>
      <c r="AR240" s="56"/>
      <c r="AS240" s="56"/>
    </row>
    <row r="241" spans="1:4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D241" s="56"/>
      <c r="AE241" s="56"/>
      <c r="AF241" s="56"/>
      <c r="AG241" s="56"/>
      <c r="AH241" s="56"/>
      <c r="AI241" s="56"/>
      <c r="AJ241" s="56"/>
      <c r="AQ241" s="56"/>
      <c r="AR241" s="56"/>
      <c r="AS241" s="56"/>
    </row>
    <row r="242" spans="1:4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D242" s="56"/>
      <c r="AE242" s="56"/>
      <c r="AF242" s="56"/>
      <c r="AG242" s="56"/>
      <c r="AH242" s="56"/>
      <c r="AI242" s="56"/>
      <c r="AJ242" s="56"/>
      <c r="AQ242" s="56"/>
      <c r="AR242" s="56"/>
      <c r="AS242" s="56"/>
    </row>
    <row r="243" spans="1:4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D243" s="56"/>
      <c r="AE243" s="56"/>
      <c r="AF243" s="56"/>
      <c r="AG243" s="56"/>
      <c r="AH243" s="56"/>
      <c r="AI243" s="56"/>
      <c r="AJ243" s="56"/>
      <c r="AQ243" s="56"/>
      <c r="AR243" s="56"/>
      <c r="AS243" s="56"/>
    </row>
    <row r="244" spans="1:4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D244" s="56"/>
      <c r="AE244" s="56"/>
      <c r="AF244" s="56"/>
      <c r="AG244" s="56"/>
      <c r="AH244" s="56"/>
      <c r="AI244" s="56"/>
      <c r="AJ244" s="56"/>
      <c r="AQ244" s="56"/>
      <c r="AR244" s="56"/>
      <c r="AS244" s="56"/>
    </row>
    <row r="245" spans="1:4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D245" s="56"/>
      <c r="AE245" s="56"/>
      <c r="AF245" s="56"/>
      <c r="AG245" s="56"/>
      <c r="AH245" s="56"/>
      <c r="AI245" s="56"/>
      <c r="AJ245" s="56"/>
      <c r="AQ245" s="56"/>
      <c r="AR245" s="56"/>
      <c r="AS245" s="56"/>
    </row>
    <row r="246" spans="1:4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D246" s="56"/>
      <c r="AE246" s="56"/>
      <c r="AF246" s="56"/>
      <c r="AG246" s="56"/>
      <c r="AH246" s="56"/>
      <c r="AI246" s="56"/>
      <c r="AJ246" s="56"/>
      <c r="AQ246" s="56"/>
      <c r="AR246" s="56"/>
      <c r="AS246" s="56"/>
    </row>
    <row r="247" spans="1:4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D247" s="56"/>
      <c r="AE247" s="56"/>
      <c r="AF247" s="56"/>
      <c r="AG247" s="56"/>
      <c r="AH247" s="56"/>
      <c r="AI247" s="56"/>
      <c r="AJ247" s="56"/>
      <c r="AQ247" s="56"/>
      <c r="AR247" s="56"/>
      <c r="AS247" s="56"/>
    </row>
    <row r="248" spans="1:4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D248" s="56"/>
      <c r="AE248" s="56"/>
      <c r="AF248" s="56"/>
      <c r="AG248" s="56"/>
      <c r="AH248" s="56"/>
      <c r="AI248" s="56"/>
      <c r="AJ248" s="56"/>
      <c r="AQ248" s="56"/>
      <c r="AR248" s="56"/>
      <c r="AS248" s="56"/>
    </row>
    <row r="249" spans="1:4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D249" s="56"/>
      <c r="AE249" s="56"/>
      <c r="AF249" s="56"/>
      <c r="AG249" s="56"/>
      <c r="AH249" s="56"/>
      <c r="AI249" s="56"/>
      <c r="AJ249" s="56"/>
      <c r="AQ249" s="56"/>
      <c r="AR249" s="56"/>
      <c r="AS249" s="56"/>
    </row>
    <row r="250" spans="1:4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D250" s="56"/>
      <c r="AE250" s="56"/>
      <c r="AF250" s="56"/>
      <c r="AG250" s="56"/>
      <c r="AH250" s="56"/>
      <c r="AI250" s="56"/>
      <c r="AJ250" s="56"/>
      <c r="AQ250" s="56"/>
      <c r="AR250" s="56"/>
      <c r="AS250" s="56"/>
    </row>
    <row r="251" spans="1:4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D251" s="56"/>
      <c r="AE251" s="56"/>
      <c r="AF251" s="56"/>
      <c r="AG251" s="56"/>
      <c r="AH251" s="56"/>
      <c r="AI251" s="56"/>
      <c r="AJ251" s="56"/>
      <c r="AQ251" s="56"/>
      <c r="AR251" s="56"/>
      <c r="AS251" s="56"/>
    </row>
    <row r="252" spans="1:4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D252" s="56"/>
      <c r="AE252" s="56"/>
      <c r="AF252" s="56"/>
      <c r="AG252" s="56"/>
      <c r="AH252" s="56"/>
      <c r="AI252" s="56"/>
      <c r="AJ252" s="56"/>
      <c r="AQ252" s="56"/>
      <c r="AR252" s="56"/>
      <c r="AS252" s="56"/>
    </row>
    <row r="253" spans="1:4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D253" s="56"/>
      <c r="AE253" s="56"/>
      <c r="AF253" s="56"/>
      <c r="AG253" s="56"/>
      <c r="AH253" s="56"/>
      <c r="AI253" s="56"/>
      <c r="AJ253" s="56"/>
      <c r="AQ253" s="56"/>
      <c r="AR253" s="56"/>
      <c r="AS253" s="56"/>
    </row>
    <row r="254" spans="1:4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D254" s="56"/>
      <c r="AE254" s="56"/>
      <c r="AF254" s="56"/>
      <c r="AG254" s="56"/>
      <c r="AH254" s="56"/>
      <c r="AI254" s="56"/>
      <c r="AJ254" s="56"/>
      <c r="AQ254" s="56"/>
      <c r="AR254" s="56"/>
      <c r="AS254" s="56"/>
    </row>
    <row r="255" spans="1:4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D255" s="56"/>
      <c r="AE255" s="56"/>
      <c r="AF255" s="56"/>
      <c r="AG255" s="56"/>
      <c r="AH255" s="56"/>
      <c r="AI255" s="56"/>
      <c r="AJ255" s="56"/>
      <c r="AQ255" s="56"/>
      <c r="AR255" s="56"/>
      <c r="AS255" s="56"/>
    </row>
    <row r="256" spans="1:4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D256" s="56"/>
      <c r="AE256" s="56"/>
      <c r="AF256" s="56"/>
      <c r="AG256" s="56"/>
      <c r="AH256" s="56"/>
      <c r="AI256" s="56"/>
      <c r="AJ256" s="56"/>
      <c r="AQ256" s="56"/>
      <c r="AR256" s="56"/>
      <c r="AS256" s="56"/>
    </row>
    <row r="257" spans="1:4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D257" s="56"/>
      <c r="AE257" s="56"/>
      <c r="AF257" s="56"/>
      <c r="AG257" s="56"/>
      <c r="AH257" s="56"/>
      <c r="AI257" s="56"/>
      <c r="AJ257" s="56"/>
      <c r="AQ257" s="56"/>
      <c r="AR257" s="56"/>
      <c r="AS257" s="56"/>
    </row>
    <row r="258" spans="1:4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D258" s="56"/>
      <c r="AE258" s="56"/>
      <c r="AF258" s="56"/>
      <c r="AG258" s="56"/>
      <c r="AH258" s="56"/>
      <c r="AI258" s="56"/>
      <c r="AJ258" s="56"/>
      <c r="AQ258" s="56"/>
      <c r="AR258" s="56"/>
      <c r="AS258" s="56"/>
    </row>
    <row r="259" spans="1:4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D259" s="56"/>
      <c r="AE259" s="56"/>
      <c r="AF259" s="56"/>
      <c r="AG259" s="56"/>
      <c r="AH259" s="56"/>
      <c r="AI259" s="56"/>
      <c r="AJ259" s="56"/>
      <c r="AQ259" s="56"/>
      <c r="AR259" s="56"/>
      <c r="AS259" s="56"/>
    </row>
    <row r="260" spans="1:4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D260" s="56"/>
      <c r="AE260" s="56"/>
      <c r="AF260" s="56"/>
      <c r="AG260" s="56"/>
      <c r="AH260" s="56"/>
      <c r="AI260" s="56"/>
      <c r="AJ260" s="56"/>
      <c r="AQ260" s="56"/>
      <c r="AR260" s="56"/>
      <c r="AS260" s="56"/>
    </row>
    <row r="261" spans="1:4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D261" s="56"/>
      <c r="AE261" s="56"/>
      <c r="AF261" s="56"/>
      <c r="AG261" s="56"/>
      <c r="AH261" s="56"/>
      <c r="AI261" s="56"/>
      <c r="AJ261" s="56"/>
      <c r="AQ261" s="56"/>
      <c r="AR261" s="56"/>
      <c r="AS261" s="56"/>
    </row>
    <row r="262" spans="1:4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D262" s="56"/>
      <c r="AE262" s="56"/>
      <c r="AF262" s="56"/>
      <c r="AG262" s="56"/>
      <c r="AH262" s="56"/>
      <c r="AI262" s="56"/>
      <c r="AJ262" s="56"/>
      <c r="AQ262" s="56"/>
      <c r="AR262" s="56"/>
      <c r="AS262" s="56"/>
    </row>
    <row r="263" spans="1:4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D263" s="56"/>
      <c r="AE263" s="56"/>
      <c r="AF263" s="56"/>
      <c r="AG263" s="56"/>
      <c r="AH263" s="56"/>
      <c r="AI263" s="56"/>
      <c r="AJ263" s="56"/>
      <c r="AQ263" s="56"/>
      <c r="AR263" s="56"/>
      <c r="AS263" s="56"/>
    </row>
    <row r="264" spans="1:4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D264" s="56"/>
      <c r="AE264" s="56"/>
      <c r="AF264" s="56"/>
      <c r="AG264" s="56"/>
      <c r="AH264" s="56"/>
      <c r="AI264" s="56"/>
      <c r="AJ264" s="56"/>
      <c r="AQ264" s="56"/>
      <c r="AR264" s="56"/>
      <c r="AS264" s="56"/>
    </row>
    <row r="265" spans="1:4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D265" s="56"/>
      <c r="AE265" s="56"/>
      <c r="AF265" s="56"/>
      <c r="AG265" s="56"/>
      <c r="AH265" s="56"/>
      <c r="AI265" s="56"/>
      <c r="AJ265" s="56"/>
      <c r="AQ265" s="56"/>
      <c r="AR265" s="56"/>
      <c r="AS265" s="56"/>
    </row>
    <row r="266" spans="1:4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D266" s="56"/>
      <c r="AE266" s="56"/>
      <c r="AF266" s="56"/>
      <c r="AG266" s="56"/>
      <c r="AH266" s="56"/>
      <c r="AI266" s="56"/>
      <c r="AJ266" s="56"/>
      <c r="AQ266" s="56"/>
      <c r="AR266" s="56"/>
      <c r="AS266" s="56"/>
    </row>
    <row r="267" spans="1:4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D267" s="56"/>
      <c r="AE267" s="56"/>
      <c r="AF267" s="56"/>
      <c r="AG267" s="56"/>
      <c r="AH267" s="56"/>
      <c r="AI267" s="56"/>
      <c r="AJ267" s="56"/>
      <c r="AQ267" s="56"/>
      <c r="AR267" s="56"/>
      <c r="AS267" s="56"/>
    </row>
    <row r="268" spans="1:4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D268" s="56"/>
      <c r="AE268" s="56"/>
      <c r="AF268" s="56"/>
      <c r="AG268" s="56"/>
      <c r="AH268" s="56"/>
      <c r="AI268" s="56"/>
      <c r="AJ268" s="56"/>
      <c r="AQ268" s="56"/>
      <c r="AR268" s="56"/>
      <c r="AS268" s="56"/>
    </row>
    <row r="269" spans="1:4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D269" s="56"/>
      <c r="AE269" s="56"/>
      <c r="AF269" s="56"/>
      <c r="AG269" s="56"/>
      <c r="AH269" s="56"/>
      <c r="AI269" s="56"/>
      <c r="AJ269" s="56"/>
      <c r="AQ269" s="56"/>
      <c r="AR269" s="56"/>
      <c r="AS269" s="56"/>
    </row>
    <row r="270" spans="1:4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D270" s="56"/>
      <c r="AE270" s="56"/>
      <c r="AF270" s="56"/>
      <c r="AG270" s="56"/>
      <c r="AH270" s="56"/>
      <c r="AI270" s="56"/>
      <c r="AJ270" s="56"/>
      <c r="AQ270" s="56"/>
      <c r="AR270" s="56"/>
      <c r="AS270" s="56"/>
    </row>
    <row r="271" spans="1:4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D271" s="56"/>
      <c r="AE271" s="56"/>
      <c r="AF271" s="56"/>
      <c r="AG271" s="56"/>
      <c r="AH271" s="56"/>
      <c r="AI271" s="56"/>
      <c r="AJ271" s="56"/>
      <c r="AQ271" s="56"/>
      <c r="AR271" s="56"/>
      <c r="AS271" s="56"/>
    </row>
    <row r="272" spans="1:4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D272" s="56"/>
      <c r="AE272" s="56"/>
      <c r="AF272" s="56"/>
      <c r="AG272" s="56"/>
      <c r="AH272" s="56"/>
      <c r="AI272" s="56"/>
      <c r="AJ272" s="56"/>
      <c r="AQ272" s="56"/>
      <c r="AR272" s="56"/>
      <c r="AS272" s="56"/>
    </row>
    <row r="273" spans="1:4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D273" s="56"/>
      <c r="AE273" s="56"/>
      <c r="AF273" s="56"/>
      <c r="AG273" s="56"/>
      <c r="AH273" s="56"/>
      <c r="AI273" s="56"/>
      <c r="AJ273" s="56"/>
      <c r="AQ273" s="56"/>
      <c r="AR273" s="56"/>
      <c r="AS273" s="56"/>
    </row>
    <row r="274" spans="1:4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D274" s="56"/>
      <c r="AE274" s="56"/>
      <c r="AF274" s="56"/>
      <c r="AG274" s="56"/>
      <c r="AH274" s="56"/>
      <c r="AI274" s="56"/>
      <c r="AJ274" s="56"/>
      <c r="AQ274" s="56"/>
      <c r="AR274" s="56"/>
      <c r="AS274" s="56"/>
    </row>
    <row r="275" spans="1:4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D275" s="56"/>
      <c r="AE275" s="56"/>
      <c r="AF275" s="56"/>
      <c r="AG275" s="56"/>
      <c r="AH275" s="56"/>
      <c r="AI275" s="56"/>
      <c r="AJ275" s="56"/>
      <c r="AQ275" s="56"/>
      <c r="AR275" s="56"/>
      <c r="AS275" s="56"/>
    </row>
    <row r="276" spans="1:4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D276" s="56"/>
      <c r="AE276" s="56"/>
      <c r="AF276" s="56"/>
      <c r="AG276" s="56"/>
      <c r="AH276" s="56"/>
      <c r="AI276" s="56"/>
      <c r="AJ276" s="56"/>
      <c r="AQ276" s="56"/>
      <c r="AR276" s="56"/>
      <c r="AS276" s="56"/>
    </row>
    <row r="277" spans="1:4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D277" s="56"/>
      <c r="AE277" s="56"/>
      <c r="AF277" s="56"/>
      <c r="AG277" s="56"/>
      <c r="AH277" s="56"/>
      <c r="AI277" s="56"/>
      <c r="AJ277" s="56"/>
      <c r="AQ277" s="56"/>
      <c r="AR277" s="56"/>
      <c r="AS277" s="56"/>
    </row>
    <row r="278" spans="1:4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D278" s="56"/>
      <c r="AE278" s="56"/>
      <c r="AF278" s="56"/>
      <c r="AG278" s="56"/>
      <c r="AH278" s="56"/>
      <c r="AI278" s="56"/>
      <c r="AJ278" s="56"/>
      <c r="AQ278" s="56"/>
      <c r="AR278" s="56"/>
      <c r="AS278" s="56"/>
    </row>
    <row r="279" spans="1:4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D279" s="56"/>
      <c r="AE279" s="56"/>
      <c r="AF279" s="56"/>
      <c r="AG279" s="56"/>
      <c r="AH279" s="56"/>
      <c r="AI279" s="56"/>
      <c r="AJ279" s="56"/>
      <c r="AQ279" s="56"/>
      <c r="AR279" s="56"/>
      <c r="AS279" s="56"/>
    </row>
    <row r="280" spans="1:4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D280" s="56"/>
      <c r="AE280" s="56"/>
      <c r="AF280" s="56"/>
      <c r="AG280" s="56"/>
      <c r="AH280" s="56"/>
      <c r="AI280" s="56"/>
      <c r="AJ280" s="56"/>
      <c r="AQ280" s="56"/>
      <c r="AR280" s="56"/>
      <c r="AS280" s="56"/>
    </row>
    <row r="281" spans="1:4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D281" s="56"/>
      <c r="AE281" s="56"/>
      <c r="AF281" s="56"/>
      <c r="AG281" s="56"/>
      <c r="AH281" s="56"/>
      <c r="AI281" s="56"/>
      <c r="AJ281" s="56"/>
      <c r="AQ281" s="56"/>
      <c r="AR281" s="56"/>
      <c r="AS281" s="56"/>
    </row>
    <row r="282" spans="1:4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D282" s="56"/>
      <c r="AE282" s="56"/>
      <c r="AF282" s="56"/>
      <c r="AG282" s="56"/>
      <c r="AH282" s="56"/>
      <c r="AI282" s="56"/>
      <c r="AJ282" s="56"/>
      <c r="AQ282" s="56"/>
      <c r="AR282" s="56"/>
      <c r="AS282" s="56"/>
    </row>
    <row r="283" spans="1:4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D283" s="56"/>
      <c r="AE283" s="56"/>
      <c r="AF283" s="56"/>
      <c r="AG283" s="56"/>
      <c r="AH283" s="56"/>
      <c r="AI283" s="56"/>
      <c r="AJ283" s="56"/>
      <c r="AQ283" s="56"/>
      <c r="AR283" s="56"/>
      <c r="AS283" s="56"/>
    </row>
    <row r="284" spans="1:4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D284" s="56"/>
      <c r="AE284" s="56"/>
      <c r="AF284" s="56"/>
      <c r="AG284" s="56"/>
      <c r="AH284" s="56"/>
      <c r="AI284" s="56"/>
      <c r="AJ284" s="56"/>
      <c r="AQ284" s="56"/>
      <c r="AR284" s="56"/>
      <c r="AS284" s="56"/>
    </row>
    <row r="285" spans="1:4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D285" s="56"/>
      <c r="AE285" s="56"/>
      <c r="AF285" s="56"/>
      <c r="AG285" s="56"/>
      <c r="AH285" s="56"/>
      <c r="AI285" s="56"/>
      <c r="AJ285" s="56"/>
      <c r="AQ285" s="56"/>
      <c r="AR285" s="56"/>
      <c r="AS285" s="56"/>
    </row>
    <row r="286" spans="1:4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D286" s="56"/>
      <c r="AE286" s="56"/>
      <c r="AF286" s="56"/>
      <c r="AG286" s="56"/>
      <c r="AH286" s="56"/>
      <c r="AI286" s="56"/>
      <c r="AJ286" s="56"/>
      <c r="AQ286" s="56"/>
      <c r="AR286" s="56"/>
      <c r="AS286" s="56"/>
    </row>
    <row r="287" spans="1:4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D287" s="56"/>
      <c r="AE287" s="56"/>
      <c r="AF287" s="56"/>
      <c r="AG287" s="56"/>
      <c r="AH287" s="56"/>
      <c r="AI287" s="56"/>
      <c r="AJ287" s="56"/>
      <c r="AQ287" s="56"/>
      <c r="AR287" s="56"/>
      <c r="AS287" s="56"/>
    </row>
    <row r="288" spans="1:4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D288" s="56"/>
      <c r="AE288" s="56"/>
      <c r="AF288" s="56"/>
      <c r="AG288" s="56"/>
      <c r="AH288" s="56"/>
      <c r="AI288" s="56"/>
      <c r="AJ288" s="56"/>
      <c r="AQ288" s="56"/>
      <c r="AR288" s="56"/>
      <c r="AS288" s="56"/>
    </row>
    <row r="289" spans="1:4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D289" s="56"/>
      <c r="AE289" s="56"/>
      <c r="AF289" s="56"/>
      <c r="AG289" s="56"/>
      <c r="AH289" s="56"/>
      <c r="AI289" s="56"/>
      <c r="AJ289" s="56"/>
      <c r="AQ289" s="56"/>
      <c r="AR289" s="56"/>
      <c r="AS289" s="56"/>
    </row>
    <row r="290" spans="1:4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D290" s="56"/>
      <c r="AE290" s="56"/>
      <c r="AF290" s="56"/>
      <c r="AG290" s="56"/>
      <c r="AH290" s="56"/>
      <c r="AI290" s="56"/>
      <c r="AJ290" s="56"/>
      <c r="AQ290" s="56"/>
      <c r="AR290" s="56"/>
      <c r="AS290" s="56"/>
    </row>
    <row r="291" spans="1:4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D291" s="56"/>
      <c r="AE291" s="56"/>
      <c r="AF291" s="56"/>
      <c r="AG291" s="56"/>
      <c r="AH291" s="56"/>
      <c r="AI291" s="56"/>
      <c r="AJ291" s="56"/>
      <c r="AQ291" s="56"/>
      <c r="AR291" s="56"/>
      <c r="AS291" s="56"/>
    </row>
    <row r="292" spans="1:4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D292" s="56"/>
      <c r="AE292" s="56"/>
      <c r="AF292" s="56"/>
      <c r="AG292" s="56"/>
      <c r="AH292" s="56"/>
      <c r="AI292" s="56"/>
      <c r="AJ292" s="56"/>
      <c r="AQ292" s="56"/>
      <c r="AR292" s="56"/>
      <c r="AS292" s="56"/>
    </row>
    <row r="293" spans="1:4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D293" s="56"/>
      <c r="AE293" s="56"/>
      <c r="AF293" s="56"/>
      <c r="AG293" s="56"/>
      <c r="AH293" s="56"/>
      <c r="AI293" s="56"/>
      <c r="AJ293" s="56"/>
      <c r="AQ293" s="56"/>
      <c r="AR293" s="56"/>
      <c r="AS293" s="56"/>
    </row>
    <row r="294" spans="1:4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D294" s="56"/>
      <c r="AE294" s="56"/>
      <c r="AF294" s="56"/>
      <c r="AG294" s="56"/>
      <c r="AH294" s="56"/>
      <c r="AI294" s="56"/>
      <c r="AJ294" s="56"/>
      <c r="AQ294" s="56"/>
      <c r="AR294" s="56"/>
      <c r="AS294" s="56"/>
    </row>
    <row r="295" spans="1:4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D295" s="56"/>
      <c r="AE295" s="56"/>
      <c r="AF295" s="56"/>
      <c r="AG295" s="56"/>
      <c r="AH295" s="56"/>
      <c r="AI295" s="56"/>
      <c r="AJ295" s="56"/>
      <c r="AQ295" s="56"/>
      <c r="AR295" s="56"/>
      <c r="AS295" s="56"/>
    </row>
    <row r="296" spans="1:4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D296" s="56"/>
      <c r="AE296" s="56"/>
      <c r="AF296" s="56"/>
      <c r="AG296" s="56"/>
      <c r="AH296" s="56"/>
      <c r="AI296" s="56"/>
      <c r="AJ296" s="56"/>
      <c r="AQ296" s="56"/>
      <c r="AR296" s="56"/>
      <c r="AS296" s="56"/>
    </row>
    <row r="297" spans="1:4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D297" s="56"/>
      <c r="AE297" s="56"/>
      <c r="AF297" s="56"/>
      <c r="AG297" s="56"/>
      <c r="AH297" s="56"/>
      <c r="AI297" s="56"/>
      <c r="AJ297" s="56"/>
      <c r="AQ297" s="56"/>
      <c r="AR297" s="56"/>
      <c r="AS297" s="56"/>
    </row>
    <row r="298" spans="1:4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D298" s="56"/>
      <c r="AE298" s="56"/>
      <c r="AF298" s="56"/>
      <c r="AG298" s="56"/>
      <c r="AH298" s="56"/>
      <c r="AI298" s="56"/>
      <c r="AJ298" s="56"/>
      <c r="AQ298" s="56"/>
      <c r="AR298" s="56"/>
      <c r="AS298" s="56"/>
    </row>
    <row r="299" spans="1:4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D299" s="56"/>
      <c r="AE299" s="56"/>
      <c r="AF299" s="56"/>
      <c r="AG299" s="56"/>
      <c r="AH299" s="56"/>
      <c r="AI299" s="56"/>
      <c r="AJ299" s="56"/>
      <c r="AQ299" s="56"/>
      <c r="AR299" s="56"/>
      <c r="AS299" s="56"/>
    </row>
    <row r="300" spans="1:4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D300" s="56"/>
      <c r="AE300" s="56"/>
      <c r="AF300" s="56"/>
      <c r="AG300" s="56"/>
      <c r="AH300" s="56"/>
      <c r="AI300" s="56"/>
      <c r="AJ300" s="56"/>
      <c r="AQ300" s="56"/>
      <c r="AR300" s="56"/>
      <c r="AS300" s="56"/>
    </row>
    <row r="301" spans="1:4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D301" s="56"/>
      <c r="AE301" s="56"/>
      <c r="AF301" s="56"/>
      <c r="AG301" s="56"/>
      <c r="AH301" s="56"/>
      <c r="AI301" s="56"/>
      <c r="AJ301" s="56"/>
      <c r="AQ301" s="56"/>
      <c r="AR301" s="56"/>
      <c r="AS301" s="56"/>
    </row>
    <row r="302" spans="1:4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D302" s="56"/>
      <c r="AE302" s="56"/>
      <c r="AF302" s="56"/>
      <c r="AG302" s="56"/>
      <c r="AH302" s="56"/>
      <c r="AI302" s="56"/>
      <c r="AJ302" s="56"/>
      <c r="AQ302" s="56"/>
      <c r="AR302" s="56"/>
      <c r="AS302" s="56"/>
    </row>
    <row r="303" spans="1:4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D303" s="56"/>
      <c r="AE303" s="56"/>
      <c r="AF303" s="56"/>
      <c r="AG303" s="56"/>
      <c r="AH303" s="56"/>
      <c r="AI303" s="56"/>
      <c r="AJ303" s="56"/>
      <c r="AQ303" s="56"/>
      <c r="AR303" s="56"/>
      <c r="AS303" s="56"/>
    </row>
    <row r="304" spans="1:4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D304" s="56"/>
      <c r="AE304" s="56"/>
      <c r="AF304" s="56"/>
      <c r="AG304" s="56"/>
      <c r="AH304" s="56"/>
      <c r="AI304" s="56"/>
      <c r="AJ304" s="56"/>
      <c r="AQ304" s="56"/>
      <c r="AR304" s="56"/>
      <c r="AS304" s="56"/>
    </row>
    <row r="305" spans="1:4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D305" s="56"/>
      <c r="AE305" s="56"/>
      <c r="AF305" s="56"/>
      <c r="AG305" s="56"/>
      <c r="AH305" s="56"/>
      <c r="AI305" s="56"/>
      <c r="AJ305" s="56"/>
      <c r="AQ305" s="56"/>
      <c r="AR305" s="56"/>
      <c r="AS305" s="56"/>
    </row>
    <row r="306" spans="1:4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D306" s="56"/>
      <c r="AE306" s="56"/>
      <c r="AF306" s="56"/>
      <c r="AG306" s="56"/>
      <c r="AH306" s="56"/>
      <c r="AI306" s="56"/>
      <c r="AJ306" s="56"/>
      <c r="AQ306" s="56"/>
      <c r="AR306" s="56"/>
      <c r="AS306" s="56"/>
    </row>
    <row r="307" spans="1:4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D307" s="56"/>
      <c r="AE307" s="56"/>
      <c r="AF307" s="56"/>
      <c r="AG307" s="56"/>
      <c r="AH307" s="56"/>
      <c r="AI307" s="56"/>
      <c r="AJ307" s="56"/>
      <c r="AQ307" s="56"/>
      <c r="AR307" s="56"/>
      <c r="AS307" s="56"/>
    </row>
    <row r="308" spans="1:4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D308" s="56"/>
      <c r="AE308" s="56"/>
      <c r="AF308" s="56"/>
      <c r="AG308" s="56"/>
      <c r="AH308" s="56"/>
      <c r="AI308" s="56"/>
      <c r="AJ308" s="56"/>
      <c r="AQ308" s="56"/>
      <c r="AR308" s="56"/>
      <c r="AS308" s="56"/>
    </row>
    <row r="309" spans="1:4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D309" s="56"/>
      <c r="AE309" s="56"/>
      <c r="AF309" s="56"/>
      <c r="AG309" s="56"/>
      <c r="AH309" s="56"/>
      <c r="AI309" s="56"/>
      <c r="AJ309" s="56"/>
      <c r="AQ309" s="56"/>
      <c r="AR309" s="56"/>
      <c r="AS309" s="56"/>
    </row>
    <row r="310" spans="1:4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D310" s="56"/>
      <c r="AE310" s="56"/>
      <c r="AF310" s="56"/>
      <c r="AG310" s="56"/>
      <c r="AH310" s="56"/>
      <c r="AI310" s="56"/>
      <c r="AJ310" s="56"/>
      <c r="AQ310" s="56"/>
      <c r="AR310" s="56"/>
      <c r="AS310" s="56"/>
    </row>
    <row r="311" spans="1:4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D311" s="56"/>
      <c r="AE311" s="56"/>
      <c r="AF311" s="56"/>
      <c r="AG311" s="56"/>
      <c r="AH311" s="56"/>
      <c r="AI311" s="56"/>
      <c r="AJ311" s="56"/>
      <c r="AQ311" s="56"/>
      <c r="AR311" s="56"/>
      <c r="AS311" s="56"/>
    </row>
    <row r="312" spans="1:4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D312" s="56"/>
      <c r="AE312" s="56"/>
      <c r="AF312" s="56"/>
      <c r="AG312" s="56"/>
      <c r="AH312" s="56"/>
      <c r="AI312" s="56"/>
      <c r="AJ312" s="56"/>
      <c r="AQ312" s="56"/>
      <c r="AR312" s="56"/>
      <c r="AS312" s="56"/>
    </row>
    <row r="313" spans="1:4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D313" s="56"/>
      <c r="AE313" s="56"/>
      <c r="AF313" s="56"/>
      <c r="AG313" s="56"/>
      <c r="AH313" s="56"/>
      <c r="AI313" s="56"/>
      <c r="AJ313" s="56"/>
      <c r="AQ313" s="56"/>
      <c r="AR313" s="56"/>
      <c r="AS313" s="56"/>
    </row>
    <row r="314" spans="1:4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D314" s="56"/>
      <c r="AE314" s="56"/>
      <c r="AF314" s="56"/>
      <c r="AG314" s="56"/>
      <c r="AH314" s="56"/>
      <c r="AI314" s="56"/>
      <c r="AJ314" s="56"/>
      <c r="AQ314" s="56"/>
      <c r="AR314" s="56"/>
      <c r="AS314" s="56"/>
    </row>
    <row r="315" spans="1:4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D315" s="56"/>
      <c r="AE315" s="56"/>
      <c r="AF315" s="56"/>
      <c r="AG315" s="56"/>
      <c r="AH315" s="56"/>
      <c r="AI315" s="56"/>
      <c r="AJ315" s="56"/>
      <c r="AQ315" s="56"/>
      <c r="AR315" s="56"/>
      <c r="AS315" s="56"/>
    </row>
    <row r="316" spans="1:4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D316" s="56"/>
      <c r="AE316" s="56"/>
      <c r="AF316" s="56"/>
      <c r="AG316" s="56"/>
      <c r="AH316" s="56"/>
      <c r="AI316" s="56"/>
      <c r="AJ316" s="56"/>
      <c r="AQ316" s="56"/>
      <c r="AR316" s="56"/>
      <c r="AS316" s="56"/>
    </row>
    <row r="317" spans="1:4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D317" s="56"/>
      <c r="AE317" s="56"/>
      <c r="AF317" s="56"/>
      <c r="AG317" s="56"/>
      <c r="AH317" s="56"/>
      <c r="AI317" s="56"/>
      <c r="AJ317" s="56"/>
      <c r="AQ317" s="56"/>
      <c r="AR317" s="56"/>
      <c r="AS317" s="56"/>
    </row>
    <row r="318" spans="1:4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D318" s="56"/>
      <c r="AE318" s="56"/>
      <c r="AF318" s="56"/>
      <c r="AG318" s="56"/>
      <c r="AH318" s="56"/>
      <c r="AI318" s="56"/>
      <c r="AJ318" s="56"/>
      <c r="AQ318" s="56"/>
      <c r="AR318" s="56"/>
      <c r="AS318" s="56"/>
    </row>
    <row r="319" spans="1:4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D319" s="56"/>
      <c r="AE319" s="56"/>
      <c r="AF319" s="56"/>
      <c r="AG319" s="56"/>
      <c r="AH319" s="56"/>
      <c r="AI319" s="56"/>
      <c r="AJ319" s="56"/>
      <c r="AQ319" s="56"/>
      <c r="AR319" s="56"/>
      <c r="AS319" s="56"/>
    </row>
    <row r="320" spans="1:4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D320" s="56"/>
      <c r="AE320" s="56"/>
      <c r="AF320" s="56"/>
      <c r="AG320" s="56"/>
      <c r="AH320" s="56"/>
      <c r="AI320" s="56"/>
      <c r="AJ320" s="56"/>
      <c r="AQ320" s="56"/>
      <c r="AR320" s="56"/>
      <c r="AS320" s="56"/>
    </row>
    <row r="321" spans="1:4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D321" s="56"/>
      <c r="AE321" s="56"/>
      <c r="AF321" s="56"/>
      <c r="AG321" s="56"/>
      <c r="AH321" s="56"/>
      <c r="AI321" s="56"/>
      <c r="AJ321" s="56"/>
      <c r="AQ321" s="56"/>
      <c r="AR321" s="56"/>
      <c r="AS321" s="56"/>
    </row>
    <row r="322" spans="1:4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D322" s="56"/>
      <c r="AE322" s="56"/>
      <c r="AF322" s="56"/>
      <c r="AG322" s="56"/>
      <c r="AH322" s="56"/>
      <c r="AI322" s="56"/>
      <c r="AJ322" s="56"/>
      <c r="AQ322" s="56"/>
      <c r="AR322" s="56"/>
      <c r="AS322" s="56"/>
    </row>
    <row r="323" spans="1:4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D323" s="56"/>
      <c r="AE323" s="56"/>
      <c r="AF323" s="56"/>
      <c r="AG323" s="56"/>
      <c r="AH323" s="56"/>
      <c r="AI323" s="56"/>
      <c r="AJ323" s="56"/>
      <c r="AQ323" s="56"/>
      <c r="AR323" s="56"/>
      <c r="AS323" s="56"/>
    </row>
    <row r="324" spans="1:4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D324" s="56"/>
      <c r="AE324" s="56"/>
      <c r="AF324" s="56"/>
      <c r="AG324" s="56"/>
      <c r="AH324" s="56"/>
      <c r="AI324" s="56"/>
      <c r="AJ324" s="56"/>
      <c r="AQ324" s="56"/>
      <c r="AR324" s="56"/>
      <c r="AS324" s="56"/>
    </row>
    <row r="325" spans="1:4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D325" s="56"/>
      <c r="AE325" s="56"/>
      <c r="AF325" s="56"/>
      <c r="AG325" s="56"/>
      <c r="AH325" s="56"/>
      <c r="AI325" s="56"/>
      <c r="AJ325" s="56"/>
      <c r="AQ325" s="56"/>
      <c r="AR325" s="56"/>
      <c r="AS325" s="56"/>
    </row>
    <row r="326" spans="1:4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D326" s="56"/>
      <c r="AE326" s="56"/>
      <c r="AF326" s="56"/>
      <c r="AG326" s="56"/>
      <c r="AH326" s="56"/>
      <c r="AI326" s="56"/>
      <c r="AJ326" s="56"/>
      <c r="AQ326" s="56"/>
      <c r="AR326" s="56"/>
      <c r="AS326" s="56"/>
    </row>
    <row r="327" spans="1:4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D327" s="56"/>
      <c r="AE327" s="56"/>
      <c r="AF327" s="56"/>
      <c r="AG327" s="56"/>
      <c r="AH327" s="56"/>
      <c r="AI327" s="56"/>
      <c r="AJ327" s="56"/>
      <c r="AQ327" s="56"/>
      <c r="AR327" s="56"/>
      <c r="AS327" s="56"/>
    </row>
    <row r="328" spans="1:4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D328" s="56"/>
      <c r="AE328" s="56"/>
      <c r="AF328" s="56"/>
      <c r="AG328" s="56"/>
      <c r="AH328" s="56"/>
      <c r="AI328" s="56"/>
      <c r="AJ328" s="56"/>
      <c r="AQ328" s="56"/>
      <c r="AR328" s="56"/>
      <c r="AS328" s="56"/>
    </row>
    <row r="329" spans="1:4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D329" s="56"/>
      <c r="AE329" s="56"/>
      <c r="AF329" s="56"/>
      <c r="AG329" s="56"/>
      <c r="AH329" s="56"/>
      <c r="AI329" s="56"/>
      <c r="AJ329" s="56"/>
      <c r="AQ329" s="56"/>
      <c r="AR329" s="56"/>
      <c r="AS329" s="56"/>
    </row>
    <row r="330" spans="1:4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D330" s="56"/>
      <c r="AE330" s="56"/>
      <c r="AF330" s="56"/>
      <c r="AG330" s="56"/>
      <c r="AH330" s="56"/>
      <c r="AI330" s="56"/>
      <c r="AJ330" s="56"/>
      <c r="AQ330" s="56"/>
      <c r="AR330" s="56"/>
      <c r="AS330" s="56"/>
    </row>
    <row r="331" spans="1:4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D331" s="56"/>
      <c r="AE331" s="56"/>
      <c r="AF331" s="56"/>
      <c r="AG331" s="56"/>
      <c r="AH331" s="56"/>
      <c r="AI331" s="56"/>
      <c r="AJ331" s="56"/>
      <c r="AQ331" s="56"/>
      <c r="AR331" s="56"/>
      <c r="AS331" s="56"/>
    </row>
    <row r="332" spans="1:4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D332" s="56"/>
      <c r="AE332" s="56"/>
      <c r="AF332" s="56"/>
      <c r="AG332" s="56"/>
      <c r="AH332" s="56"/>
      <c r="AI332" s="56"/>
      <c r="AJ332" s="56"/>
      <c r="AQ332" s="56"/>
      <c r="AR332" s="56"/>
      <c r="AS332" s="56"/>
    </row>
    <row r="333" spans="1:4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D333" s="56"/>
      <c r="AE333" s="56"/>
      <c r="AF333" s="56"/>
      <c r="AG333" s="56"/>
      <c r="AH333" s="56"/>
      <c r="AI333" s="56"/>
      <c r="AJ333" s="56"/>
      <c r="AQ333" s="56"/>
      <c r="AR333" s="56"/>
      <c r="AS333" s="56"/>
    </row>
    <row r="334" spans="1:4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D334" s="56"/>
      <c r="AE334" s="56"/>
      <c r="AF334" s="56"/>
      <c r="AG334" s="56"/>
      <c r="AH334" s="56"/>
      <c r="AI334" s="56"/>
      <c r="AJ334" s="56"/>
      <c r="AQ334" s="56"/>
      <c r="AR334" s="56"/>
      <c r="AS334" s="56"/>
    </row>
    <row r="335" spans="1:4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D335" s="56"/>
      <c r="AE335" s="56"/>
      <c r="AF335" s="56"/>
      <c r="AG335" s="56"/>
      <c r="AH335" s="56"/>
      <c r="AI335" s="56"/>
      <c r="AJ335" s="56"/>
      <c r="AQ335" s="56"/>
      <c r="AR335" s="56"/>
      <c r="AS335" s="56"/>
    </row>
    <row r="336" spans="1:4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D336" s="56"/>
      <c r="AE336" s="56"/>
      <c r="AF336" s="56"/>
      <c r="AG336" s="56"/>
      <c r="AH336" s="56"/>
      <c r="AI336" s="56"/>
      <c r="AJ336" s="56"/>
      <c r="AQ336" s="56"/>
      <c r="AR336" s="56"/>
      <c r="AS336" s="56"/>
    </row>
    <row r="337" spans="1:4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D337" s="56"/>
      <c r="AE337" s="56"/>
      <c r="AF337" s="56"/>
      <c r="AG337" s="56"/>
      <c r="AH337" s="56"/>
      <c r="AI337" s="56"/>
      <c r="AJ337" s="56"/>
      <c r="AQ337" s="56"/>
      <c r="AR337" s="56"/>
      <c r="AS337" s="56"/>
    </row>
    <row r="338" spans="1:4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D338" s="56"/>
      <c r="AE338" s="56"/>
      <c r="AF338" s="56"/>
      <c r="AG338" s="56"/>
      <c r="AH338" s="56"/>
      <c r="AI338" s="56"/>
      <c r="AJ338" s="56"/>
      <c r="AQ338" s="56"/>
      <c r="AR338" s="56"/>
      <c r="AS338" s="56"/>
    </row>
    <row r="339" spans="1:4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D339" s="56"/>
      <c r="AE339" s="56"/>
      <c r="AF339" s="56"/>
      <c r="AG339" s="56"/>
      <c r="AH339" s="56"/>
      <c r="AI339" s="56"/>
      <c r="AJ339" s="56"/>
      <c r="AQ339" s="56"/>
      <c r="AR339" s="56"/>
      <c r="AS339" s="56"/>
    </row>
    <row r="340" spans="1:4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D340" s="56"/>
      <c r="AE340" s="56"/>
      <c r="AF340" s="56"/>
      <c r="AG340" s="56"/>
      <c r="AH340" s="56"/>
      <c r="AI340" s="56"/>
      <c r="AJ340" s="56"/>
      <c r="AQ340" s="56"/>
      <c r="AR340" s="56"/>
      <c r="AS340" s="56"/>
    </row>
    <row r="341" spans="1:4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D341" s="56"/>
      <c r="AE341" s="56"/>
      <c r="AF341" s="56"/>
      <c r="AG341" s="56"/>
      <c r="AH341" s="56"/>
      <c r="AI341" s="56"/>
      <c r="AJ341" s="56"/>
      <c r="AQ341" s="56"/>
      <c r="AR341" s="56"/>
      <c r="AS341" s="56"/>
    </row>
    <row r="342" spans="1:4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D342" s="56"/>
      <c r="AE342" s="56"/>
      <c r="AF342" s="56"/>
      <c r="AG342" s="56"/>
      <c r="AH342" s="56"/>
      <c r="AI342" s="56"/>
      <c r="AJ342" s="56"/>
      <c r="AQ342" s="56"/>
      <c r="AR342" s="56"/>
      <c r="AS342" s="56"/>
    </row>
    <row r="343" spans="1:4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D343" s="56"/>
      <c r="AE343" s="56"/>
      <c r="AF343" s="56"/>
      <c r="AG343" s="56"/>
      <c r="AH343" s="56"/>
      <c r="AI343" s="56"/>
      <c r="AJ343" s="56"/>
      <c r="AQ343" s="56"/>
      <c r="AR343" s="56"/>
      <c r="AS343" s="56"/>
    </row>
    <row r="344" spans="1:4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D344" s="56"/>
      <c r="AE344" s="56"/>
      <c r="AF344" s="56"/>
      <c r="AG344" s="56"/>
      <c r="AH344" s="56"/>
      <c r="AI344" s="56"/>
      <c r="AJ344" s="56"/>
      <c r="AQ344" s="56"/>
      <c r="AR344" s="56"/>
      <c r="AS344" s="56"/>
    </row>
    <row r="345" spans="1:4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D345" s="56"/>
      <c r="AE345" s="56"/>
      <c r="AF345" s="56"/>
      <c r="AG345" s="56"/>
      <c r="AH345" s="56"/>
      <c r="AI345" s="56"/>
      <c r="AJ345" s="56"/>
      <c r="AQ345" s="56"/>
      <c r="AR345" s="56"/>
      <c r="AS345" s="56"/>
    </row>
    <row r="346" spans="1:4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D346" s="56"/>
      <c r="AE346" s="56"/>
      <c r="AF346" s="56"/>
      <c r="AG346" s="56"/>
      <c r="AH346" s="56"/>
      <c r="AI346" s="56"/>
      <c r="AJ346" s="56"/>
      <c r="AQ346" s="56"/>
      <c r="AR346" s="56"/>
      <c r="AS346" s="56"/>
    </row>
    <row r="347" spans="1:4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D347" s="56"/>
      <c r="AE347" s="56"/>
      <c r="AF347" s="56"/>
      <c r="AG347" s="56"/>
      <c r="AH347" s="56"/>
      <c r="AI347" s="56"/>
      <c r="AJ347" s="56"/>
      <c r="AQ347" s="56"/>
      <c r="AR347" s="56"/>
      <c r="AS347" s="56"/>
    </row>
    <row r="348" spans="1:4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D348" s="56"/>
      <c r="AE348" s="56"/>
      <c r="AF348" s="56"/>
      <c r="AG348" s="56"/>
      <c r="AH348" s="56"/>
      <c r="AI348" s="56"/>
      <c r="AJ348" s="56"/>
      <c r="AQ348" s="56"/>
      <c r="AR348" s="56"/>
      <c r="AS348" s="56"/>
    </row>
    <row r="349" spans="1:4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D349" s="56"/>
      <c r="AE349" s="56"/>
      <c r="AF349" s="56"/>
      <c r="AG349" s="56"/>
      <c r="AH349" s="56"/>
      <c r="AI349" s="56"/>
      <c r="AJ349" s="56"/>
      <c r="AQ349" s="56"/>
      <c r="AR349" s="56"/>
      <c r="AS349" s="56"/>
    </row>
    <row r="350" spans="1:4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D350" s="56"/>
      <c r="AE350" s="56"/>
      <c r="AF350" s="56"/>
      <c r="AG350" s="56"/>
      <c r="AH350" s="56"/>
      <c r="AI350" s="56"/>
      <c r="AJ350" s="56"/>
      <c r="AQ350" s="56"/>
      <c r="AR350" s="56"/>
      <c r="AS350" s="56"/>
    </row>
    <row r="351" spans="1:4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D351" s="56"/>
      <c r="AE351" s="56"/>
      <c r="AF351" s="56"/>
      <c r="AG351" s="56"/>
      <c r="AH351" s="56"/>
      <c r="AI351" s="56"/>
      <c r="AJ351" s="56"/>
      <c r="AQ351" s="56"/>
      <c r="AR351" s="56"/>
      <c r="AS351" s="56"/>
    </row>
    <row r="352" spans="1:4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D352" s="56"/>
      <c r="AE352" s="56"/>
      <c r="AF352" s="56"/>
      <c r="AG352" s="56"/>
      <c r="AH352" s="56"/>
      <c r="AI352" s="56"/>
      <c r="AJ352" s="56"/>
      <c r="AQ352" s="56"/>
      <c r="AR352" s="56"/>
      <c r="AS352" s="56"/>
    </row>
    <row r="353" spans="1:4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D353" s="56"/>
      <c r="AE353" s="56"/>
      <c r="AF353" s="56"/>
      <c r="AG353" s="56"/>
      <c r="AH353" s="56"/>
      <c r="AI353" s="56"/>
      <c r="AJ353" s="56"/>
      <c r="AQ353" s="56"/>
      <c r="AR353" s="56"/>
      <c r="AS353" s="56"/>
    </row>
    <row r="354" spans="1:4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D354" s="56"/>
      <c r="AE354" s="56"/>
      <c r="AF354" s="56"/>
      <c r="AG354" s="56"/>
      <c r="AH354" s="56"/>
      <c r="AI354" s="56"/>
      <c r="AJ354" s="56"/>
      <c r="AQ354" s="56"/>
      <c r="AR354" s="56"/>
      <c r="AS354" s="56"/>
    </row>
    <row r="355" spans="1:4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D355" s="56"/>
      <c r="AE355" s="56"/>
      <c r="AF355" s="56"/>
      <c r="AG355" s="56"/>
      <c r="AH355" s="56"/>
      <c r="AI355" s="56"/>
      <c r="AJ355" s="56"/>
      <c r="AQ355" s="56"/>
      <c r="AR355" s="56"/>
      <c r="AS355" s="56"/>
    </row>
    <row r="356" spans="1:4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D356" s="56"/>
      <c r="AE356" s="56"/>
      <c r="AF356" s="56"/>
      <c r="AG356" s="56"/>
      <c r="AH356" s="56"/>
      <c r="AI356" s="56"/>
      <c r="AJ356" s="56"/>
      <c r="AQ356" s="56"/>
      <c r="AR356" s="56"/>
      <c r="AS356" s="56"/>
    </row>
    <row r="357" spans="1:4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D357" s="56"/>
      <c r="AE357" s="56"/>
      <c r="AF357" s="56"/>
      <c r="AG357" s="56"/>
      <c r="AH357" s="56"/>
      <c r="AI357" s="56"/>
      <c r="AJ357" s="56"/>
      <c r="AQ357" s="56"/>
      <c r="AR357" s="56"/>
      <c r="AS357" s="56"/>
    </row>
    <row r="358" spans="1:4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D358" s="56"/>
      <c r="AE358" s="56"/>
      <c r="AF358" s="56"/>
      <c r="AG358" s="56"/>
      <c r="AH358" s="56"/>
      <c r="AI358" s="56"/>
      <c r="AJ358" s="56"/>
      <c r="AQ358" s="56"/>
      <c r="AR358" s="56"/>
      <c r="AS358" s="56"/>
    </row>
    <row r="359" spans="1:4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D359" s="56"/>
      <c r="AE359" s="56"/>
      <c r="AF359" s="56"/>
      <c r="AG359" s="56"/>
      <c r="AH359" s="56"/>
      <c r="AI359" s="56"/>
      <c r="AJ359" s="56"/>
      <c r="AQ359" s="56"/>
      <c r="AR359" s="56"/>
      <c r="AS359" s="56"/>
    </row>
    <row r="360" spans="1:4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D360" s="56"/>
      <c r="AE360" s="56"/>
      <c r="AF360" s="56"/>
      <c r="AG360" s="56"/>
      <c r="AH360" s="56"/>
      <c r="AI360" s="56"/>
      <c r="AJ360" s="56"/>
      <c r="AQ360" s="56"/>
      <c r="AR360" s="56"/>
      <c r="AS360" s="56"/>
    </row>
    <row r="361" spans="1:4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D361" s="56"/>
      <c r="AE361" s="56"/>
      <c r="AF361" s="56"/>
      <c r="AG361" s="56"/>
      <c r="AH361" s="56"/>
      <c r="AI361" s="56"/>
      <c r="AJ361" s="56"/>
      <c r="AQ361" s="56"/>
      <c r="AR361" s="56"/>
      <c r="AS361" s="56"/>
    </row>
    <row r="362" spans="1:4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D362" s="56"/>
      <c r="AE362" s="56"/>
      <c r="AF362" s="56"/>
      <c r="AG362" s="56"/>
      <c r="AH362" s="56"/>
      <c r="AI362" s="56"/>
      <c r="AJ362" s="56"/>
      <c r="AQ362" s="56"/>
      <c r="AR362" s="56"/>
      <c r="AS362" s="56"/>
    </row>
    <row r="363" spans="1:4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D363" s="56"/>
      <c r="AE363" s="56"/>
      <c r="AF363" s="56"/>
      <c r="AG363" s="56"/>
      <c r="AH363" s="56"/>
      <c r="AI363" s="56"/>
      <c r="AJ363" s="56"/>
      <c r="AQ363" s="56"/>
      <c r="AR363" s="56"/>
      <c r="AS363" s="56"/>
    </row>
    <row r="364" spans="1:4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D364" s="56"/>
      <c r="AE364" s="56"/>
      <c r="AF364" s="56"/>
      <c r="AG364" s="56"/>
      <c r="AH364" s="56"/>
      <c r="AI364" s="56"/>
      <c r="AJ364" s="56"/>
      <c r="AQ364" s="56"/>
      <c r="AR364" s="56"/>
      <c r="AS364" s="56"/>
    </row>
    <row r="365" spans="1:4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D365" s="56"/>
      <c r="AE365" s="56"/>
      <c r="AF365" s="56"/>
      <c r="AG365" s="56"/>
      <c r="AH365" s="56"/>
      <c r="AI365" s="56"/>
      <c r="AJ365" s="56"/>
      <c r="AQ365" s="56"/>
      <c r="AR365" s="56"/>
      <c r="AS365" s="56"/>
    </row>
    <row r="366" spans="1:4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D366" s="56"/>
      <c r="AE366" s="56"/>
      <c r="AF366" s="56"/>
      <c r="AG366" s="56"/>
      <c r="AH366" s="56"/>
      <c r="AI366" s="56"/>
      <c r="AJ366" s="56"/>
      <c r="AQ366" s="56"/>
      <c r="AR366" s="56"/>
      <c r="AS366" s="56"/>
    </row>
    <row r="367" spans="1:4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D367" s="56"/>
      <c r="AE367" s="56"/>
      <c r="AF367" s="56"/>
      <c r="AG367" s="56"/>
      <c r="AH367" s="56"/>
      <c r="AI367" s="56"/>
      <c r="AJ367" s="56"/>
      <c r="AQ367" s="56"/>
      <c r="AR367" s="56"/>
      <c r="AS367" s="56"/>
    </row>
    <row r="368" spans="1:4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D368" s="56"/>
      <c r="AE368" s="56"/>
      <c r="AF368" s="56"/>
      <c r="AG368" s="56"/>
      <c r="AH368" s="56"/>
      <c r="AI368" s="56"/>
      <c r="AJ368" s="56"/>
      <c r="AQ368" s="56"/>
      <c r="AR368" s="56"/>
      <c r="AS368" s="56"/>
    </row>
    <row r="369" spans="1:4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D369" s="56"/>
      <c r="AE369" s="56"/>
      <c r="AF369" s="56"/>
      <c r="AG369" s="56"/>
      <c r="AH369" s="56"/>
      <c r="AI369" s="56"/>
      <c r="AJ369" s="56"/>
      <c r="AQ369" s="56"/>
      <c r="AR369" s="56"/>
      <c r="AS369" s="56"/>
    </row>
    <row r="370" spans="1:4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D370" s="56"/>
      <c r="AE370" s="56"/>
      <c r="AF370" s="56"/>
      <c r="AG370" s="56"/>
      <c r="AH370" s="56"/>
      <c r="AI370" s="56"/>
      <c r="AJ370" s="56"/>
      <c r="AQ370" s="56"/>
      <c r="AR370" s="56"/>
      <c r="AS370" s="56"/>
    </row>
    <row r="371" spans="1:4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D371" s="56"/>
      <c r="AE371" s="56"/>
      <c r="AF371" s="56"/>
      <c r="AG371" s="56"/>
      <c r="AH371" s="56"/>
      <c r="AI371" s="56"/>
      <c r="AJ371" s="56"/>
      <c r="AQ371" s="56"/>
      <c r="AR371" s="56"/>
      <c r="AS371" s="56"/>
    </row>
    <row r="372" spans="1:4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D372" s="56"/>
      <c r="AE372" s="56"/>
      <c r="AF372" s="56"/>
      <c r="AG372" s="56"/>
      <c r="AH372" s="56"/>
      <c r="AI372" s="56"/>
      <c r="AJ372" s="56"/>
      <c r="AQ372" s="56"/>
      <c r="AR372" s="56"/>
      <c r="AS372" s="56"/>
    </row>
    <row r="373" spans="1:4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D373" s="56"/>
      <c r="AE373" s="56"/>
      <c r="AF373" s="56"/>
      <c r="AG373" s="56"/>
      <c r="AH373" s="56"/>
      <c r="AI373" s="56"/>
      <c r="AJ373" s="56"/>
      <c r="AQ373" s="56"/>
      <c r="AR373" s="56"/>
      <c r="AS373" s="56"/>
    </row>
    <row r="374" spans="1:4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D374" s="56"/>
      <c r="AE374" s="56"/>
      <c r="AF374" s="56"/>
      <c r="AG374" s="56"/>
      <c r="AH374" s="56"/>
      <c r="AI374" s="56"/>
      <c r="AJ374" s="56"/>
      <c r="AQ374" s="56"/>
      <c r="AR374" s="56"/>
      <c r="AS374" s="56"/>
    </row>
    <row r="375" spans="1:4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D375" s="56"/>
      <c r="AE375" s="56"/>
      <c r="AF375" s="56"/>
      <c r="AG375" s="56"/>
      <c r="AH375" s="56"/>
      <c r="AI375" s="56"/>
      <c r="AJ375" s="56"/>
      <c r="AQ375" s="56"/>
      <c r="AR375" s="56"/>
      <c r="AS375" s="56"/>
    </row>
    <row r="376" spans="1:4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D376" s="56"/>
      <c r="AE376" s="56"/>
      <c r="AF376" s="56"/>
      <c r="AG376" s="56"/>
      <c r="AH376" s="56"/>
      <c r="AI376" s="56"/>
      <c r="AJ376" s="56"/>
      <c r="AQ376" s="56"/>
      <c r="AR376" s="56"/>
      <c r="AS376" s="56"/>
    </row>
    <row r="377" spans="1:4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D377" s="56"/>
      <c r="AE377" s="56"/>
      <c r="AF377" s="56"/>
      <c r="AG377" s="56"/>
      <c r="AH377" s="56"/>
      <c r="AI377" s="56"/>
      <c r="AJ377" s="56"/>
      <c r="AQ377" s="56"/>
      <c r="AR377" s="56"/>
      <c r="AS377" s="56"/>
    </row>
    <row r="378" spans="1:4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D378" s="56"/>
      <c r="AE378" s="56"/>
      <c r="AF378" s="56"/>
      <c r="AG378" s="56"/>
      <c r="AH378" s="56"/>
      <c r="AI378" s="56"/>
      <c r="AJ378" s="56"/>
      <c r="AQ378" s="56"/>
      <c r="AR378" s="56"/>
      <c r="AS378" s="56"/>
    </row>
    <row r="379" spans="1:4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D379" s="56"/>
      <c r="AE379" s="56"/>
      <c r="AF379" s="56"/>
      <c r="AG379" s="56"/>
      <c r="AH379" s="56"/>
      <c r="AI379" s="56"/>
      <c r="AJ379" s="56"/>
      <c r="AQ379" s="56"/>
      <c r="AR379" s="56"/>
      <c r="AS379" s="56"/>
    </row>
    <row r="380" spans="1:4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D380" s="56"/>
      <c r="AE380" s="56"/>
      <c r="AF380" s="56"/>
      <c r="AG380" s="56"/>
      <c r="AH380" s="56"/>
      <c r="AI380" s="56"/>
      <c r="AJ380" s="56"/>
      <c r="AQ380" s="56"/>
      <c r="AR380" s="56"/>
      <c r="AS380" s="56"/>
    </row>
    <row r="381" spans="1:4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D381" s="56"/>
      <c r="AE381" s="56"/>
      <c r="AF381" s="56"/>
      <c r="AG381" s="56"/>
      <c r="AH381" s="56"/>
      <c r="AI381" s="56"/>
      <c r="AJ381" s="56"/>
      <c r="AQ381" s="56"/>
      <c r="AR381" s="56"/>
      <c r="AS381" s="56"/>
    </row>
    <row r="382" spans="1:4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D382" s="56"/>
      <c r="AE382" s="56"/>
      <c r="AF382" s="56"/>
      <c r="AG382" s="56"/>
      <c r="AH382" s="56"/>
      <c r="AI382" s="56"/>
      <c r="AJ382" s="56"/>
      <c r="AQ382" s="56"/>
      <c r="AR382" s="56"/>
      <c r="AS382" s="56"/>
    </row>
    <row r="383" spans="1:4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D383" s="56"/>
      <c r="AE383" s="56"/>
      <c r="AF383" s="56"/>
      <c r="AG383" s="56"/>
      <c r="AH383" s="56"/>
      <c r="AI383" s="56"/>
      <c r="AJ383" s="56"/>
      <c r="AQ383" s="56"/>
      <c r="AR383" s="56"/>
      <c r="AS383" s="56"/>
    </row>
    <row r="384" spans="1:4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D384" s="56"/>
      <c r="AE384" s="56"/>
      <c r="AF384" s="56"/>
      <c r="AG384" s="56"/>
      <c r="AH384" s="56"/>
      <c r="AI384" s="56"/>
      <c r="AJ384" s="56"/>
      <c r="AQ384" s="56"/>
      <c r="AR384" s="56"/>
      <c r="AS384" s="56"/>
    </row>
    <row r="385" spans="1:4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D385" s="56"/>
      <c r="AE385" s="56"/>
      <c r="AF385" s="56"/>
      <c r="AG385" s="56"/>
      <c r="AH385" s="56"/>
      <c r="AI385" s="56"/>
      <c r="AJ385" s="56"/>
      <c r="AQ385" s="56"/>
      <c r="AR385" s="56"/>
      <c r="AS385" s="56"/>
    </row>
    <row r="386" spans="1:4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D386" s="56"/>
      <c r="AE386" s="56"/>
      <c r="AF386" s="56"/>
      <c r="AG386" s="56"/>
      <c r="AH386" s="56"/>
      <c r="AI386" s="56"/>
      <c r="AJ386" s="56"/>
      <c r="AQ386" s="56"/>
      <c r="AR386" s="56"/>
      <c r="AS386" s="56"/>
    </row>
    <row r="387" spans="1:4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D387" s="56"/>
      <c r="AE387" s="56"/>
      <c r="AF387" s="56"/>
      <c r="AG387" s="56"/>
      <c r="AH387" s="56"/>
      <c r="AI387" s="56"/>
      <c r="AJ387" s="56"/>
      <c r="AQ387" s="56"/>
      <c r="AR387" s="56"/>
      <c r="AS387" s="56"/>
    </row>
    <row r="388" spans="1:4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D388" s="56"/>
      <c r="AE388" s="56"/>
      <c r="AF388" s="56"/>
      <c r="AG388" s="56"/>
      <c r="AH388" s="56"/>
      <c r="AI388" s="56"/>
      <c r="AJ388" s="56"/>
      <c r="AQ388" s="56"/>
      <c r="AR388" s="56"/>
      <c r="AS388" s="56"/>
    </row>
    <row r="389" spans="1:4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D389" s="56"/>
      <c r="AE389" s="56"/>
      <c r="AF389" s="56"/>
      <c r="AG389" s="56"/>
      <c r="AH389" s="56"/>
      <c r="AI389" s="56"/>
      <c r="AJ389" s="56"/>
      <c r="AQ389" s="56"/>
      <c r="AR389" s="56"/>
      <c r="AS389" s="56"/>
    </row>
    <row r="390" spans="1:4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D390" s="56"/>
      <c r="AE390" s="56"/>
      <c r="AF390" s="56"/>
      <c r="AG390" s="56"/>
      <c r="AH390" s="56"/>
      <c r="AI390" s="56"/>
      <c r="AJ390" s="56"/>
      <c r="AQ390" s="56"/>
      <c r="AR390" s="56"/>
      <c r="AS390" s="56"/>
    </row>
    <row r="391" spans="1:4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D391" s="56"/>
      <c r="AE391" s="56"/>
      <c r="AF391" s="56"/>
      <c r="AG391" s="56"/>
      <c r="AH391" s="56"/>
      <c r="AI391" s="56"/>
      <c r="AJ391" s="56"/>
      <c r="AQ391" s="56"/>
      <c r="AR391" s="56"/>
      <c r="AS391" s="56"/>
    </row>
    <row r="392" spans="1:4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D392" s="56"/>
      <c r="AE392" s="56"/>
      <c r="AF392" s="56"/>
      <c r="AG392" s="56"/>
      <c r="AH392" s="56"/>
      <c r="AI392" s="56"/>
      <c r="AJ392" s="56"/>
      <c r="AQ392" s="56"/>
      <c r="AR392" s="56"/>
      <c r="AS392" s="56"/>
    </row>
    <row r="393" spans="1:4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D393" s="56"/>
      <c r="AE393" s="56"/>
      <c r="AF393" s="56"/>
      <c r="AG393" s="56"/>
      <c r="AH393" s="56"/>
      <c r="AI393" s="56"/>
      <c r="AJ393" s="56"/>
      <c r="AQ393" s="56"/>
      <c r="AR393" s="56"/>
      <c r="AS393" s="56"/>
    </row>
    <row r="394" spans="1:4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D394" s="56"/>
      <c r="AE394" s="56"/>
      <c r="AF394" s="56"/>
      <c r="AG394" s="56"/>
      <c r="AH394" s="56"/>
      <c r="AI394" s="56"/>
      <c r="AJ394" s="56"/>
      <c r="AQ394" s="56"/>
      <c r="AR394" s="56"/>
      <c r="AS394" s="56"/>
    </row>
    <row r="395" spans="1:4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D395" s="56"/>
      <c r="AE395" s="56"/>
      <c r="AF395" s="56"/>
      <c r="AG395" s="56"/>
      <c r="AH395" s="56"/>
      <c r="AI395" s="56"/>
      <c r="AJ395" s="56"/>
      <c r="AQ395" s="56"/>
      <c r="AR395" s="56"/>
      <c r="AS395" s="56"/>
    </row>
    <row r="396" spans="1:4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D396" s="56"/>
      <c r="AE396" s="56"/>
      <c r="AF396" s="56"/>
      <c r="AG396" s="56"/>
      <c r="AH396" s="56"/>
      <c r="AI396" s="56"/>
      <c r="AJ396" s="56"/>
      <c r="AQ396" s="56"/>
      <c r="AR396" s="56"/>
      <c r="AS396" s="56"/>
    </row>
    <row r="397" spans="1:4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D397" s="56"/>
      <c r="AE397" s="56"/>
      <c r="AF397" s="56"/>
      <c r="AG397" s="56"/>
      <c r="AH397" s="56"/>
      <c r="AI397" s="56"/>
      <c r="AJ397" s="56"/>
      <c r="AQ397" s="56"/>
      <c r="AR397" s="56"/>
      <c r="AS397" s="56"/>
    </row>
    <row r="398" spans="1:4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D398" s="56"/>
      <c r="AE398" s="56"/>
      <c r="AF398" s="56"/>
      <c r="AG398" s="56"/>
      <c r="AH398" s="56"/>
      <c r="AI398" s="56"/>
      <c r="AJ398" s="56"/>
      <c r="AQ398" s="56"/>
      <c r="AR398" s="56"/>
      <c r="AS398" s="56"/>
    </row>
    <row r="399" spans="1:4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D399" s="56"/>
      <c r="AE399" s="56"/>
      <c r="AF399" s="56"/>
      <c r="AG399" s="56"/>
      <c r="AH399" s="56"/>
      <c r="AI399" s="56"/>
      <c r="AJ399" s="56"/>
      <c r="AQ399" s="56"/>
      <c r="AR399" s="56"/>
      <c r="AS399" s="56"/>
    </row>
    <row r="400" spans="1:4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D400" s="56"/>
      <c r="AE400" s="56"/>
      <c r="AF400" s="56"/>
      <c r="AG400" s="56"/>
      <c r="AH400" s="56"/>
      <c r="AI400" s="56"/>
      <c r="AJ400" s="56"/>
      <c r="AQ400" s="56"/>
      <c r="AR400" s="56"/>
      <c r="AS400" s="56"/>
    </row>
    <row r="401" spans="1:4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D401" s="56"/>
      <c r="AE401" s="56"/>
      <c r="AF401" s="56"/>
      <c r="AG401" s="56"/>
      <c r="AH401" s="56"/>
      <c r="AI401" s="56"/>
      <c r="AJ401" s="56"/>
      <c r="AQ401" s="56"/>
      <c r="AR401" s="56"/>
      <c r="AS401" s="56"/>
    </row>
    <row r="402" spans="1:4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D402" s="56"/>
      <c r="AE402" s="56"/>
      <c r="AF402" s="56"/>
      <c r="AG402" s="56"/>
      <c r="AH402" s="56"/>
      <c r="AI402" s="56"/>
      <c r="AJ402" s="56"/>
      <c r="AQ402" s="56"/>
      <c r="AR402" s="56"/>
      <c r="AS402" s="56"/>
    </row>
    <row r="403" spans="1:4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D403" s="56"/>
      <c r="AE403" s="56"/>
      <c r="AF403" s="56"/>
      <c r="AG403" s="56"/>
      <c r="AH403" s="56"/>
      <c r="AI403" s="56"/>
      <c r="AJ403" s="56"/>
      <c r="AQ403" s="56"/>
      <c r="AR403" s="56"/>
      <c r="AS403" s="56"/>
    </row>
    <row r="404" spans="1:4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D404" s="56"/>
      <c r="AE404" s="56"/>
      <c r="AF404" s="56"/>
      <c r="AG404" s="56"/>
      <c r="AH404" s="56"/>
      <c r="AI404" s="56"/>
      <c r="AJ404" s="56"/>
      <c r="AQ404" s="56"/>
      <c r="AR404" s="56"/>
      <c r="AS404" s="56"/>
    </row>
    <row r="405" spans="1:4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D405" s="56"/>
      <c r="AE405" s="56"/>
      <c r="AF405" s="56"/>
      <c r="AG405" s="56"/>
      <c r="AH405" s="56"/>
      <c r="AI405" s="56"/>
      <c r="AJ405" s="56"/>
      <c r="AQ405" s="56"/>
      <c r="AR405" s="56"/>
      <c r="AS405" s="56"/>
    </row>
    <row r="406" spans="1:4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D406" s="56"/>
      <c r="AE406" s="56"/>
      <c r="AF406" s="56"/>
      <c r="AG406" s="56"/>
      <c r="AH406" s="56"/>
      <c r="AI406" s="56"/>
      <c r="AJ406" s="56"/>
      <c r="AQ406" s="56"/>
      <c r="AR406" s="56"/>
      <c r="AS406" s="56"/>
    </row>
    <row r="407" spans="1:4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D407" s="56"/>
      <c r="AE407" s="56"/>
      <c r="AF407" s="56"/>
      <c r="AG407" s="56"/>
      <c r="AH407" s="56"/>
      <c r="AI407" s="56"/>
      <c r="AJ407" s="56"/>
      <c r="AQ407" s="56"/>
      <c r="AR407" s="56"/>
      <c r="AS407" s="56"/>
    </row>
    <row r="408" spans="1:4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D408" s="56"/>
      <c r="AE408" s="56"/>
      <c r="AF408" s="56"/>
      <c r="AG408" s="56"/>
      <c r="AH408" s="56"/>
      <c r="AI408" s="56"/>
      <c r="AJ408" s="56"/>
      <c r="AQ408" s="56"/>
      <c r="AR408" s="56"/>
      <c r="AS408" s="56"/>
    </row>
    <row r="409" spans="1:4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D409" s="56"/>
      <c r="AE409" s="56"/>
      <c r="AF409" s="56"/>
      <c r="AG409" s="56"/>
      <c r="AH409" s="56"/>
      <c r="AI409" s="56"/>
      <c r="AJ409" s="56"/>
      <c r="AQ409" s="56"/>
      <c r="AR409" s="56"/>
      <c r="AS409" s="56"/>
    </row>
    <row r="410" spans="1:4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D410" s="56"/>
      <c r="AE410" s="56"/>
      <c r="AF410" s="56"/>
      <c r="AG410" s="56"/>
      <c r="AH410" s="56"/>
      <c r="AI410" s="56"/>
      <c r="AJ410" s="56"/>
      <c r="AQ410" s="56"/>
      <c r="AR410" s="56"/>
      <c r="AS410" s="56"/>
    </row>
    <row r="411" spans="1:4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D411" s="56"/>
      <c r="AE411" s="56"/>
      <c r="AF411" s="56"/>
      <c r="AG411" s="56"/>
      <c r="AH411" s="56"/>
      <c r="AI411" s="56"/>
      <c r="AJ411" s="56"/>
      <c r="AQ411" s="56"/>
      <c r="AR411" s="56"/>
      <c r="AS411" s="56"/>
    </row>
    <row r="412" spans="1:4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D412" s="56"/>
      <c r="AE412" s="56"/>
      <c r="AF412" s="56"/>
      <c r="AG412" s="56"/>
      <c r="AH412" s="56"/>
      <c r="AI412" s="56"/>
      <c r="AJ412" s="56"/>
      <c r="AQ412" s="56"/>
      <c r="AR412" s="56"/>
      <c r="AS412" s="56"/>
    </row>
    <row r="413" spans="1:4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D413" s="56"/>
      <c r="AE413" s="56"/>
      <c r="AF413" s="56"/>
      <c r="AG413" s="56"/>
      <c r="AH413" s="56"/>
      <c r="AI413" s="56"/>
      <c r="AJ413" s="56"/>
      <c r="AQ413" s="56"/>
      <c r="AR413" s="56"/>
      <c r="AS413" s="56"/>
    </row>
    <row r="414" spans="1:4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D414" s="56"/>
      <c r="AE414" s="56"/>
      <c r="AF414" s="56"/>
      <c r="AG414" s="56"/>
      <c r="AH414" s="56"/>
      <c r="AI414" s="56"/>
      <c r="AJ414" s="56"/>
      <c r="AQ414" s="56"/>
      <c r="AR414" s="56"/>
      <c r="AS414" s="56"/>
    </row>
    <row r="415" spans="1:4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D415" s="56"/>
      <c r="AE415" s="56"/>
      <c r="AF415" s="56"/>
      <c r="AG415" s="56"/>
      <c r="AH415" s="56"/>
      <c r="AI415" s="56"/>
      <c r="AJ415" s="56"/>
      <c r="AQ415" s="56"/>
      <c r="AR415" s="56"/>
      <c r="AS415" s="56"/>
    </row>
    <row r="416" spans="1:4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D416" s="56"/>
      <c r="AE416" s="56"/>
      <c r="AF416" s="56"/>
      <c r="AG416" s="56"/>
      <c r="AH416" s="56"/>
      <c r="AI416" s="56"/>
      <c r="AJ416" s="56"/>
      <c r="AQ416" s="56"/>
      <c r="AR416" s="56"/>
      <c r="AS416" s="56"/>
    </row>
    <row r="417" spans="1:4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D417" s="56"/>
      <c r="AE417" s="56"/>
      <c r="AF417" s="56"/>
      <c r="AG417" s="56"/>
      <c r="AH417" s="56"/>
      <c r="AI417" s="56"/>
      <c r="AJ417" s="56"/>
      <c r="AQ417" s="56"/>
      <c r="AR417" s="56"/>
      <c r="AS417" s="56"/>
    </row>
    <row r="418" spans="1:4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D418" s="56"/>
      <c r="AE418" s="56"/>
      <c r="AF418" s="56"/>
      <c r="AG418" s="56"/>
      <c r="AH418" s="56"/>
      <c r="AI418" s="56"/>
      <c r="AJ418" s="56"/>
      <c r="AQ418" s="56"/>
      <c r="AR418" s="56"/>
      <c r="AS418" s="56"/>
    </row>
    <row r="419" spans="1:4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D419" s="56"/>
      <c r="AE419" s="56"/>
      <c r="AF419" s="56"/>
      <c r="AG419" s="56"/>
      <c r="AH419" s="56"/>
      <c r="AI419" s="56"/>
      <c r="AJ419" s="56"/>
      <c r="AQ419" s="56"/>
      <c r="AR419" s="56"/>
      <c r="AS419" s="56"/>
    </row>
    <row r="420" spans="1:4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D420" s="56"/>
      <c r="AE420" s="56"/>
      <c r="AF420" s="56"/>
      <c r="AG420" s="56"/>
      <c r="AH420" s="56"/>
      <c r="AI420" s="56"/>
      <c r="AJ420" s="56"/>
      <c r="AQ420" s="56"/>
      <c r="AR420" s="56"/>
      <c r="AS420" s="56"/>
    </row>
    <row r="421" spans="1:4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D421" s="56"/>
      <c r="AE421" s="56"/>
      <c r="AF421" s="56"/>
      <c r="AG421" s="56"/>
      <c r="AH421" s="56"/>
      <c r="AI421" s="56"/>
      <c r="AJ421" s="56"/>
      <c r="AQ421" s="56"/>
      <c r="AR421" s="56"/>
      <c r="AS421" s="56"/>
    </row>
    <row r="422" spans="1:4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D422" s="56"/>
      <c r="AE422" s="56"/>
      <c r="AF422" s="56"/>
      <c r="AG422" s="56"/>
      <c r="AH422" s="56"/>
      <c r="AI422" s="56"/>
      <c r="AJ422" s="56"/>
      <c r="AQ422" s="56"/>
      <c r="AR422" s="56"/>
      <c r="AS422" s="56"/>
    </row>
    <row r="423" spans="1:4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D423" s="56"/>
      <c r="AE423" s="56"/>
      <c r="AF423" s="56"/>
      <c r="AG423" s="56"/>
      <c r="AH423" s="56"/>
      <c r="AI423" s="56"/>
      <c r="AJ423" s="56"/>
      <c r="AQ423" s="56"/>
      <c r="AR423" s="56"/>
      <c r="AS423" s="56"/>
    </row>
    <row r="424" spans="1:4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D424" s="56"/>
      <c r="AE424" s="56"/>
      <c r="AF424" s="56"/>
      <c r="AG424" s="56"/>
      <c r="AH424" s="56"/>
      <c r="AI424" s="56"/>
      <c r="AJ424" s="56"/>
      <c r="AQ424" s="56"/>
      <c r="AR424" s="56"/>
      <c r="AS424" s="56"/>
    </row>
    <row r="425" spans="1:4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D425" s="56"/>
      <c r="AE425" s="56"/>
      <c r="AF425" s="56"/>
      <c r="AG425" s="56"/>
      <c r="AH425" s="56"/>
      <c r="AI425" s="56"/>
      <c r="AJ425" s="56"/>
      <c r="AQ425" s="56"/>
      <c r="AR425" s="56"/>
      <c r="AS425" s="56"/>
    </row>
    <row r="426" spans="1:4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D426" s="56"/>
      <c r="AE426" s="56"/>
      <c r="AF426" s="56"/>
      <c r="AG426" s="56"/>
      <c r="AH426" s="56"/>
      <c r="AI426" s="56"/>
      <c r="AJ426" s="56"/>
      <c r="AQ426" s="56"/>
      <c r="AR426" s="56"/>
      <c r="AS426" s="56"/>
    </row>
    <row r="427" spans="1:4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D427" s="56"/>
      <c r="AE427" s="56"/>
      <c r="AF427" s="56"/>
      <c r="AG427" s="56"/>
      <c r="AH427" s="56"/>
      <c r="AI427" s="56"/>
      <c r="AJ427" s="56"/>
      <c r="AQ427" s="56"/>
      <c r="AR427" s="56"/>
      <c r="AS427" s="56"/>
    </row>
    <row r="428" spans="1:4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D428" s="56"/>
      <c r="AE428" s="56"/>
      <c r="AF428" s="56"/>
      <c r="AG428" s="56"/>
      <c r="AH428" s="56"/>
      <c r="AI428" s="56"/>
      <c r="AJ428" s="56"/>
      <c r="AQ428" s="56"/>
      <c r="AR428" s="56"/>
      <c r="AS428" s="56"/>
    </row>
    <row r="429" spans="1:4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D429" s="56"/>
      <c r="AE429" s="56"/>
      <c r="AF429" s="56"/>
      <c r="AG429" s="56"/>
      <c r="AH429" s="56"/>
      <c r="AI429" s="56"/>
      <c r="AJ429" s="56"/>
      <c r="AQ429" s="56"/>
      <c r="AR429" s="56"/>
      <c r="AS429" s="56"/>
    </row>
    <row r="430" spans="1:4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D430" s="56"/>
      <c r="AE430" s="56"/>
      <c r="AF430" s="56"/>
      <c r="AG430" s="56"/>
      <c r="AH430" s="56"/>
      <c r="AI430" s="56"/>
      <c r="AJ430" s="56"/>
      <c r="AQ430" s="56"/>
      <c r="AR430" s="56"/>
      <c r="AS430" s="56"/>
    </row>
    <row r="431" spans="1:4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D431" s="56"/>
      <c r="AE431" s="56"/>
      <c r="AF431" s="56"/>
      <c r="AG431" s="56"/>
      <c r="AH431" s="56"/>
      <c r="AI431" s="56"/>
      <c r="AJ431" s="56"/>
      <c r="AQ431" s="56"/>
      <c r="AR431" s="56"/>
      <c r="AS431" s="56"/>
    </row>
    <row r="432" spans="1:4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D432" s="56"/>
      <c r="AE432" s="56"/>
      <c r="AF432" s="56"/>
      <c r="AG432" s="56"/>
      <c r="AH432" s="56"/>
      <c r="AI432" s="56"/>
      <c r="AJ432" s="56"/>
      <c r="AQ432" s="56"/>
      <c r="AR432" s="56"/>
      <c r="AS432" s="56"/>
    </row>
    <row r="433" spans="1:4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D433" s="56"/>
      <c r="AE433" s="56"/>
      <c r="AF433" s="56"/>
      <c r="AG433" s="56"/>
      <c r="AH433" s="56"/>
      <c r="AI433" s="56"/>
      <c r="AJ433" s="56"/>
      <c r="AQ433" s="56"/>
      <c r="AR433" s="56"/>
      <c r="AS433" s="56"/>
    </row>
    <row r="434" spans="1:4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D434" s="56"/>
      <c r="AE434" s="56"/>
      <c r="AF434" s="56"/>
      <c r="AG434" s="56"/>
      <c r="AH434" s="56"/>
      <c r="AI434" s="56"/>
      <c r="AJ434" s="56"/>
      <c r="AQ434" s="56"/>
      <c r="AR434" s="56"/>
      <c r="AS434" s="56"/>
    </row>
    <row r="435" spans="1:4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D435" s="56"/>
      <c r="AE435" s="56"/>
      <c r="AF435" s="56"/>
      <c r="AG435" s="56"/>
      <c r="AH435" s="56"/>
      <c r="AI435" s="56"/>
      <c r="AJ435" s="56"/>
      <c r="AQ435" s="56"/>
      <c r="AR435" s="56"/>
      <c r="AS435" s="56"/>
    </row>
    <row r="436" spans="1:4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D436" s="56"/>
      <c r="AE436" s="56"/>
      <c r="AF436" s="56"/>
      <c r="AG436" s="56"/>
      <c r="AH436" s="56"/>
      <c r="AI436" s="56"/>
      <c r="AJ436" s="56"/>
      <c r="AQ436" s="56"/>
      <c r="AR436" s="56"/>
      <c r="AS436" s="56"/>
    </row>
    <row r="437" spans="1:4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D437" s="56"/>
      <c r="AE437" s="56"/>
      <c r="AF437" s="56"/>
      <c r="AG437" s="56"/>
      <c r="AH437" s="56"/>
      <c r="AI437" s="56"/>
      <c r="AJ437" s="56"/>
      <c r="AQ437" s="56"/>
      <c r="AR437" s="56"/>
      <c r="AS437" s="56"/>
    </row>
    <row r="438" spans="1:4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D438" s="56"/>
      <c r="AE438" s="56"/>
      <c r="AF438" s="56"/>
      <c r="AG438" s="56"/>
      <c r="AH438" s="56"/>
      <c r="AI438" s="56"/>
      <c r="AJ438" s="56"/>
      <c r="AQ438" s="56"/>
      <c r="AR438" s="56"/>
      <c r="AS438" s="56"/>
    </row>
    <row r="439" spans="1:4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D439" s="56"/>
      <c r="AE439" s="56"/>
      <c r="AF439" s="56"/>
      <c r="AG439" s="56"/>
      <c r="AH439" s="56"/>
      <c r="AI439" s="56"/>
      <c r="AJ439" s="56"/>
      <c r="AQ439" s="56"/>
      <c r="AR439" s="56"/>
      <c r="AS439" s="56"/>
    </row>
    <row r="440" spans="1:4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D440" s="56"/>
      <c r="AE440" s="56"/>
      <c r="AF440" s="56"/>
      <c r="AG440" s="56"/>
      <c r="AH440" s="56"/>
      <c r="AI440" s="56"/>
      <c r="AJ440" s="56"/>
      <c r="AQ440" s="56"/>
      <c r="AR440" s="56"/>
      <c r="AS440" s="56"/>
    </row>
    <row r="441" spans="1:4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D441" s="56"/>
      <c r="AE441" s="56"/>
      <c r="AF441" s="56"/>
      <c r="AG441" s="56"/>
      <c r="AH441" s="56"/>
      <c r="AI441" s="56"/>
      <c r="AJ441" s="56"/>
      <c r="AQ441" s="56"/>
      <c r="AR441" s="56"/>
      <c r="AS441" s="56"/>
    </row>
    <row r="442" spans="1:4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D442" s="56"/>
      <c r="AE442" s="56"/>
      <c r="AF442" s="56"/>
      <c r="AG442" s="56"/>
      <c r="AH442" s="56"/>
      <c r="AI442" s="56"/>
      <c r="AJ442" s="56"/>
      <c r="AQ442" s="56"/>
      <c r="AR442" s="56"/>
      <c r="AS442" s="56"/>
    </row>
    <row r="443" spans="1:4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D443" s="56"/>
      <c r="AE443" s="56"/>
      <c r="AF443" s="56"/>
      <c r="AG443" s="56"/>
      <c r="AH443" s="56"/>
      <c r="AI443" s="56"/>
      <c r="AJ443" s="56"/>
      <c r="AQ443" s="56"/>
      <c r="AR443" s="56"/>
      <c r="AS443" s="56"/>
    </row>
    <row r="444" spans="1:4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D444" s="56"/>
      <c r="AE444" s="56"/>
      <c r="AF444" s="56"/>
      <c r="AG444" s="56"/>
      <c r="AH444" s="56"/>
      <c r="AI444" s="56"/>
      <c r="AJ444" s="56"/>
      <c r="AQ444" s="56"/>
      <c r="AR444" s="56"/>
      <c r="AS444" s="56"/>
    </row>
    <row r="445" spans="1:4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D445" s="56"/>
      <c r="AE445" s="56"/>
      <c r="AF445" s="56"/>
      <c r="AG445" s="56"/>
      <c r="AH445" s="56"/>
      <c r="AI445" s="56"/>
      <c r="AJ445" s="56"/>
      <c r="AQ445" s="56"/>
      <c r="AR445" s="56"/>
      <c r="AS445" s="56"/>
    </row>
    <row r="446" spans="1:4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D446" s="56"/>
      <c r="AE446" s="56"/>
      <c r="AF446" s="56"/>
      <c r="AG446" s="56"/>
      <c r="AH446" s="56"/>
      <c r="AI446" s="56"/>
      <c r="AJ446" s="56"/>
      <c r="AQ446" s="56"/>
      <c r="AR446" s="56"/>
      <c r="AS446" s="56"/>
    </row>
    <row r="447" spans="1:4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D447" s="56"/>
      <c r="AE447" s="56"/>
      <c r="AF447" s="56"/>
      <c r="AG447" s="56"/>
      <c r="AH447" s="56"/>
      <c r="AI447" s="56"/>
      <c r="AJ447" s="56"/>
      <c r="AQ447" s="56"/>
      <c r="AR447" s="56"/>
      <c r="AS447" s="56"/>
    </row>
    <row r="448" spans="1:4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D448" s="56"/>
      <c r="AE448" s="56"/>
      <c r="AF448" s="56"/>
      <c r="AG448" s="56"/>
      <c r="AH448" s="56"/>
      <c r="AI448" s="56"/>
      <c r="AJ448" s="56"/>
      <c r="AQ448" s="56"/>
      <c r="AR448" s="56"/>
      <c r="AS448" s="56"/>
    </row>
    <row r="449" spans="1:4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D449" s="56"/>
      <c r="AE449" s="56"/>
      <c r="AF449" s="56"/>
      <c r="AG449" s="56"/>
      <c r="AH449" s="56"/>
      <c r="AI449" s="56"/>
      <c r="AJ449" s="56"/>
      <c r="AQ449" s="56"/>
      <c r="AR449" s="56"/>
      <c r="AS449" s="56"/>
    </row>
    <row r="450" spans="1:4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D450" s="56"/>
      <c r="AE450" s="56"/>
      <c r="AF450" s="56"/>
      <c r="AG450" s="56"/>
      <c r="AH450" s="56"/>
      <c r="AI450" s="56"/>
      <c r="AJ450" s="56"/>
      <c r="AQ450" s="56"/>
      <c r="AR450" s="56"/>
      <c r="AS450" s="56"/>
    </row>
    <row r="451" spans="1:4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D451" s="56"/>
      <c r="AE451" s="56"/>
      <c r="AF451" s="56"/>
      <c r="AG451" s="56"/>
      <c r="AH451" s="56"/>
      <c r="AI451" s="56"/>
      <c r="AJ451" s="56"/>
      <c r="AQ451" s="56"/>
      <c r="AR451" s="56"/>
      <c r="AS451" s="56"/>
    </row>
    <row r="452" spans="1:4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D452" s="56"/>
      <c r="AE452" s="56"/>
      <c r="AF452" s="56"/>
      <c r="AG452" s="56"/>
      <c r="AH452" s="56"/>
      <c r="AI452" s="56"/>
      <c r="AJ452" s="56"/>
      <c r="AQ452" s="56"/>
      <c r="AR452" s="56"/>
      <c r="AS452" s="56"/>
    </row>
    <row r="453" spans="1:4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D453" s="56"/>
      <c r="AE453" s="56"/>
      <c r="AF453" s="56"/>
      <c r="AG453" s="56"/>
      <c r="AH453" s="56"/>
      <c r="AI453" s="56"/>
      <c r="AJ453" s="56"/>
      <c r="AQ453" s="56"/>
      <c r="AR453" s="56"/>
      <c r="AS453" s="56"/>
    </row>
    <row r="454" spans="1:4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D454" s="56"/>
      <c r="AE454" s="56"/>
      <c r="AF454" s="56"/>
      <c r="AG454" s="56"/>
      <c r="AH454" s="56"/>
      <c r="AI454" s="56"/>
      <c r="AJ454" s="56"/>
      <c r="AQ454" s="56"/>
      <c r="AR454" s="56"/>
      <c r="AS454" s="56"/>
    </row>
    <row r="455" spans="1:4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D455" s="56"/>
      <c r="AE455" s="56"/>
      <c r="AF455" s="56"/>
      <c r="AG455" s="56"/>
      <c r="AH455" s="56"/>
      <c r="AI455" s="56"/>
      <c r="AJ455" s="56"/>
      <c r="AQ455" s="56"/>
      <c r="AR455" s="56"/>
      <c r="AS455" s="56"/>
    </row>
    <row r="456" spans="1:4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D456" s="56"/>
      <c r="AE456" s="56"/>
      <c r="AF456" s="56"/>
      <c r="AG456" s="56"/>
      <c r="AH456" s="56"/>
      <c r="AI456" s="56"/>
      <c r="AJ456" s="56"/>
      <c r="AQ456" s="56"/>
      <c r="AR456" s="56"/>
      <c r="AS456" s="56"/>
    </row>
    <row r="457" spans="1:4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D457" s="56"/>
      <c r="AE457" s="56"/>
      <c r="AF457" s="56"/>
      <c r="AG457" s="56"/>
      <c r="AH457" s="56"/>
      <c r="AI457" s="56"/>
      <c r="AJ457" s="56"/>
      <c r="AQ457" s="56"/>
      <c r="AR457" s="56"/>
      <c r="AS457" s="56"/>
    </row>
    <row r="458" spans="1:4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D458" s="56"/>
      <c r="AE458" s="56"/>
      <c r="AF458" s="56"/>
      <c r="AG458" s="56"/>
      <c r="AH458" s="56"/>
      <c r="AI458" s="56"/>
      <c r="AJ458" s="56"/>
      <c r="AQ458" s="56"/>
      <c r="AR458" s="56"/>
      <c r="AS458" s="56"/>
    </row>
    <row r="459" spans="1:4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D459" s="56"/>
      <c r="AE459" s="56"/>
      <c r="AF459" s="56"/>
      <c r="AG459" s="56"/>
      <c r="AH459" s="56"/>
      <c r="AI459" s="56"/>
      <c r="AJ459" s="56"/>
      <c r="AQ459" s="56"/>
      <c r="AR459" s="56"/>
      <c r="AS459" s="56"/>
    </row>
    <row r="460" spans="1:4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D460" s="56"/>
      <c r="AE460" s="56"/>
      <c r="AF460" s="56"/>
      <c r="AG460" s="56"/>
      <c r="AH460" s="56"/>
      <c r="AI460" s="56"/>
      <c r="AJ460" s="56"/>
      <c r="AQ460" s="56"/>
      <c r="AR460" s="56"/>
      <c r="AS460" s="56"/>
    </row>
    <row r="461" spans="1:4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D461" s="56"/>
      <c r="AE461" s="56"/>
      <c r="AF461" s="56"/>
      <c r="AG461" s="56"/>
      <c r="AH461" s="56"/>
      <c r="AI461" s="56"/>
      <c r="AJ461" s="56"/>
      <c r="AQ461" s="56"/>
      <c r="AR461" s="56"/>
      <c r="AS461" s="56"/>
    </row>
    <row r="462" spans="1:4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D462" s="56"/>
      <c r="AE462" s="56"/>
      <c r="AF462" s="56"/>
      <c r="AG462" s="56"/>
      <c r="AH462" s="56"/>
      <c r="AI462" s="56"/>
      <c r="AJ462" s="56"/>
      <c r="AQ462" s="56"/>
      <c r="AR462" s="56"/>
      <c r="AS462" s="56"/>
    </row>
    <row r="463" spans="1:4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D463" s="56"/>
      <c r="AE463" s="56"/>
      <c r="AF463" s="56"/>
      <c r="AG463" s="56"/>
      <c r="AH463" s="56"/>
      <c r="AI463" s="56"/>
      <c r="AJ463" s="56"/>
      <c r="AQ463" s="56"/>
      <c r="AR463" s="56"/>
      <c r="AS463" s="56"/>
    </row>
    <row r="464" spans="1:4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D464" s="56"/>
      <c r="AE464" s="56"/>
      <c r="AF464" s="56"/>
      <c r="AG464" s="56"/>
      <c r="AH464" s="56"/>
      <c r="AI464" s="56"/>
      <c r="AJ464" s="56"/>
      <c r="AQ464" s="56"/>
      <c r="AR464" s="56"/>
      <c r="AS464" s="56"/>
    </row>
    <row r="465" spans="1:4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D465" s="56"/>
      <c r="AE465" s="56"/>
      <c r="AF465" s="56"/>
      <c r="AG465" s="56"/>
      <c r="AH465" s="56"/>
      <c r="AI465" s="56"/>
      <c r="AJ465" s="56"/>
      <c r="AQ465" s="56"/>
      <c r="AR465" s="56"/>
      <c r="AS465" s="56"/>
    </row>
    <row r="466" spans="1:4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D466" s="56"/>
      <c r="AE466" s="56"/>
      <c r="AF466" s="56"/>
      <c r="AG466" s="56"/>
      <c r="AH466" s="56"/>
      <c r="AI466" s="56"/>
      <c r="AJ466" s="56"/>
      <c r="AQ466" s="56"/>
      <c r="AR466" s="56"/>
      <c r="AS466" s="56"/>
    </row>
    <row r="467" spans="1:4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D467" s="56"/>
      <c r="AE467" s="56"/>
      <c r="AF467" s="56"/>
      <c r="AG467" s="56"/>
      <c r="AH467" s="56"/>
      <c r="AI467" s="56"/>
      <c r="AJ467" s="56"/>
      <c r="AQ467" s="56"/>
      <c r="AR467" s="56"/>
      <c r="AS467" s="56"/>
    </row>
    <row r="468" spans="1:4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D468" s="56"/>
      <c r="AE468" s="56"/>
      <c r="AF468" s="56"/>
      <c r="AG468" s="56"/>
      <c r="AH468" s="56"/>
      <c r="AI468" s="56"/>
      <c r="AJ468" s="56"/>
      <c r="AQ468" s="56"/>
      <c r="AR468" s="56"/>
      <c r="AS468" s="56"/>
    </row>
    <row r="469" spans="1:4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D469" s="56"/>
      <c r="AE469" s="56"/>
      <c r="AF469" s="56"/>
      <c r="AG469" s="56"/>
      <c r="AH469" s="56"/>
      <c r="AI469" s="56"/>
      <c r="AJ469" s="56"/>
      <c r="AQ469" s="56"/>
      <c r="AR469" s="56"/>
      <c r="AS469" s="56"/>
    </row>
    <row r="470" spans="1:4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D470" s="56"/>
      <c r="AE470" s="56"/>
      <c r="AF470" s="56"/>
      <c r="AG470" s="56"/>
      <c r="AH470" s="56"/>
      <c r="AI470" s="56"/>
      <c r="AJ470" s="56"/>
      <c r="AQ470" s="56"/>
      <c r="AR470" s="56"/>
      <c r="AS470" s="56"/>
    </row>
    <row r="471" spans="1:4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D471" s="56"/>
      <c r="AE471" s="56"/>
      <c r="AF471" s="56"/>
      <c r="AG471" s="56"/>
      <c r="AH471" s="56"/>
      <c r="AI471" s="56"/>
      <c r="AJ471" s="56"/>
      <c r="AQ471" s="56"/>
      <c r="AR471" s="56"/>
      <c r="AS471" s="56"/>
    </row>
    <row r="472" spans="1:4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D472" s="56"/>
      <c r="AE472" s="56"/>
      <c r="AF472" s="56"/>
      <c r="AG472" s="56"/>
      <c r="AH472" s="56"/>
      <c r="AI472" s="56"/>
      <c r="AJ472" s="56"/>
      <c r="AQ472" s="56"/>
      <c r="AR472" s="56"/>
      <c r="AS472" s="56"/>
    </row>
    <row r="473" spans="1:4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D473" s="56"/>
      <c r="AE473" s="56"/>
      <c r="AF473" s="56"/>
      <c r="AG473" s="56"/>
      <c r="AH473" s="56"/>
      <c r="AI473" s="56"/>
      <c r="AJ473" s="56"/>
      <c r="AQ473" s="56"/>
      <c r="AR473" s="56"/>
      <c r="AS473" s="56"/>
    </row>
    <row r="474" spans="1:4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D474" s="56"/>
      <c r="AE474" s="56"/>
      <c r="AF474" s="56"/>
      <c r="AG474" s="56"/>
      <c r="AH474" s="56"/>
      <c r="AI474" s="56"/>
      <c r="AJ474" s="56"/>
      <c r="AQ474" s="56"/>
      <c r="AR474" s="56"/>
      <c r="AS474" s="56"/>
    </row>
    <row r="475" spans="1:4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D475" s="56"/>
      <c r="AE475" s="56"/>
      <c r="AF475" s="56"/>
      <c r="AG475" s="56"/>
      <c r="AH475" s="56"/>
      <c r="AI475" s="56"/>
      <c r="AJ475" s="56"/>
      <c r="AQ475" s="56"/>
      <c r="AR475" s="56"/>
      <c r="AS475" s="56"/>
    </row>
    <row r="476" spans="1:4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D476" s="56"/>
      <c r="AE476" s="56"/>
      <c r="AF476" s="56"/>
      <c r="AG476" s="56"/>
      <c r="AH476" s="56"/>
      <c r="AI476" s="56"/>
      <c r="AJ476" s="56"/>
      <c r="AQ476" s="56"/>
      <c r="AR476" s="56"/>
      <c r="AS476" s="56"/>
    </row>
    <row r="477" spans="1:4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D477" s="56"/>
      <c r="AE477" s="56"/>
      <c r="AF477" s="56"/>
      <c r="AG477" s="56"/>
      <c r="AH477" s="56"/>
      <c r="AI477" s="56"/>
      <c r="AJ477" s="56"/>
      <c r="AQ477" s="56"/>
      <c r="AR477" s="56"/>
      <c r="AS477" s="56"/>
    </row>
    <row r="478" spans="1:4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D478" s="56"/>
      <c r="AE478" s="56"/>
      <c r="AF478" s="56"/>
      <c r="AG478" s="56"/>
      <c r="AH478" s="56"/>
      <c r="AI478" s="56"/>
      <c r="AJ478" s="56"/>
      <c r="AQ478" s="56"/>
      <c r="AR478" s="56"/>
      <c r="AS478" s="56"/>
    </row>
    <row r="479" spans="1:4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D479" s="56"/>
      <c r="AE479" s="56"/>
      <c r="AF479" s="56"/>
      <c r="AG479" s="56"/>
      <c r="AH479" s="56"/>
      <c r="AI479" s="56"/>
      <c r="AJ479" s="56"/>
      <c r="AQ479" s="56"/>
      <c r="AR479" s="56"/>
      <c r="AS479" s="56"/>
    </row>
    <row r="480" spans="1:4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D480" s="56"/>
      <c r="AE480" s="56"/>
      <c r="AF480" s="56"/>
      <c r="AG480" s="56"/>
      <c r="AH480" s="56"/>
      <c r="AI480" s="56"/>
      <c r="AJ480" s="56"/>
      <c r="AQ480" s="56"/>
      <c r="AR480" s="56"/>
      <c r="AS480" s="56"/>
    </row>
    <row r="481" spans="1:4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D481" s="56"/>
      <c r="AE481" s="56"/>
      <c r="AF481" s="56"/>
      <c r="AG481" s="56"/>
      <c r="AH481" s="56"/>
      <c r="AI481" s="56"/>
      <c r="AJ481" s="56"/>
      <c r="AQ481" s="56"/>
      <c r="AR481" s="56"/>
      <c r="AS481" s="56"/>
    </row>
    <row r="482" spans="1:4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D482" s="56"/>
      <c r="AE482" s="56"/>
      <c r="AF482" s="56"/>
      <c r="AG482" s="56"/>
      <c r="AH482" s="56"/>
      <c r="AI482" s="56"/>
      <c r="AJ482" s="56"/>
      <c r="AQ482" s="56"/>
      <c r="AR482" s="56"/>
      <c r="AS482" s="56"/>
    </row>
    <row r="483" spans="1:4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D483" s="56"/>
      <c r="AE483" s="56"/>
      <c r="AF483" s="56"/>
      <c r="AG483" s="56"/>
      <c r="AH483" s="56"/>
      <c r="AI483" s="56"/>
      <c r="AJ483" s="56"/>
      <c r="AQ483" s="56"/>
      <c r="AR483" s="56"/>
      <c r="AS483" s="56"/>
    </row>
    <row r="484" spans="1:4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D484" s="56"/>
      <c r="AE484" s="56"/>
      <c r="AF484" s="56"/>
      <c r="AG484" s="56"/>
      <c r="AH484" s="56"/>
      <c r="AI484" s="56"/>
      <c r="AJ484" s="56"/>
      <c r="AQ484" s="56"/>
      <c r="AR484" s="56"/>
      <c r="AS484" s="56"/>
    </row>
    <row r="485" spans="1:4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D485" s="56"/>
      <c r="AE485" s="56"/>
      <c r="AF485" s="56"/>
      <c r="AG485" s="56"/>
      <c r="AH485" s="56"/>
      <c r="AI485" s="56"/>
      <c r="AJ485" s="56"/>
      <c r="AQ485" s="56"/>
      <c r="AR485" s="56"/>
      <c r="AS485" s="56"/>
    </row>
    <row r="486" spans="1:4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D486" s="56"/>
      <c r="AE486" s="56"/>
      <c r="AF486" s="56"/>
      <c r="AG486" s="56"/>
      <c r="AH486" s="56"/>
      <c r="AI486" s="56"/>
      <c r="AJ486" s="56"/>
      <c r="AQ486" s="56"/>
      <c r="AR486" s="56"/>
      <c r="AS486" s="56"/>
    </row>
    <row r="487" spans="1:4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D487" s="56"/>
      <c r="AE487" s="56"/>
      <c r="AF487" s="56"/>
      <c r="AG487" s="56"/>
      <c r="AH487" s="56"/>
      <c r="AI487" s="56"/>
      <c r="AJ487" s="56"/>
      <c r="AQ487" s="56"/>
      <c r="AR487" s="56"/>
      <c r="AS487" s="56"/>
    </row>
    <row r="488" spans="1:4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D488" s="56"/>
      <c r="AE488" s="56"/>
      <c r="AF488" s="56"/>
      <c r="AG488" s="56"/>
      <c r="AH488" s="56"/>
      <c r="AI488" s="56"/>
      <c r="AJ488" s="56"/>
      <c r="AQ488" s="56"/>
      <c r="AR488" s="56"/>
      <c r="AS488" s="56"/>
    </row>
    <row r="489" spans="1:4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D489" s="56"/>
      <c r="AE489" s="56"/>
      <c r="AF489" s="56"/>
      <c r="AG489" s="56"/>
      <c r="AH489" s="56"/>
      <c r="AI489" s="56"/>
      <c r="AJ489" s="56"/>
      <c r="AQ489" s="56"/>
      <c r="AR489" s="56"/>
      <c r="AS489" s="56"/>
    </row>
    <row r="490" spans="1:4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D490" s="56"/>
      <c r="AE490" s="56"/>
      <c r="AF490" s="56"/>
      <c r="AG490" s="56"/>
      <c r="AH490" s="56"/>
      <c r="AI490" s="56"/>
      <c r="AJ490" s="56"/>
      <c r="AQ490" s="56"/>
      <c r="AR490" s="56"/>
      <c r="AS490" s="56"/>
    </row>
    <row r="491" spans="1:4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D491" s="56"/>
      <c r="AE491" s="56"/>
      <c r="AF491" s="56"/>
      <c r="AG491" s="56"/>
      <c r="AH491" s="56"/>
      <c r="AI491" s="56"/>
      <c r="AJ491" s="56"/>
      <c r="AQ491" s="56"/>
      <c r="AR491" s="56"/>
      <c r="AS491" s="56"/>
    </row>
    <row r="492" spans="1:4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D492" s="56"/>
      <c r="AE492" s="56"/>
      <c r="AF492" s="56"/>
      <c r="AG492" s="56"/>
      <c r="AH492" s="56"/>
      <c r="AI492" s="56"/>
      <c r="AJ492" s="56"/>
      <c r="AQ492" s="56"/>
      <c r="AR492" s="56"/>
      <c r="AS492" s="56"/>
    </row>
    <row r="493" spans="1:4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D493" s="56"/>
      <c r="AE493" s="56"/>
      <c r="AF493" s="56"/>
      <c r="AG493" s="56"/>
      <c r="AH493" s="56"/>
      <c r="AI493" s="56"/>
      <c r="AJ493" s="56"/>
      <c r="AQ493" s="56"/>
      <c r="AR493" s="56"/>
      <c r="AS493" s="56"/>
    </row>
    <row r="494" spans="1:4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D494" s="56"/>
      <c r="AE494" s="56"/>
      <c r="AF494" s="56"/>
      <c r="AG494" s="56"/>
      <c r="AH494" s="56"/>
      <c r="AI494" s="56"/>
      <c r="AJ494" s="56"/>
      <c r="AQ494" s="56"/>
      <c r="AR494" s="56"/>
      <c r="AS494" s="56"/>
    </row>
    <row r="495" spans="1:4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D495" s="56"/>
      <c r="AE495" s="56"/>
      <c r="AF495" s="56"/>
      <c r="AG495" s="56"/>
      <c r="AH495" s="56"/>
      <c r="AI495" s="56"/>
      <c r="AJ495" s="56"/>
      <c r="AQ495" s="56"/>
      <c r="AR495" s="56"/>
      <c r="AS495" s="56"/>
    </row>
    <row r="496" spans="1:4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D496" s="56"/>
      <c r="AE496" s="56"/>
      <c r="AF496" s="56"/>
      <c r="AG496" s="56"/>
      <c r="AH496" s="56"/>
      <c r="AI496" s="56"/>
      <c r="AJ496" s="56"/>
      <c r="AQ496" s="56"/>
      <c r="AR496" s="56"/>
      <c r="AS496" s="56"/>
    </row>
    <row r="497" spans="1:4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D497" s="56"/>
      <c r="AE497" s="56"/>
      <c r="AF497" s="56"/>
      <c r="AG497" s="56"/>
      <c r="AH497" s="56"/>
      <c r="AI497" s="56"/>
      <c r="AJ497" s="56"/>
      <c r="AQ497" s="56"/>
      <c r="AR497" s="56"/>
      <c r="AS497" s="56"/>
    </row>
    <row r="498" spans="1:4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D498" s="56"/>
      <c r="AE498" s="56"/>
      <c r="AF498" s="56"/>
      <c r="AG498" s="56"/>
      <c r="AH498" s="56"/>
      <c r="AI498" s="56"/>
      <c r="AJ498" s="56"/>
      <c r="AQ498" s="56"/>
      <c r="AR498" s="56"/>
      <c r="AS498" s="56"/>
    </row>
    <row r="499" spans="1:4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D499" s="56"/>
      <c r="AE499" s="56"/>
      <c r="AF499" s="56"/>
      <c r="AG499" s="56"/>
      <c r="AH499" s="56"/>
      <c r="AI499" s="56"/>
      <c r="AJ499" s="56"/>
      <c r="AQ499" s="56"/>
      <c r="AR499" s="56"/>
      <c r="AS499" s="56"/>
    </row>
    <row r="500" spans="1:4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D500" s="56"/>
      <c r="AE500" s="56"/>
      <c r="AF500" s="56"/>
      <c r="AG500" s="56"/>
      <c r="AH500" s="56"/>
      <c r="AI500" s="56"/>
      <c r="AJ500" s="56"/>
      <c r="AQ500" s="56"/>
      <c r="AR500" s="56"/>
      <c r="AS500" s="56"/>
    </row>
    <row r="501" spans="1:4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D501" s="56"/>
      <c r="AE501" s="56"/>
      <c r="AF501" s="56"/>
      <c r="AG501" s="56"/>
      <c r="AH501" s="56"/>
      <c r="AI501" s="56"/>
      <c r="AJ501" s="56"/>
      <c r="AQ501" s="56"/>
      <c r="AR501" s="56"/>
      <c r="AS501" s="56"/>
    </row>
    <row r="502" spans="1:4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D502" s="56"/>
      <c r="AE502" s="56"/>
      <c r="AF502" s="56"/>
      <c r="AG502" s="56"/>
      <c r="AH502" s="56"/>
      <c r="AI502" s="56"/>
      <c r="AJ502" s="56"/>
      <c r="AQ502" s="56"/>
      <c r="AR502" s="56"/>
      <c r="AS502" s="56"/>
    </row>
    <row r="503" spans="1:4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D503" s="56"/>
      <c r="AE503" s="56"/>
      <c r="AF503" s="56"/>
      <c r="AG503" s="56"/>
      <c r="AH503" s="56"/>
      <c r="AI503" s="56"/>
      <c r="AJ503" s="56"/>
      <c r="AQ503" s="56"/>
      <c r="AR503" s="56"/>
      <c r="AS503" s="56"/>
    </row>
    <row r="504" spans="1:4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D504" s="56"/>
      <c r="AE504" s="56"/>
      <c r="AF504" s="56"/>
      <c r="AG504" s="56"/>
      <c r="AH504" s="56"/>
      <c r="AI504" s="56"/>
      <c r="AJ504" s="56"/>
      <c r="AQ504" s="56"/>
      <c r="AR504" s="56"/>
      <c r="AS504" s="56"/>
    </row>
    <row r="505" spans="1:4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D505" s="56"/>
      <c r="AE505" s="56"/>
      <c r="AF505" s="56"/>
      <c r="AG505" s="56"/>
      <c r="AH505" s="56"/>
      <c r="AI505" s="56"/>
      <c r="AJ505" s="56"/>
      <c r="AQ505" s="56"/>
      <c r="AR505" s="56"/>
      <c r="AS505" s="56"/>
    </row>
    <row r="506" spans="1:4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D506" s="56"/>
      <c r="AE506" s="56"/>
      <c r="AF506" s="56"/>
      <c r="AG506" s="56"/>
      <c r="AH506" s="56"/>
      <c r="AI506" s="56"/>
      <c r="AJ506" s="56"/>
      <c r="AQ506" s="56"/>
      <c r="AR506" s="56"/>
      <c r="AS506" s="56"/>
    </row>
    <row r="507" spans="1:4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D507" s="56"/>
      <c r="AE507" s="56"/>
      <c r="AF507" s="56"/>
      <c r="AG507" s="56"/>
      <c r="AH507" s="56"/>
      <c r="AI507" s="56"/>
      <c r="AJ507" s="56"/>
      <c r="AQ507" s="56"/>
      <c r="AR507" s="56"/>
      <c r="AS507" s="56"/>
    </row>
    <row r="508" spans="1:4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D508" s="56"/>
      <c r="AE508" s="56"/>
      <c r="AF508" s="56"/>
      <c r="AG508" s="56"/>
      <c r="AH508" s="56"/>
      <c r="AI508" s="56"/>
      <c r="AJ508" s="56"/>
      <c r="AQ508" s="56"/>
      <c r="AR508" s="56"/>
      <c r="AS508" s="56"/>
    </row>
    <row r="509" spans="1:4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D509" s="56"/>
      <c r="AE509" s="56"/>
      <c r="AF509" s="56"/>
      <c r="AG509" s="56"/>
      <c r="AH509" s="56"/>
      <c r="AI509" s="56"/>
      <c r="AJ509" s="56"/>
      <c r="AQ509" s="56"/>
      <c r="AR509" s="56"/>
      <c r="AS509" s="56"/>
    </row>
    <row r="510" spans="1:4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D510" s="56"/>
      <c r="AE510" s="56"/>
      <c r="AF510" s="56"/>
      <c r="AG510" s="56"/>
      <c r="AH510" s="56"/>
      <c r="AI510" s="56"/>
      <c r="AJ510" s="56"/>
      <c r="AQ510" s="56"/>
      <c r="AR510" s="56"/>
      <c r="AS510" s="56"/>
    </row>
    <row r="511" spans="1:4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D511" s="56"/>
      <c r="AE511" s="56"/>
      <c r="AF511" s="56"/>
      <c r="AG511" s="56"/>
      <c r="AH511" s="56"/>
      <c r="AI511" s="56"/>
      <c r="AJ511" s="56"/>
      <c r="AQ511" s="56"/>
      <c r="AR511" s="56"/>
      <c r="AS511" s="56"/>
    </row>
    <row r="512" spans="1:4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D512" s="56"/>
      <c r="AE512" s="56"/>
      <c r="AF512" s="56"/>
      <c r="AG512" s="56"/>
      <c r="AH512" s="56"/>
      <c r="AI512" s="56"/>
      <c r="AJ512" s="56"/>
      <c r="AQ512" s="56"/>
      <c r="AR512" s="56"/>
      <c r="AS512" s="56"/>
    </row>
    <row r="513" spans="1:4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D513" s="56"/>
      <c r="AE513" s="56"/>
      <c r="AF513" s="56"/>
      <c r="AG513" s="56"/>
      <c r="AH513" s="56"/>
      <c r="AI513" s="56"/>
      <c r="AJ513" s="56"/>
      <c r="AQ513" s="56"/>
      <c r="AR513" s="56"/>
      <c r="AS513" s="56"/>
    </row>
    <row r="514" spans="1:4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D514" s="56"/>
      <c r="AE514" s="56"/>
      <c r="AF514" s="56"/>
      <c r="AG514" s="56"/>
      <c r="AH514" s="56"/>
      <c r="AI514" s="56"/>
      <c r="AJ514" s="56"/>
      <c r="AQ514" s="56"/>
      <c r="AR514" s="56"/>
      <c r="AS514" s="56"/>
    </row>
    <row r="515" spans="1:4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D515" s="56"/>
      <c r="AE515" s="56"/>
      <c r="AF515" s="56"/>
      <c r="AG515" s="56"/>
      <c r="AH515" s="56"/>
      <c r="AI515" s="56"/>
      <c r="AJ515" s="56"/>
      <c r="AQ515" s="56"/>
      <c r="AR515" s="56"/>
      <c r="AS515" s="56"/>
    </row>
    <row r="516" spans="1:4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D516" s="56"/>
      <c r="AE516" s="56"/>
      <c r="AF516" s="56"/>
      <c r="AG516" s="56"/>
      <c r="AH516" s="56"/>
      <c r="AI516" s="56"/>
      <c r="AJ516" s="56"/>
      <c r="AQ516" s="56"/>
      <c r="AR516" s="56"/>
      <c r="AS516" s="56"/>
    </row>
    <row r="517" spans="1:4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D517" s="56"/>
      <c r="AE517" s="56"/>
      <c r="AF517" s="56"/>
      <c r="AG517" s="56"/>
      <c r="AH517" s="56"/>
      <c r="AI517" s="56"/>
      <c r="AJ517" s="56"/>
      <c r="AQ517" s="56"/>
      <c r="AR517" s="56"/>
      <c r="AS517" s="56"/>
    </row>
    <row r="518" spans="1:4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D518" s="56"/>
      <c r="AE518" s="56"/>
      <c r="AF518" s="56"/>
      <c r="AG518" s="56"/>
      <c r="AH518" s="56"/>
      <c r="AI518" s="56"/>
      <c r="AJ518" s="56"/>
      <c r="AQ518" s="56"/>
      <c r="AR518" s="56"/>
      <c r="AS518" s="56"/>
    </row>
    <row r="519" spans="1:4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D519" s="56"/>
      <c r="AE519" s="56"/>
      <c r="AF519" s="56"/>
      <c r="AG519" s="56"/>
      <c r="AH519" s="56"/>
      <c r="AI519" s="56"/>
      <c r="AJ519" s="56"/>
      <c r="AQ519" s="56"/>
      <c r="AR519" s="56"/>
      <c r="AS519" s="56"/>
    </row>
    <row r="520" spans="1:4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D520" s="56"/>
      <c r="AE520" s="56"/>
      <c r="AF520" s="56"/>
      <c r="AG520" s="56"/>
      <c r="AH520" s="56"/>
      <c r="AI520" s="56"/>
      <c r="AJ520" s="56"/>
      <c r="AQ520" s="56"/>
      <c r="AR520" s="56"/>
      <c r="AS520" s="56"/>
    </row>
    <row r="521" spans="1:4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D521" s="56"/>
      <c r="AE521" s="56"/>
      <c r="AF521" s="56"/>
      <c r="AG521" s="56"/>
      <c r="AH521" s="56"/>
      <c r="AI521" s="56"/>
      <c r="AJ521" s="56"/>
      <c r="AQ521" s="56"/>
      <c r="AR521" s="56"/>
      <c r="AS521" s="56"/>
    </row>
    <row r="522" spans="1:4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D522" s="56"/>
      <c r="AE522" s="56"/>
      <c r="AF522" s="56"/>
      <c r="AG522" s="56"/>
      <c r="AH522" s="56"/>
      <c r="AI522" s="56"/>
      <c r="AJ522" s="56"/>
      <c r="AQ522" s="56"/>
      <c r="AR522" s="56"/>
      <c r="AS522" s="56"/>
    </row>
    <row r="523" spans="1:4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D523" s="56"/>
      <c r="AE523" s="56"/>
      <c r="AF523" s="56"/>
      <c r="AG523" s="56"/>
      <c r="AH523" s="56"/>
      <c r="AI523" s="56"/>
      <c r="AJ523" s="56"/>
      <c r="AQ523" s="56"/>
      <c r="AR523" s="56"/>
      <c r="AS523" s="56"/>
    </row>
    <row r="524" spans="1:4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D524" s="56"/>
      <c r="AE524" s="56"/>
      <c r="AF524" s="56"/>
      <c r="AG524" s="56"/>
      <c r="AH524" s="56"/>
      <c r="AI524" s="56"/>
      <c r="AJ524" s="56"/>
      <c r="AQ524" s="56"/>
      <c r="AR524" s="56"/>
      <c r="AS524" s="56"/>
    </row>
    <row r="525" spans="1:4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D525" s="56"/>
      <c r="AE525" s="56"/>
      <c r="AF525" s="56"/>
      <c r="AG525" s="56"/>
      <c r="AH525" s="56"/>
      <c r="AI525" s="56"/>
      <c r="AJ525" s="56"/>
      <c r="AQ525" s="56"/>
      <c r="AR525" s="56"/>
      <c r="AS525" s="56"/>
    </row>
    <row r="526" spans="1:4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D526" s="56"/>
      <c r="AE526" s="56"/>
      <c r="AF526" s="56"/>
      <c r="AG526" s="56"/>
      <c r="AH526" s="56"/>
      <c r="AI526" s="56"/>
      <c r="AJ526" s="56"/>
      <c r="AQ526" s="56"/>
      <c r="AR526" s="56"/>
      <c r="AS526" s="56"/>
    </row>
    <row r="527" spans="1:4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D527" s="56"/>
      <c r="AE527" s="56"/>
      <c r="AF527" s="56"/>
      <c r="AG527" s="56"/>
      <c r="AH527" s="56"/>
      <c r="AI527" s="56"/>
      <c r="AJ527" s="56"/>
      <c r="AQ527" s="56"/>
      <c r="AR527" s="56"/>
      <c r="AS527" s="56"/>
    </row>
    <row r="528" spans="1:4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D528" s="56"/>
      <c r="AE528" s="56"/>
      <c r="AF528" s="56"/>
      <c r="AG528" s="56"/>
      <c r="AH528" s="56"/>
      <c r="AI528" s="56"/>
      <c r="AJ528" s="56"/>
      <c r="AQ528" s="56"/>
      <c r="AR528" s="56"/>
      <c r="AS528" s="56"/>
    </row>
    <row r="529" spans="1:4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D529" s="56"/>
      <c r="AE529" s="56"/>
      <c r="AF529" s="56"/>
      <c r="AG529" s="56"/>
      <c r="AH529" s="56"/>
      <c r="AI529" s="56"/>
      <c r="AJ529" s="56"/>
      <c r="AQ529" s="56"/>
      <c r="AR529" s="56"/>
      <c r="AS529" s="56"/>
    </row>
    <row r="530" spans="1:4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D530" s="56"/>
      <c r="AE530" s="56"/>
      <c r="AF530" s="56"/>
      <c r="AG530" s="56"/>
      <c r="AH530" s="56"/>
      <c r="AI530" s="56"/>
      <c r="AJ530" s="56"/>
      <c r="AQ530" s="56"/>
      <c r="AR530" s="56"/>
      <c r="AS530" s="56"/>
    </row>
    <row r="531" spans="1:4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D531" s="56"/>
      <c r="AE531" s="56"/>
      <c r="AF531" s="56"/>
      <c r="AG531" s="56"/>
      <c r="AH531" s="56"/>
      <c r="AI531" s="56"/>
      <c r="AJ531" s="56"/>
      <c r="AQ531" s="56"/>
      <c r="AR531" s="56"/>
      <c r="AS531" s="56"/>
    </row>
    <row r="532" spans="1:4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D532" s="56"/>
      <c r="AE532" s="56"/>
      <c r="AF532" s="56"/>
      <c r="AG532" s="56"/>
      <c r="AH532" s="56"/>
      <c r="AI532" s="56"/>
      <c r="AJ532" s="56"/>
      <c r="AQ532" s="56"/>
      <c r="AR532" s="56"/>
      <c r="AS532" s="56"/>
    </row>
    <row r="533" spans="1:4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D533" s="56"/>
      <c r="AE533" s="56"/>
      <c r="AF533" s="56"/>
      <c r="AG533" s="56"/>
      <c r="AH533" s="56"/>
      <c r="AI533" s="56"/>
      <c r="AJ533" s="56"/>
      <c r="AQ533" s="56"/>
      <c r="AR533" s="56"/>
      <c r="AS533" s="56"/>
    </row>
    <row r="534" spans="1:4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D534" s="56"/>
      <c r="AE534" s="56"/>
      <c r="AF534" s="56"/>
      <c r="AG534" s="56"/>
      <c r="AH534" s="56"/>
      <c r="AI534" s="56"/>
      <c r="AJ534" s="56"/>
      <c r="AQ534" s="56"/>
      <c r="AR534" s="56"/>
      <c r="AS534" s="56"/>
    </row>
    <row r="535" spans="1:4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D535" s="56"/>
      <c r="AE535" s="56"/>
      <c r="AF535" s="56"/>
      <c r="AG535" s="56"/>
      <c r="AH535" s="56"/>
      <c r="AI535" s="56"/>
      <c r="AJ535" s="56"/>
      <c r="AQ535" s="56"/>
      <c r="AR535" s="56"/>
      <c r="AS535" s="56"/>
    </row>
    <row r="536" spans="1:4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D536" s="56"/>
      <c r="AE536" s="56"/>
      <c r="AF536" s="56"/>
      <c r="AG536" s="56"/>
      <c r="AH536" s="56"/>
      <c r="AI536" s="56"/>
      <c r="AJ536" s="56"/>
      <c r="AQ536" s="56"/>
      <c r="AR536" s="56"/>
      <c r="AS536" s="56"/>
    </row>
    <row r="537" spans="1:4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D537" s="56"/>
      <c r="AE537" s="56"/>
      <c r="AF537" s="56"/>
      <c r="AG537" s="56"/>
      <c r="AH537" s="56"/>
      <c r="AI537" s="56"/>
      <c r="AJ537" s="56"/>
      <c r="AQ537" s="56"/>
      <c r="AR537" s="56"/>
      <c r="AS537" s="56"/>
    </row>
    <row r="538" spans="1:4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D538" s="56"/>
      <c r="AE538" s="56"/>
      <c r="AF538" s="56"/>
      <c r="AG538" s="56"/>
      <c r="AH538" s="56"/>
      <c r="AI538" s="56"/>
      <c r="AJ538" s="56"/>
      <c r="AQ538" s="56"/>
      <c r="AR538" s="56"/>
      <c r="AS538" s="56"/>
    </row>
    <row r="539" spans="1:4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D539" s="56"/>
      <c r="AE539" s="56"/>
      <c r="AF539" s="56"/>
      <c r="AG539" s="56"/>
      <c r="AH539" s="56"/>
      <c r="AI539" s="56"/>
      <c r="AJ539" s="56"/>
      <c r="AQ539" s="56"/>
      <c r="AR539" s="56"/>
      <c r="AS539" s="56"/>
    </row>
    <row r="540" spans="1:4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D540" s="56"/>
      <c r="AE540" s="56"/>
      <c r="AF540" s="56"/>
      <c r="AG540" s="56"/>
      <c r="AH540" s="56"/>
      <c r="AI540" s="56"/>
      <c r="AJ540" s="56"/>
      <c r="AQ540" s="56"/>
      <c r="AR540" s="56"/>
      <c r="AS540" s="56"/>
    </row>
    <row r="541" spans="1:4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D541" s="56"/>
      <c r="AE541" s="56"/>
      <c r="AF541" s="56"/>
      <c r="AG541" s="56"/>
      <c r="AH541" s="56"/>
      <c r="AI541" s="56"/>
      <c r="AJ541" s="56"/>
      <c r="AQ541" s="56"/>
      <c r="AR541" s="56"/>
      <c r="AS541" s="56"/>
    </row>
    <row r="542" spans="1:4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D542" s="56"/>
      <c r="AE542" s="56"/>
      <c r="AF542" s="56"/>
      <c r="AG542" s="56"/>
      <c r="AH542" s="56"/>
      <c r="AI542" s="56"/>
      <c r="AJ542" s="56"/>
      <c r="AQ542" s="56"/>
      <c r="AR542" s="56"/>
      <c r="AS542" s="56"/>
    </row>
    <row r="543" spans="1:4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D543" s="56"/>
      <c r="AE543" s="56"/>
      <c r="AF543" s="56"/>
      <c r="AG543" s="56"/>
      <c r="AH543" s="56"/>
      <c r="AI543" s="56"/>
      <c r="AJ543" s="56"/>
      <c r="AQ543" s="56"/>
      <c r="AR543" s="56"/>
      <c r="AS543" s="56"/>
    </row>
    <row r="544" spans="1:4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D544" s="56"/>
      <c r="AE544" s="56"/>
      <c r="AF544" s="56"/>
      <c r="AG544" s="56"/>
      <c r="AH544" s="56"/>
      <c r="AI544" s="56"/>
      <c r="AJ544" s="56"/>
      <c r="AQ544" s="56"/>
      <c r="AR544" s="56"/>
      <c r="AS544" s="56"/>
    </row>
    <row r="545" spans="1:4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D545" s="56"/>
      <c r="AE545" s="56"/>
      <c r="AF545" s="56"/>
      <c r="AG545" s="56"/>
      <c r="AH545" s="56"/>
      <c r="AI545" s="56"/>
      <c r="AJ545" s="56"/>
      <c r="AQ545" s="56"/>
      <c r="AR545" s="56"/>
      <c r="AS545" s="56"/>
    </row>
    <row r="546" spans="1:4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D546" s="56"/>
      <c r="AE546" s="56"/>
      <c r="AF546" s="56"/>
      <c r="AG546" s="56"/>
      <c r="AH546" s="56"/>
      <c r="AI546" s="56"/>
      <c r="AJ546" s="56"/>
      <c r="AQ546" s="56"/>
      <c r="AR546" s="56"/>
      <c r="AS546" s="56"/>
    </row>
    <row r="547" spans="1:4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D547" s="56"/>
      <c r="AE547" s="56"/>
      <c r="AF547" s="56"/>
      <c r="AG547" s="56"/>
      <c r="AH547" s="56"/>
      <c r="AI547" s="56"/>
      <c r="AJ547" s="56"/>
      <c r="AQ547" s="56"/>
      <c r="AR547" s="56"/>
      <c r="AS547" s="56"/>
    </row>
    <row r="548" spans="1:4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D548" s="56"/>
      <c r="AE548" s="56"/>
      <c r="AF548" s="56"/>
      <c r="AG548" s="56"/>
      <c r="AH548" s="56"/>
      <c r="AI548" s="56"/>
      <c r="AJ548" s="56"/>
      <c r="AQ548" s="56"/>
      <c r="AR548" s="56"/>
      <c r="AS548" s="56"/>
    </row>
    <row r="549" spans="1:4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D549" s="56"/>
      <c r="AE549" s="56"/>
      <c r="AF549" s="56"/>
      <c r="AG549" s="56"/>
      <c r="AH549" s="56"/>
      <c r="AI549" s="56"/>
      <c r="AJ549" s="56"/>
      <c r="AQ549" s="56"/>
      <c r="AR549" s="56"/>
      <c r="AS549" s="56"/>
    </row>
    <row r="550" spans="1:4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D550" s="56"/>
      <c r="AE550" s="56"/>
      <c r="AF550" s="56"/>
      <c r="AG550" s="56"/>
      <c r="AH550" s="56"/>
      <c r="AI550" s="56"/>
      <c r="AJ550" s="56"/>
      <c r="AQ550" s="56"/>
      <c r="AR550" s="56"/>
      <c r="AS550" s="56"/>
    </row>
    <row r="551" spans="1:4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D551" s="56"/>
      <c r="AE551" s="56"/>
      <c r="AF551" s="56"/>
      <c r="AG551" s="56"/>
      <c r="AH551" s="56"/>
      <c r="AI551" s="56"/>
      <c r="AJ551" s="56"/>
      <c r="AQ551" s="56"/>
      <c r="AR551" s="56"/>
      <c r="AS551" s="56"/>
    </row>
    <row r="552" spans="1:4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D552" s="56"/>
      <c r="AE552" s="56"/>
      <c r="AF552" s="56"/>
      <c r="AG552" s="56"/>
      <c r="AH552" s="56"/>
      <c r="AI552" s="56"/>
      <c r="AJ552" s="56"/>
      <c r="AQ552" s="56"/>
      <c r="AR552" s="56"/>
      <c r="AS552" s="56"/>
    </row>
    <row r="553" spans="1:4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D553" s="56"/>
      <c r="AE553" s="56"/>
      <c r="AF553" s="56"/>
      <c r="AG553" s="56"/>
      <c r="AH553" s="56"/>
      <c r="AI553" s="56"/>
      <c r="AJ553" s="56"/>
      <c r="AQ553" s="56"/>
      <c r="AR553" s="56"/>
      <c r="AS553" s="56"/>
    </row>
    <row r="554" spans="1:4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D554" s="56"/>
      <c r="AE554" s="56"/>
      <c r="AF554" s="56"/>
      <c r="AG554" s="56"/>
      <c r="AH554" s="56"/>
      <c r="AI554" s="56"/>
      <c r="AJ554" s="56"/>
      <c r="AQ554" s="56"/>
      <c r="AR554" s="56"/>
      <c r="AS554" s="56"/>
    </row>
    <row r="555" spans="1:4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D555" s="56"/>
      <c r="AE555" s="56"/>
      <c r="AF555" s="56"/>
      <c r="AG555" s="56"/>
      <c r="AH555" s="56"/>
      <c r="AI555" s="56"/>
      <c r="AJ555" s="56"/>
      <c r="AQ555" s="56"/>
      <c r="AR555" s="56"/>
      <c r="AS555" s="56"/>
    </row>
    <row r="556" spans="1:4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D556" s="56"/>
      <c r="AE556" s="56"/>
      <c r="AF556" s="56"/>
      <c r="AG556" s="56"/>
      <c r="AH556" s="56"/>
      <c r="AI556" s="56"/>
      <c r="AJ556" s="56"/>
      <c r="AQ556" s="56"/>
      <c r="AR556" s="56"/>
      <c r="AS556" s="56"/>
    </row>
    <row r="557" spans="1:4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D557" s="56"/>
      <c r="AE557" s="56"/>
      <c r="AF557" s="56"/>
      <c r="AG557" s="56"/>
      <c r="AH557" s="56"/>
      <c r="AI557" s="56"/>
      <c r="AJ557" s="56"/>
      <c r="AQ557" s="56"/>
      <c r="AR557" s="56"/>
      <c r="AS557" s="56"/>
    </row>
    <row r="558" spans="1:4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D558" s="56"/>
      <c r="AE558" s="56"/>
      <c r="AF558" s="56"/>
      <c r="AG558" s="56"/>
      <c r="AH558" s="56"/>
      <c r="AI558" s="56"/>
      <c r="AJ558" s="56"/>
      <c r="AQ558" s="56"/>
      <c r="AR558" s="56"/>
      <c r="AS558" s="56"/>
    </row>
    <row r="559" spans="1:4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D559" s="56"/>
      <c r="AE559" s="56"/>
      <c r="AF559" s="56"/>
      <c r="AG559" s="56"/>
      <c r="AH559" s="56"/>
      <c r="AI559" s="56"/>
      <c r="AJ559" s="56"/>
      <c r="AQ559" s="56"/>
      <c r="AR559" s="56"/>
      <c r="AS559" s="56"/>
    </row>
    <row r="560" spans="1:4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D560" s="56"/>
      <c r="AE560" s="56"/>
      <c r="AF560" s="56"/>
      <c r="AG560" s="56"/>
      <c r="AH560" s="56"/>
      <c r="AI560" s="56"/>
      <c r="AJ560" s="56"/>
      <c r="AQ560" s="56"/>
      <c r="AR560" s="56"/>
      <c r="AS560" s="56"/>
    </row>
    <row r="561" spans="1:4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D561" s="56"/>
      <c r="AE561" s="56"/>
      <c r="AF561" s="56"/>
      <c r="AG561" s="56"/>
      <c r="AH561" s="56"/>
      <c r="AI561" s="56"/>
      <c r="AJ561" s="56"/>
      <c r="AQ561" s="56"/>
      <c r="AR561" s="56"/>
      <c r="AS561" s="56"/>
    </row>
    <row r="562" spans="1:4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D562" s="56"/>
      <c r="AE562" s="56"/>
      <c r="AF562" s="56"/>
      <c r="AG562" s="56"/>
      <c r="AH562" s="56"/>
      <c r="AI562" s="56"/>
      <c r="AJ562" s="56"/>
      <c r="AQ562" s="56"/>
      <c r="AR562" s="56"/>
      <c r="AS562" s="56"/>
    </row>
    <row r="563" spans="1:4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D563" s="56"/>
      <c r="AE563" s="56"/>
      <c r="AF563" s="56"/>
      <c r="AG563" s="56"/>
      <c r="AH563" s="56"/>
      <c r="AI563" s="56"/>
      <c r="AJ563" s="56"/>
      <c r="AQ563" s="56"/>
      <c r="AR563" s="56"/>
      <c r="AS563" s="56"/>
    </row>
    <row r="564" spans="1:4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D564" s="56"/>
      <c r="AE564" s="56"/>
      <c r="AF564" s="56"/>
      <c r="AG564" s="56"/>
      <c r="AH564" s="56"/>
      <c r="AI564" s="56"/>
      <c r="AJ564" s="56"/>
      <c r="AQ564" s="56"/>
      <c r="AR564" s="56"/>
      <c r="AS564" s="56"/>
    </row>
    <row r="565" spans="1:4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D565" s="56"/>
      <c r="AE565" s="56"/>
      <c r="AF565" s="56"/>
      <c r="AG565" s="56"/>
      <c r="AH565" s="56"/>
      <c r="AI565" s="56"/>
      <c r="AJ565" s="56"/>
      <c r="AQ565" s="56"/>
      <c r="AR565" s="56"/>
      <c r="AS565" s="56"/>
    </row>
    <row r="566" spans="1:4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D566" s="56"/>
      <c r="AE566" s="56"/>
      <c r="AF566" s="56"/>
      <c r="AG566" s="56"/>
      <c r="AH566" s="56"/>
      <c r="AI566" s="56"/>
      <c r="AJ566" s="56"/>
      <c r="AQ566" s="56"/>
      <c r="AR566" s="56"/>
      <c r="AS566" s="56"/>
    </row>
    <row r="567" spans="1:4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D567" s="56"/>
      <c r="AE567" s="56"/>
      <c r="AF567" s="56"/>
      <c r="AG567" s="56"/>
      <c r="AH567" s="56"/>
      <c r="AI567" s="56"/>
      <c r="AJ567" s="56"/>
      <c r="AQ567" s="56"/>
      <c r="AR567" s="56"/>
      <c r="AS567" s="56"/>
    </row>
    <row r="568" spans="1:4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D568" s="56"/>
      <c r="AE568" s="56"/>
      <c r="AF568" s="56"/>
      <c r="AG568" s="56"/>
      <c r="AH568" s="56"/>
      <c r="AI568" s="56"/>
      <c r="AJ568" s="56"/>
      <c r="AQ568" s="56"/>
      <c r="AR568" s="56"/>
      <c r="AS568" s="56"/>
    </row>
    <row r="569" spans="1:4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D569" s="56"/>
      <c r="AE569" s="56"/>
      <c r="AF569" s="56"/>
      <c r="AG569" s="56"/>
      <c r="AH569" s="56"/>
      <c r="AI569" s="56"/>
      <c r="AJ569" s="56"/>
      <c r="AQ569" s="56"/>
      <c r="AR569" s="56"/>
      <c r="AS569" s="56"/>
    </row>
    <row r="570" spans="1:4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D570" s="56"/>
      <c r="AE570" s="56"/>
      <c r="AF570" s="56"/>
      <c r="AG570" s="56"/>
      <c r="AH570" s="56"/>
      <c r="AI570" s="56"/>
      <c r="AJ570" s="56"/>
      <c r="AQ570" s="56"/>
      <c r="AR570" s="56"/>
      <c r="AS570" s="56"/>
    </row>
    <row r="571" spans="1:4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D571" s="56"/>
      <c r="AE571" s="56"/>
      <c r="AF571" s="56"/>
      <c r="AG571" s="56"/>
      <c r="AH571" s="56"/>
      <c r="AI571" s="56"/>
      <c r="AJ571" s="56"/>
      <c r="AQ571" s="56"/>
      <c r="AR571" s="56"/>
      <c r="AS571" s="56"/>
    </row>
    <row r="572" spans="1:4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D572" s="56"/>
      <c r="AE572" s="56"/>
      <c r="AF572" s="56"/>
      <c r="AG572" s="56"/>
      <c r="AH572" s="56"/>
      <c r="AI572" s="56"/>
      <c r="AJ572" s="56"/>
      <c r="AQ572" s="56"/>
      <c r="AR572" s="56"/>
      <c r="AS572" s="56"/>
    </row>
    <row r="573" spans="1:4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D573" s="56"/>
      <c r="AE573" s="56"/>
      <c r="AF573" s="56"/>
      <c r="AG573" s="56"/>
      <c r="AH573" s="56"/>
      <c r="AI573" s="56"/>
      <c r="AJ573" s="56"/>
      <c r="AQ573" s="56"/>
      <c r="AR573" s="56"/>
      <c r="AS573" s="56"/>
    </row>
    <row r="574" spans="1:4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D574" s="56"/>
      <c r="AE574" s="56"/>
      <c r="AF574" s="56"/>
      <c r="AG574" s="56"/>
      <c r="AH574" s="56"/>
      <c r="AI574" s="56"/>
      <c r="AJ574" s="56"/>
      <c r="AQ574" s="56"/>
      <c r="AR574" s="56"/>
      <c r="AS574" s="56"/>
    </row>
    <row r="575" spans="1:4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D575" s="56"/>
      <c r="AE575" s="56"/>
      <c r="AF575" s="56"/>
      <c r="AG575" s="56"/>
      <c r="AH575" s="56"/>
      <c r="AI575" s="56"/>
      <c r="AJ575" s="56"/>
      <c r="AQ575" s="56"/>
      <c r="AR575" s="56"/>
      <c r="AS575" s="56"/>
    </row>
    <row r="576" spans="1:4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D576" s="56"/>
      <c r="AE576" s="56"/>
      <c r="AF576" s="56"/>
      <c r="AG576" s="56"/>
      <c r="AH576" s="56"/>
      <c r="AI576" s="56"/>
      <c r="AJ576" s="56"/>
      <c r="AQ576" s="56"/>
      <c r="AR576" s="56"/>
      <c r="AS576" s="56"/>
    </row>
    <row r="577" spans="1:4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D577" s="56"/>
      <c r="AE577" s="56"/>
      <c r="AF577" s="56"/>
      <c r="AG577" s="56"/>
      <c r="AH577" s="56"/>
      <c r="AI577" s="56"/>
      <c r="AJ577" s="56"/>
      <c r="AQ577" s="56"/>
      <c r="AR577" s="56"/>
      <c r="AS577" s="56"/>
    </row>
    <row r="578" spans="1:4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D578" s="56"/>
      <c r="AE578" s="56"/>
      <c r="AF578" s="56"/>
      <c r="AG578" s="56"/>
      <c r="AH578" s="56"/>
      <c r="AI578" s="56"/>
      <c r="AJ578" s="56"/>
      <c r="AQ578" s="56"/>
      <c r="AR578" s="56"/>
      <c r="AS578" s="56"/>
    </row>
    <row r="579" spans="1:4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D579" s="56"/>
      <c r="AE579" s="56"/>
      <c r="AF579" s="56"/>
      <c r="AG579" s="56"/>
      <c r="AH579" s="56"/>
      <c r="AI579" s="56"/>
      <c r="AJ579" s="56"/>
      <c r="AQ579" s="56"/>
      <c r="AR579" s="56"/>
      <c r="AS579" s="56"/>
    </row>
    <row r="580" spans="1:4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D580" s="56"/>
      <c r="AE580" s="56"/>
      <c r="AF580" s="56"/>
      <c r="AG580" s="56"/>
      <c r="AH580" s="56"/>
      <c r="AI580" s="56"/>
      <c r="AJ580" s="56"/>
      <c r="AQ580" s="56"/>
      <c r="AR580" s="56"/>
      <c r="AS580" s="56"/>
    </row>
    <row r="581" spans="1:4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D581" s="56"/>
      <c r="AE581" s="56"/>
      <c r="AF581" s="56"/>
      <c r="AG581" s="56"/>
      <c r="AH581" s="56"/>
      <c r="AI581" s="56"/>
      <c r="AJ581" s="56"/>
      <c r="AQ581" s="56"/>
      <c r="AR581" s="56"/>
      <c r="AS581" s="56"/>
    </row>
    <row r="582" spans="1:4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D582" s="56"/>
      <c r="AE582" s="56"/>
      <c r="AF582" s="56"/>
      <c r="AG582" s="56"/>
      <c r="AH582" s="56"/>
      <c r="AI582" s="56"/>
      <c r="AJ582" s="56"/>
      <c r="AQ582" s="56"/>
      <c r="AR582" s="56"/>
      <c r="AS582" s="56"/>
    </row>
    <row r="583" spans="1:4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D583" s="56"/>
      <c r="AE583" s="56"/>
      <c r="AF583" s="56"/>
      <c r="AG583" s="56"/>
      <c r="AH583" s="56"/>
      <c r="AI583" s="56"/>
      <c r="AJ583" s="56"/>
      <c r="AQ583" s="56"/>
      <c r="AR583" s="56"/>
      <c r="AS583" s="56"/>
    </row>
    <row r="584" spans="1:4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D584" s="56"/>
      <c r="AE584" s="56"/>
      <c r="AF584" s="56"/>
      <c r="AG584" s="56"/>
      <c r="AH584" s="56"/>
      <c r="AI584" s="56"/>
      <c r="AJ584" s="56"/>
      <c r="AQ584" s="56"/>
      <c r="AR584" s="56"/>
      <c r="AS584" s="56"/>
    </row>
    <row r="585" spans="1:4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D585" s="56"/>
      <c r="AE585" s="56"/>
      <c r="AF585" s="56"/>
      <c r="AG585" s="56"/>
      <c r="AH585" s="56"/>
      <c r="AI585" s="56"/>
      <c r="AJ585" s="56"/>
      <c r="AQ585" s="56"/>
      <c r="AR585" s="56"/>
      <c r="AS585" s="56"/>
    </row>
    <row r="586" spans="1:4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D586" s="56"/>
      <c r="AE586" s="56"/>
      <c r="AF586" s="56"/>
      <c r="AG586" s="56"/>
      <c r="AH586" s="56"/>
      <c r="AI586" s="56"/>
      <c r="AJ586" s="56"/>
      <c r="AQ586" s="56"/>
      <c r="AR586" s="56"/>
      <c r="AS586" s="56"/>
    </row>
    <row r="587" spans="1:4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D587" s="56"/>
      <c r="AE587" s="56"/>
      <c r="AF587" s="56"/>
      <c r="AG587" s="56"/>
      <c r="AH587" s="56"/>
      <c r="AI587" s="56"/>
      <c r="AJ587" s="56"/>
      <c r="AQ587" s="56"/>
      <c r="AR587" s="56"/>
      <c r="AS587" s="56"/>
    </row>
    <row r="588" spans="1:4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D588" s="56"/>
      <c r="AE588" s="56"/>
      <c r="AF588" s="56"/>
      <c r="AG588" s="56"/>
      <c r="AH588" s="56"/>
      <c r="AI588" s="56"/>
      <c r="AJ588" s="56"/>
      <c r="AQ588" s="56"/>
      <c r="AR588" s="56"/>
      <c r="AS588" s="56"/>
    </row>
    <row r="589" spans="1:4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D589" s="56"/>
      <c r="AE589" s="56"/>
      <c r="AF589" s="56"/>
      <c r="AG589" s="56"/>
      <c r="AH589" s="56"/>
      <c r="AI589" s="56"/>
      <c r="AJ589" s="56"/>
      <c r="AQ589" s="56"/>
      <c r="AR589" s="56"/>
      <c r="AS589" s="56"/>
    </row>
    <row r="590" spans="1:4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D590" s="56"/>
      <c r="AE590" s="56"/>
      <c r="AF590" s="56"/>
      <c r="AG590" s="56"/>
      <c r="AH590" s="56"/>
      <c r="AI590" s="56"/>
      <c r="AJ590" s="56"/>
      <c r="AQ590" s="56"/>
      <c r="AR590" s="56"/>
      <c r="AS590" s="56"/>
    </row>
    <row r="591" spans="1:4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D591" s="56"/>
      <c r="AE591" s="56"/>
      <c r="AF591" s="56"/>
      <c r="AG591" s="56"/>
      <c r="AH591" s="56"/>
      <c r="AI591" s="56"/>
      <c r="AJ591" s="56"/>
      <c r="AQ591" s="56"/>
      <c r="AR591" s="56"/>
      <c r="AS591" s="56"/>
    </row>
    <row r="592" spans="1:4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D592" s="56"/>
      <c r="AE592" s="56"/>
      <c r="AF592" s="56"/>
      <c r="AG592" s="56"/>
      <c r="AH592" s="56"/>
      <c r="AI592" s="56"/>
      <c r="AJ592" s="56"/>
      <c r="AQ592" s="56"/>
      <c r="AR592" s="56"/>
      <c r="AS592" s="56"/>
    </row>
    <row r="593" spans="1:4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D593" s="56"/>
      <c r="AE593" s="56"/>
      <c r="AF593" s="56"/>
      <c r="AG593" s="56"/>
      <c r="AH593" s="56"/>
      <c r="AI593" s="56"/>
      <c r="AJ593" s="56"/>
      <c r="AQ593" s="56"/>
      <c r="AR593" s="56"/>
      <c r="AS593" s="56"/>
    </row>
    <row r="594" spans="1:4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D594" s="56"/>
      <c r="AE594" s="56"/>
      <c r="AF594" s="56"/>
      <c r="AG594" s="56"/>
      <c r="AH594" s="56"/>
      <c r="AI594" s="56"/>
      <c r="AJ594" s="56"/>
      <c r="AQ594" s="56"/>
      <c r="AR594" s="56"/>
      <c r="AS594" s="56"/>
    </row>
    <row r="595" spans="1:4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D595" s="56"/>
      <c r="AE595" s="56"/>
      <c r="AF595" s="56"/>
      <c r="AG595" s="56"/>
      <c r="AH595" s="56"/>
      <c r="AI595" s="56"/>
      <c r="AJ595" s="56"/>
      <c r="AQ595" s="56"/>
      <c r="AR595" s="56"/>
      <c r="AS595" s="56"/>
    </row>
    <row r="596" spans="1:4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D596" s="56"/>
      <c r="AE596" s="56"/>
      <c r="AF596" s="56"/>
      <c r="AG596" s="56"/>
      <c r="AH596" s="56"/>
      <c r="AI596" s="56"/>
      <c r="AJ596" s="56"/>
      <c r="AQ596" s="56"/>
      <c r="AR596" s="56"/>
      <c r="AS596" s="56"/>
    </row>
    <row r="597" spans="1:4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D597" s="56"/>
      <c r="AE597" s="56"/>
      <c r="AF597" s="56"/>
      <c r="AG597" s="56"/>
      <c r="AH597" s="56"/>
      <c r="AI597" s="56"/>
      <c r="AJ597" s="56"/>
      <c r="AQ597" s="56"/>
      <c r="AR597" s="56"/>
      <c r="AS597" s="56"/>
    </row>
    <row r="598" spans="1:4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D598" s="56"/>
      <c r="AE598" s="56"/>
      <c r="AF598" s="56"/>
      <c r="AG598" s="56"/>
      <c r="AH598" s="56"/>
      <c r="AI598" s="56"/>
      <c r="AJ598" s="56"/>
      <c r="AQ598" s="56"/>
      <c r="AR598" s="56"/>
      <c r="AS598" s="56"/>
    </row>
    <row r="599" spans="1:4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D599" s="56"/>
      <c r="AE599" s="56"/>
      <c r="AF599" s="56"/>
      <c r="AG599" s="56"/>
      <c r="AH599" s="56"/>
      <c r="AI599" s="56"/>
      <c r="AJ599" s="56"/>
      <c r="AQ599" s="56"/>
      <c r="AR599" s="56"/>
      <c r="AS599" s="56"/>
    </row>
    <row r="600" spans="1:4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D600" s="56"/>
      <c r="AE600" s="56"/>
      <c r="AF600" s="56"/>
      <c r="AG600" s="56"/>
      <c r="AH600" s="56"/>
      <c r="AI600" s="56"/>
      <c r="AJ600" s="56"/>
      <c r="AQ600" s="56"/>
      <c r="AR600" s="56"/>
      <c r="AS600" s="56"/>
    </row>
    <row r="601" spans="1:4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D601" s="56"/>
      <c r="AE601" s="56"/>
      <c r="AF601" s="56"/>
      <c r="AG601" s="56"/>
      <c r="AH601" s="56"/>
      <c r="AI601" s="56"/>
      <c r="AJ601" s="56"/>
      <c r="AQ601" s="56"/>
      <c r="AR601" s="56"/>
      <c r="AS601" s="56"/>
    </row>
    <row r="602" spans="1:4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D602" s="56"/>
      <c r="AE602" s="56"/>
      <c r="AF602" s="56"/>
      <c r="AG602" s="56"/>
      <c r="AH602" s="56"/>
      <c r="AI602" s="56"/>
      <c r="AJ602" s="56"/>
      <c r="AQ602" s="56"/>
      <c r="AR602" s="56"/>
      <c r="AS602" s="56"/>
    </row>
    <row r="603" spans="1:4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D603" s="56"/>
      <c r="AE603" s="56"/>
      <c r="AF603" s="56"/>
      <c r="AG603" s="56"/>
      <c r="AH603" s="56"/>
      <c r="AI603" s="56"/>
      <c r="AJ603" s="56"/>
      <c r="AQ603" s="56"/>
      <c r="AR603" s="56"/>
      <c r="AS603" s="56"/>
    </row>
    <row r="604" spans="1:4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D604" s="56"/>
      <c r="AE604" s="56"/>
      <c r="AF604" s="56"/>
      <c r="AG604" s="56"/>
      <c r="AH604" s="56"/>
      <c r="AI604" s="56"/>
      <c r="AJ604" s="56"/>
      <c r="AQ604" s="56"/>
      <c r="AR604" s="56"/>
      <c r="AS604" s="56"/>
    </row>
    <row r="605" spans="1:4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D605" s="56"/>
      <c r="AE605" s="56"/>
      <c r="AF605" s="56"/>
      <c r="AG605" s="56"/>
      <c r="AH605" s="56"/>
      <c r="AI605" s="56"/>
      <c r="AJ605" s="56"/>
      <c r="AQ605" s="56"/>
      <c r="AR605" s="56"/>
      <c r="AS605" s="56"/>
    </row>
    <row r="606" spans="1:4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D606" s="56"/>
      <c r="AE606" s="56"/>
      <c r="AF606" s="56"/>
      <c r="AG606" s="56"/>
      <c r="AH606" s="56"/>
      <c r="AI606" s="56"/>
      <c r="AJ606" s="56"/>
      <c r="AQ606" s="56"/>
      <c r="AR606" s="56"/>
      <c r="AS606" s="56"/>
    </row>
    <row r="607" spans="1:4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D607" s="56"/>
      <c r="AE607" s="56"/>
      <c r="AF607" s="56"/>
      <c r="AG607" s="56"/>
      <c r="AH607" s="56"/>
      <c r="AI607" s="56"/>
      <c r="AJ607" s="56"/>
      <c r="AQ607" s="56"/>
      <c r="AR607" s="56"/>
      <c r="AS607" s="56"/>
    </row>
    <row r="608" spans="1:4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D608" s="56"/>
      <c r="AE608" s="56"/>
      <c r="AF608" s="56"/>
      <c r="AG608" s="56"/>
      <c r="AH608" s="56"/>
      <c r="AI608" s="56"/>
      <c r="AJ608" s="56"/>
      <c r="AQ608" s="56"/>
      <c r="AR608" s="56"/>
      <c r="AS608" s="56"/>
    </row>
    <row r="609" spans="1:4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D609" s="56"/>
      <c r="AE609" s="56"/>
      <c r="AF609" s="56"/>
      <c r="AG609" s="56"/>
      <c r="AH609" s="56"/>
      <c r="AI609" s="56"/>
      <c r="AJ609" s="56"/>
      <c r="AQ609" s="56"/>
      <c r="AR609" s="56"/>
      <c r="AS609" s="56"/>
    </row>
    <row r="610" spans="1:4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D610" s="56"/>
      <c r="AE610" s="56"/>
      <c r="AF610" s="56"/>
      <c r="AG610" s="56"/>
      <c r="AH610" s="56"/>
      <c r="AI610" s="56"/>
      <c r="AJ610" s="56"/>
      <c r="AQ610" s="56"/>
      <c r="AR610" s="56"/>
      <c r="AS610" s="56"/>
    </row>
    <row r="611" spans="1:4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D611" s="56"/>
      <c r="AE611" s="56"/>
      <c r="AF611" s="56"/>
      <c r="AG611" s="56"/>
      <c r="AH611" s="56"/>
      <c r="AI611" s="56"/>
      <c r="AJ611" s="56"/>
      <c r="AQ611" s="56"/>
      <c r="AR611" s="56"/>
      <c r="AS611" s="56"/>
    </row>
    <row r="612" spans="1:4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D612" s="56"/>
      <c r="AE612" s="56"/>
      <c r="AF612" s="56"/>
      <c r="AG612" s="56"/>
      <c r="AH612" s="56"/>
      <c r="AI612" s="56"/>
      <c r="AJ612" s="56"/>
      <c r="AQ612" s="56"/>
      <c r="AR612" s="56"/>
      <c r="AS612" s="56"/>
    </row>
    <row r="613" spans="1:4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D613" s="56"/>
      <c r="AE613" s="56"/>
      <c r="AF613" s="56"/>
      <c r="AG613" s="56"/>
      <c r="AH613" s="56"/>
      <c r="AI613" s="56"/>
      <c r="AJ613" s="56"/>
      <c r="AQ613" s="56"/>
      <c r="AR613" s="56"/>
      <c r="AS613" s="56"/>
    </row>
    <row r="614" spans="1:4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D614" s="56"/>
      <c r="AE614" s="56"/>
      <c r="AF614" s="56"/>
      <c r="AG614" s="56"/>
      <c r="AH614" s="56"/>
      <c r="AI614" s="56"/>
      <c r="AJ614" s="56"/>
      <c r="AQ614" s="56"/>
      <c r="AR614" s="56"/>
      <c r="AS614" s="56"/>
    </row>
    <row r="615" spans="1:4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D615" s="56"/>
      <c r="AE615" s="56"/>
      <c r="AF615" s="56"/>
      <c r="AG615" s="56"/>
      <c r="AH615" s="56"/>
      <c r="AI615" s="56"/>
      <c r="AJ615" s="56"/>
      <c r="AQ615" s="56"/>
      <c r="AR615" s="56"/>
      <c r="AS615" s="56"/>
    </row>
    <row r="616" spans="1:4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D616" s="56"/>
      <c r="AE616" s="56"/>
      <c r="AF616" s="56"/>
      <c r="AG616" s="56"/>
      <c r="AH616" s="56"/>
      <c r="AI616" s="56"/>
      <c r="AJ616" s="56"/>
      <c r="AQ616" s="56"/>
      <c r="AR616" s="56"/>
      <c r="AS616" s="56"/>
    </row>
    <row r="617" spans="1:4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D617" s="56"/>
      <c r="AE617" s="56"/>
      <c r="AF617" s="56"/>
      <c r="AG617" s="56"/>
      <c r="AH617" s="56"/>
      <c r="AI617" s="56"/>
      <c r="AJ617" s="56"/>
      <c r="AQ617" s="56"/>
      <c r="AR617" s="56"/>
      <c r="AS617" s="56"/>
    </row>
    <row r="618" spans="1:4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D618" s="56"/>
      <c r="AE618" s="56"/>
      <c r="AF618" s="56"/>
      <c r="AG618" s="56"/>
      <c r="AH618" s="56"/>
      <c r="AI618" s="56"/>
      <c r="AJ618" s="56"/>
      <c r="AQ618" s="56"/>
      <c r="AR618" s="56"/>
      <c r="AS618" s="56"/>
    </row>
    <row r="619" spans="1:4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D619" s="56"/>
      <c r="AE619" s="56"/>
      <c r="AF619" s="56"/>
      <c r="AG619" s="56"/>
      <c r="AH619" s="56"/>
      <c r="AI619" s="56"/>
      <c r="AJ619" s="56"/>
      <c r="AQ619" s="56"/>
      <c r="AR619" s="56"/>
      <c r="AS619" s="56"/>
    </row>
    <row r="620" spans="1:4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D620" s="56"/>
      <c r="AE620" s="56"/>
      <c r="AF620" s="56"/>
      <c r="AG620" s="56"/>
      <c r="AH620" s="56"/>
      <c r="AI620" s="56"/>
      <c r="AJ620" s="56"/>
      <c r="AQ620" s="56"/>
      <c r="AR620" s="56"/>
      <c r="AS620" s="56"/>
    </row>
    <row r="621" spans="1:4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D621" s="56"/>
      <c r="AE621" s="56"/>
      <c r="AF621" s="56"/>
      <c r="AG621" s="56"/>
      <c r="AH621" s="56"/>
      <c r="AI621" s="56"/>
      <c r="AJ621" s="56"/>
      <c r="AQ621" s="56"/>
      <c r="AR621" s="56"/>
      <c r="AS621" s="56"/>
    </row>
    <row r="622" spans="1:4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D622" s="56"/>
      <c r="AE622" s="56"/>
      <c r="AF622" s="56"/>
      <c r="AG622" s="56"/>
      <c r="AH622" s="56"/>
      <c r="AI622" s="56"/>
      <c r="AJ622" s="56"/>
      <c r="AQ622" s="56"/>
      <c r="AR622" s="56"/>
      <c r="AS622" s="56"/>
    </row>
    <row r="623" spans="1:4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D623" s="56"/>
      <c r="AE623" s="56"/>
      <c r="AF623" s="56"/>
      <c r="AG623" s="56"/>
      <c r="AH623" s="56"/>
      <c r="AI623" s="56"/>
      <c r="AJ623" s="56"/>
      <c r="AQ623" s="56"/>
      <c r="AR623" s="56"/>
      <c r="AS623" s="56"/>
    </row>
    <row r="624" spans="1:4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D624" s="56"/>
      <c r="AE624" s="56"/>
      <c r="AF624" s="56"/>
      <c r="AG624" s="56"/>
      <c r="AH624" s="56"/>
      <c r="AI624" s="56"/>
      <c r="AJ624" s="56"/>
      <c r="AQ624" s="56"/>
      <c r="AR624" s="56"/>
      <c r="AS624" s="56"/>
    </row>
    <row r="625" spans="1:4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D625" s="56"/>
      <c r="AE625" s="56"/>
      <c r="AF625" s="56"/>
      <c r="AG625" s="56"/>
      <c r="AH625" s="56"/>
      <c r="AI625" s="56"/>
      <c r="AJ625" s="56"/>
      <c r="AQ625" s="56"/>
      <c r="AR625" s="56"/>
      <c r="AS625" s="56"/>
    </row>
    <row r="626" spans="1:4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D626" s="56"/>
      <c r="AE626" s="56"/>
      <c r="AF626" s="56"/>
      <c r="AG626" s="56"/>
      <c r="AH626" s="56"/>
      <c r="AI626" s="56"/>
      <c r="AJ626" s="56"/>
      <c r="AQ626" s="56"/>
      <c r="AR626" s="56"/>
      <c r="AS626" s="56"/>
    </row>
    <row r="627" spans="1:4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D627" s="56"/>
      <c r="AE627" s="56"/>
      <c r="AF627" s="56"/>
      <c r="AG627" s="56"/>
      <c r="AH627" s="56"/>
      <c r="AI627" s="56"/>
      <c r="AJ627" s="56"/>
      <c r="AQ627" s="56"/>
      <c r="AR627" s="56"/>
      <c r="AS627" s="56"/>
    </row>
    <row r="628" spans="1:4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D628" s="56"/>
      <c r="AE628" s="56"/>
      <c r="AF628" s="56"/>
      <c r="AG628" s="56"/>
      <c r="AH628" s="56"/>
      <c r="AI628" s="56"/>
      <c r="AJ628" s="56"/>
      <c r="AQ628" s="56"/>
      <c r="AR628" s="56"/>
      <c r="AS628" s="56"/>
    </row>
    <row r="629" spans="1:4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D629" s="56"/>
      <c r="AE629" s="56"/>
      <c r="AF629" s="56"/>
      <c r="AG629" s="56"/>
      <c r="AH629" s="56"/>
      <c r="AI629" s="56"/>
      <c r="AJ629" s="56"/>
      <c r="AQ629" s="56"/>
      <c r="AR629" s="56"/>
      <c r="AS629" s="56"/>
    </row>
    <row r="630" spans="1:4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D630" s="56"/>
      <c r="AE630" s="56"/>
      <c r="AF630" s="56"/>
      <c r="AG630" s="56"/>
      <c r="AH630" s="56"/>
      <c r="AI630" s="56"/>
      <c r="AJ630" s="56"/>
      <c r="AQ630" s="56"/>
      <c r="AR630" s="56"/>
      <c r="AS630" s="56"/>
    </row>
    <row r="631" spans="1:4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D631" s="56"/>
      <c r="AE631" s="56"/>
      <c r="AF631" s="56"/>
      <c r="AG631" s="56"/>
      <c r="AH631" s="56"/>
      <c r="AI631" s="56"/>
      <c r="AJ631" s="56"/>
      <c r="AQ631" s="56"/>
      <c r="AR631" s="56"/>
      <c r="AS631" s="56"/>
    </row>
    <row r="632" spans="1:4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D632" s="56"/>
      <c r="AE632" s="56"/>
      <c r="AF632" s="56"/>
      <c r="AG632" s="56"/>
      <c r="AH632" s="56"/>
      <c r="AI632" s="56"/>
      <c r="AJ632" s="56"/>
      <c r="AQ632" s="56"/>
      <c r="AR632" s="56"/>
      <c r="AS632" s="56"/>
    </row>
    <row r="633" spans="1:4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D633" s="56"/>
      <c r="AE633" s="56"/>
      <c r="AF633" s="56"/>
      <c r="AG633" s="56"/>
      <c r="AH633" s="56"/>
      <c r="AI633" s="56"/>
      <c r="AJ633" s="56"/>
      <c r="AQ633" s="56"/>
      <c r="AR633" s="56"/>
      <c r="AS633" s="56"/>
    </row>
    <row r="634" spans="1:4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D634" s="56"/>
      <c r="AE634" s="56"/>
      <c r="AF634" s="56"/>
      <c r="AG634" s="56"/>
      <c r="AH634" s="56"/>
      <c r="AI634" s="56"/>
      <c r="AJ634" s="56"/>
      <c r="AQ634" s="56"/>
      <c r="AR634" s="56"/>
      <c r="AS634" s="56"/>
    </row>
    <row r="635" spans="1:4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D635" s="56"/>
      <c r="AE635" s="56"/>
      <c r="AF635" s="56"/>
      <c r="AG635" s="56"/>
      <c r="AH635" s="56"/>
      <c r="AI635" s="56"/>
      <c r="AJ635" s="56"/>
      <c r="AQ635" s="56"/>
      <c r="AR635" s="56"/>
      <c r="AS635" s="56"/>
    </row>
    <row r="636" spans="1:4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D636" s="56"/>
      <c r="AE636" s="56"/>
      <c r="AF636" s="56"/>
      <c r="AG636" s="56"/>
      <c r="AH636" s="56"/>
      <c r="AI636" s="56"/>
      <c r="AJ636" s="56"/>
      <c r="AQ636" s="56"/>
      <c r="AR636" s="56"/>
      <c r="AS636" s="56"/>
    </row>
    <row r="637" spans="1:4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D637" s="56"/>
      <c r="AE637" s="56"/>
      <c r="AF637" s="56"/>
      <c r="AG637" s="56"/>
      <c r="AH637" s="56"/>
      <c r="AI637" s="56"/>
      <c r="AJ637" s="56"/>
      <c r="AQ637" s="56"/>
      <c r="AR637" s="56"/>
      <c r="AS637" s="56"/>
    </row>
    <row r="638" spans="1:4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D638" s="56"/>
      <c r="AE638" s="56"/>
      <c r="AF638" s="56"/>
      <c r="AG638" s="56"/>
      <c r="AH638" s="56"/>
      <c r="AI638" s="56"/>
      <c r="AJ638" s="56"/>
      <c r="AQ638" s="56"/>
      <c r="AR638" s="56"/>
      <c r="AS638" s="56"/>
    </row>
    <row r="639" spans="1:4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D639" s="56"/>
      <c r="AE639" s="56"/>
      <c r="AF639" s="56"/>
      <c r="AG639" s="56"/>
      <c r="AH639" s="56"/>
      <c r="AI639" s="56"/>
      <c r="AJ639" s="56"/>
      <c r="AQ639" s="56"/>
      <c r="AR639" s="56"/>
      <c r="AS639" s="56"/>
    </row>
    <row r="640" spans="1:4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D640" s="56"/>
      <c r="AE640" s="56"/>
      <c r="AF640" s="56"/>
      <c r="AG640" s="56"/>
      <c r="AH640" s="56"/>
      <c r="AI640" s="56"/>
      <c r="AJ640" s="56"/>
      <c r="AQ640" s="56"/>
      <c r="AR640" s="56"/>
      <c r="AS640" s="56"/>
    </row>
    <row r="641" spans="1:4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D641" s="56"/>
      <c r="AE641" s="56"/>
      <c r="AF641" s="56"/>
      <c r="AG641" s="56"/>
      <c r="AH641" s="56"/>
      <c r="AI641" s="56"/>
      <c r="AJ641" s="56"/>
      <c r="AQ641" s="56"/>
      <c r="AR641" s="56"/>
      <c r="AS641" s="56"/>
    </row>
    <row r="642" spans="1:4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D642" s="56"/>
      <c r="AE642" s="56"/>
      <c r="AF642" s="56"/>
      <c r="AG642" s="56"/>
      <c r="AH642" s="56"/>
      <c r="AI642" s="56"/>
      <c r="AJ642" s="56"/>
      <c r="AQ642" s="56"/>
      <c r="AR642" s="56"/>
      <c r="AS642" s="56"/>
    </row>
    <row r="643" spans="1:4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D643" s="56"/>
      <c r="AE643" s="56"/>
      <c r="AF643" s="56"/>
      <c r="AG643" s="56"/>
      <c r="AH643" s="56"/>
      <c r="AI643" s="56"/>
      <c r="AJ643" s="56"/>
      <c r="AQ643" s="56"/>
      <c r="AR643" s="56"/>
      <c r="AS643" s="56"/>
    </row>
    <row r="644" spans="1:4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D644" s="56"/>
      <c r="AE644" s="56"/>
      <c r="AF644" s="56"/>
      <c r="AG644" s="56"/>
      <c r="AH644" s="56"/>
      <c r="AI644" s="56"/>
      <c r="AJ644" s="56"/>
      <c r="AQ644" s="56"/>
      <c r="AR644" s="56"/>
      <c r="AS644" s="56"/>
    </row>
    <row r="645" spans="1:4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D645" s="56"/>
      <c r="AE645" s="56"/>
      <c r="AF645" s="56"/>
      <c r="AG645" s="56"/>
      <c r="AH645" s="56"/>
      <c r="AI645" s="56"/>
      <c r="AJ645" s="56"/>
      <c r="AQ645" s="56"/>
      <c r="AR645" s="56"/>
      <c r="AS645" s="56"/>
    </row>
    <row r="646" spans="1:4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D646" s="56"/>
      <c r="AE646" s="56"/>
      <c r="AF646" s="56"/>
      <c r="AG646" s="56"/>
      <c r="AH646" s="56"/>
      <c r="AI646" s="56"/>
      <c r="AJ646" s="56"/>
      <c r="AQ646" s="56"/>
      <c r="AR646" s="56"/>
      <c r="AS646" s="56"/>
    </row>
    <row r="647" spans="1:4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D647" s="56"/>
      <c r="AE647" s="56"/>
      <c r="AF647" s="56"/>
      <c r="AG647" s="56"/>
      <c r="AH647" s="56"/>
      <c r="AI647" s="56"/>
      <c r="AJ647" s="56"/>
      <c r="AQ647" s="56"/>
      <c r="AR647" s="56"/>
      <c r="AS647" s="56"/>
    </row>
    <row r="648" spans="1:4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D648" s="56"/>
      <c r="AE648" s="56"/>
      <c r="AF648" s="56"/>
      <c r="AG648" s="56"/>
      <c r="AH648" s="56"/>
      <c r="AI648" s="56"/>
      <c r="AJ648" s="56"/>
      <c r="AQ648" s="56"/>
      <c r="AR648" s="56"/>
      <c r="AS648" s="56"/>
    </row>
    <row r="649" spans="1:4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D649" s="56"/>
      <c r="AE649" s="56"/>
      <c r="AF649" s="56"/>
      <c r="AG649" s="56"/>
      <c r="AH649" s="56"/>
      <c r="AI649" s="56"/>
      <c r="AJ649" s="56"/>
      <c r="AQ649" s="56"/>
      <c r="AR649" s="56"/>
      <c r="AS649" s="56"/>
    </row>
    <row r="650" spans="1:4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D650" s="56"/>
      <c r="AE650" s="56"/>
      <c r="AF650" s="56"/>
      <c r="AG650" s="56"/>
      <c r="AH650" s="56"/>
      <c r="AI650" s="56"/>
      <c r="AJ650" s="56"/>
      <c r="AQ650" s="56"/>
      <c r="AR650" s="56"/>
      <c r="AS650" s="56"/>
    </row>
    <row r="651" spans="1:4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D651" s="56"/>
      <c r="AE651" s="56"/>
      <c r="AF651" s="56"/>
      <c r="AG651" s="56"/>
      <c r="AH651" s="56"/>
      <c r="AI651" s="56"/>
      <c r="AJ651" s="56"/>
      <c r="AQ651" s="56"/>
      <c r="AR651" s="56"/>
      <c r="AS651" s="56"/>
    </row>
    <row r="652" spans="1:4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D652" s="56"/>
      <c r="AE652" s="56"/>
      <c r="AF652" s="56"/>
      <c r="AG652" s="56"/>
      <c r="AH652" s="56"/>
      <c r="AI652" s="56"/>
      <c r="AJ652" s="56"/>
      <c r="AQ652" s="56"/>
      <c r="AR652" s="56"/>
      <c r="AS652" s="56"/>
    </row>
    <row r="653" spans="1:4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D653" s="56"/>
      <c r="AE653" s="56"/>
      <c r="AF653" s="56"/>
      <c r="AG653" s="56"/>
      <c r="AH653" s="56"/>
      <c r="AI653" s="56"/>
      <c r="AJ653" s="56"/>
      <c r="AQ653" s="56"/>
      <c r="AR653" s="56"/>
      <c r="AS653" s="56"/>
    </row>
    <row r="654" spans="1:4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D654" s="56"/>
      <c r="AE654" s="56"/>
      <c r="AF654" s="56"/>
      <c r="AG654" s="56"/>
      <c r="AH654" s="56"/>
      <c r="AI654" s="56"/>
      <c r="AJ654" s="56"/>
      <c r="AQ654" s="56"/>
      <c r="AR654" s="56"/>
      <c r="AS654" s="56"/>
    </row>
    <row r="655" spans="1:4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D655" s="56"/>
      <c r="AE655" s="56"/>
      <c r="AF655" s="56"/>
      <c r="AG655" s="56"/>
      <c r="AH655" s="56"/>
      <c r="AI655" s="56"/>
      <c r="AJ655" s="56"/>
      <c r="AQ655" s="56"/>
      <c r="AR655" s="56"/>
      <c r="AS655" s="56"/>
    </row>
    <row r="656" spans="1:4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D656" s="56"/>
      <c r="AE656" s="56"/>
      <c r="AF656" s="56"/>
      <c r="AG656" s="56"/>
      <c r="AH656" s="56"/>
      <c r="AI656" s="56"/>
      <c r="AJ656" s="56"/>
      <c r="AQ656" s="56"/>
      <c r="AR656" s="56"/>
      <c r="AS656" s="56"/>
    </row>
    <row r="657" spans="1:4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D657" s="56"/>
      <c r="AE657" s="56"/>
      <c r="AF657" s="56"/>
      <c r="AG657" s="56"/>
      <c r="AH657" s="56"/>
      <c r="AI657" s="56"/>
      <c r="AJ657" s="56"/>
      <c r="AQ657" s="56"/>
      <c r="AR657" s="56"/>
      <c r="AS657" s="56"/>
    </row>
    <row r="658" spans="1:4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D658" s="56"/>
      <c r="AE658" s="56"/>
      <c r="AF658" s="56"/>
      <c r="AG658" s="56"/>
      <c r="AH658" s="56"/>
      <c r="AI658" s="56"/>
      <c r="AJ658" s="56"/>
      <c r="AQ658" s="56"/>
      <c r="AR658" s="56"/>
      <c r="AS658" s="56"/>
    </row>
    <row r="659" spans="1:4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D659" s="56"/>
      <c r="AE659" s="56"/>
      <c r="AF659" s="56"/>
      <c r="AG659" s="56"/>
      <c r="AH659" s="56"/>
      <c r="AI659" s="56"/>
      <c r="AJ659" s="56"/>
      <c r="AQ659" s="56"/>
      <c r="AR659" s="56"/>
      <c r="AS659" s="56"/>
    </row>
    <row r="660" spans="1:4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D660" s="56"/>
      <c r="AE660" s="56"/>
      <c r="AF660" s="56"/>
      <c r="AG660" s="56"/>
      <c r="AH660" s="56"/>
      <c r="AI660" s="56"/>
      <c r="AJ660" s="56"/>
      <c r="AQ660" s="56"/>
      <c r="AR660" s="56"/>
      <c r="AS660" s="56"/>
    </row>
    <row r="661" spans="1:4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D661" s="56"/>
      <c r="AE661" s="56"/>
      <c r="AF661" s="56"/>
      <c r="AG661" s="56"/>
      <c r="AH661" s="56"/>
      <c r="AI661" s="56"/>
      <c r="AJ661" s="56"/>
      <c r="AQ661" s="56"/>
      <c r="AR661" s="56"/>
      <c r="AS661" s="56"/>
    </row>
    <row r="662" spans="1:4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D662" s="56"/>
      <c r="AE662" s="56"/>
      <c r="AF662" s="56"/>
      <c r="AG662" s="56"/>
      <c r="AH662" s="56"/>
      <c r="AI662" s="56"/>
      <c r="AJ662" s="56"/>
      <c r="AQ662" s="56"/>
      <c r="AR662" s="56"/>
      <c r="AS662" s="56"/>
    </row>
    <row r="663" spans="1:4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D663" s="56"/>
      <c r="AE663" s="56"/>
      <c r="AF663" s="56"/>
      <c r="AG663" s="56"/>
      <c r="AH663" s="56"/>
      <c r="AI663" s="56"/>
      <c r="AJ663" s="56"/>
      <c r="AQ663" s="56"/>
      <c r="AR663" s="56"/>
      <c r="AS663" s="56"/>
    </row>
    <row r="664" spans="1:4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D664" s="56"/>
      <c r="AE664" s="56"/>
      <c r="AF664" s="56"/>
      <c r="AG664" s="56"/>
      <c r="AH664" s="56"/>
      <c r="AI664" s="56"/>
      <c r="AJ664" s="56"/>
      <c r="AQ664" s="56"/>
      <c r="AR664" s="56"/>
      <c r="AS664" s="56"/>
    </row>
    <row r="665" spans="1:4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D665" s="56"/>
      <c r="AE665" s="56"/>
      <c r="AF665" s="56"/>
      <c r="AG665" s="56"/>
      <c r="AH665" s="56"/>
      <c r="AI665" s="56"/>
      <c r="AJ665" s="56"/>
      <c r="AQ665" s="56"/>
      <c r="AR665" s="56"/>
      <c r="AS665" s="56"/>
    </row>
    <row r="666" spans="1:4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D666" s="56"/>
      <c r="AE666" s="56"/>
      <c r="AF666" s="56"/>
      <c r="AG666" s="56"/>
      <c r="AH666" s="56"/>
      <c r="AI666" s="56"/>
      <c r="AJ666" s="56"/>
      <c r="AQ666" s="56"/>
      <c r="AR666" s="56"/>
      <c r="AS666" s="56"/>
    </row>
    <row r="667" spans="1:4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D667" s="56"/>
      <c r="AE667" s="56"/>
      <c r="AF667" s="56"/>
      <c r="AG667" s="56"/>
      <c r="AH667" s="56"/>
      <c r="AI667" s="56"/>
      <c r="AJ667" s="56"/>
      <c r="AQ667" s="56"/>
      <c r="AR667" s="56"/>
      <c r="AS667" s="56"/>
    </row>
    <row r="668" spans="1:4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D668" s="56"/>
      <c r="AE668" s="56"/>
      <c r="AF668" s="56"/>
      <c r="AG668" s="56"/>
      <c r="AH668" s="56"/>
      <c r="AI668" s="56"/>
      <c r="AJ668" s="56"/>
      <c r="AQ668" s="56"/>
      <c r="AR668" s="56"/>
      <c r="AS668" s="56"/>
    </row>
    <row r="669" spans="1:4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D669" s="56"/>
      <c r="AE669" s="56"/>
      <c r="AF669" s="56"/>
      <c r="AG669" s="56"/>
      <c r="AH669" s="56"/>
      <c r="AI669" s="56"/>
      <c r="AJ669" s="56"/>
      <c r="AQ669" s="56"/>
      <c r="AR669" s="56"/>
      <c r="AS669" s="56"/>
    </row>
    <row r="670" spans="1:4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D670" s="56"/>
      <c r="AE670" s="56"/>
      <c r="AF670" s="56"/>
      <c r="AG670" s="56"/>
      <c r="AH670" s="56"/>
      <c r="AI670" s="56"/>
      <c r="AJ670" s="56"/>
      <c r="AQ670" s="56"/>
      <c r="AR670" s="56"/>
      <c r="AS670" s="56"/>
    </row>
    <row r="671" spans="1:4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D671" s="56"/>
      <c r="AE671" s="56"/>
      <c r="AF671" s="56"/>
      <c r="AG671" s="56"/>
      <c r="AH671" s="56"/>
      <c r="AI671" s="56"/>
      <c r="AJ671" s="56"/>
      <c r="AQ671" s="56"/>
      <c r="AR671" s="56"/>
      <c r="AS671" s="56"/>
    </row>
    <row r="672" spans="1:4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D672" s="56"/>
      <c r="AE672" s="56"/>
      <c r="AF672" s="56"/>
      <c r="AG672" s="56"/>
      <c r="AH672" s="56"/>
      <c r="AI672" s="56"/>
      <c r="AJ672" s="56"/>
      <c r="AQ672" s="56"/>
      <c r="AR672" s="56"/>
      <c r="AS672" s="56"/>
    </row>
    <row r="673" spans="1:4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D673" s="56"/>
      <c r="AE673" s="56"/>
      <c r="AF673" s="56"/>
      <c r="AG673" s="56"/>
      <c r="AH673" s="56"/>
      <c r="AI673" s="56"/>
      <c r="AJ673" s="56"/>
      <c r="AQ673" s="56"/>
      <c r="AR673" s="56"/>
      <c r="AS673" s="56"/>
    </row>
    <row r="674" spans="1:4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D674" s="56"/>
      <c r="AE674" s="56"/>
      <c r="AF674" s="56"/>
      <c r="AG674" s="56"/>
      <c r="AH674" s="56"/>
      <c r="AI674" s="56"/>
      <c r="AJ674" s="56"/>
      <c r="AQ674" s="56"/>
      <c r="AR674" s="56"/>
      <c r="AS674" s="56"/>
    </row>
    <row r="675" spans="1:4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D675" s="56"/>
      <c r="AE675" s="56"/>
      <c r="AF675" s="56"/>
      <c r="AG675" s="56"/>
      <c r="AH675" s="56"/>
      <c r="AI675" s="56"/>
      <c r="AJ675" s="56"/>
      <c r="AQ675" s="56"/>
      <c r="AR675" s="56"/>
      <c r="AS675" s="56"/>
    </row>
    <row r="676" spans="1:4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D676" s="56"/>
      <c r="AE676" s="56"/>
      <c r="AF676" s="56"/>
      <c r="AG676" s="56"/>
      <c r="AH676" s="56"/>
      <c r="AI676" s="56"/>
      <c r="AJ676" s="56"/>
      <c r="AQ676" s="56"/>
      <c r="AR676" s="56"/>
      <c r="AS676" s="56"/>
    </row>
    <row r="677" spans="1:4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D677" s="56"/>
      <c r="AE677" s="56"/>
      <c r="AF677" s="56"/>
      <c r="AG677" s="56"/>
      <c r="AH677" s="56"/>
      <c r="AI677" s="56"/>
      <c r="AJ677" s="56"/>
      <c r="AQ677" s="56"/>
      <c r="AR677" s="56"/>
      <c r="AS677" s="56"/>
    </row>
    <row r="678" spans="1:4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D678" s="56"/>
      <c r="AE678" s="56"/>
      <c r="AF678" s="56"/>
      <c r="AG678" s="56"/>
      <c r="AH678" s="56"/>
      <c r="AI678" s="56"/>
      <c r="AJ678" s="56"/>
      <c r="AQ678" s="56"/>
      <c r="AR678" s="56"/>
      <c r="AS678" s="56"/>
    </row>
    <row r="679" spans="1:4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D679" s="56"/>
      <c r="AE679" s="56"/>
      <c r="AF679" s="56"/>
      <c r="AG679" s="56"/>
      <c r="AH679" s="56"/>
      <c r="AI679" s="56"/>
      <c r="AJ679" s="56"/>
      <c r="AQ679" s="56"/>
      <c r="AR679" s="56"/>
      <c r="AS679" s="56"/>
    </row>
    <row r="680" spans="1:4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D680" s="56"/>
      <c r="AE680" s="56"/>
      <c r="AF680" s="56"/>
      <c r="AG680" s="56"/>
      <c r="AH680" s="56"/>
      <c r="AI680" s="56"/>
      <c r="AJ680" s="56"/>
      <c r="AQ680" s="56"/>
      <c r="AR680" s="56"/>
      <c r="AS680" s="56"/>
    </row>
    <row r="681" spans="1:4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D681" s="56"/>
      <c r="AE681" s="56"/>
      <c r="AF681" s="56"/>
      <c r="AG681" s="56"/>
      <c r="AH681" s="56"/>
      <c r="AI681" s="56"/>
      <c r="AJ681" s="56"/>
      <c r="AQ681" s="56"/>
      <c r="AR681" s="56"/>
      <c r="AS681" s="56"/>
    </row>
    <row r="682" spans="1:4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D682" s="56"/>
      <c r="AE682" s="56"/>
      <c r="AF682" s="56"/>
      <c r="AG682" s="56"/>
      <c r="AH682" s="56"/>
      <c r="AI682" s="56"/>
      <c r="AJ682" s="56"/>
      <c r="AQ682" s="56"/>
      <c r="AR682" s="56"/>
      <c r="AS682" s="56"/>
    </row>
    <row r="683" spans="1:4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D683" s="56"/>
      <c r="AE683" s="56"/>
      <c r="AF683" s="56"/>
      <c r="AG683" s="56"/>
      <c r="AH683" s="56"/>
      <c r="AI683" s="56"/>
      <c r="AJ683" s="56"/>
      <c r="AQ683" s="56"/>
      <c r="AR683" s="56"/>
      <c r="AS683" s="56"/>
    </row>
    <row r="684" spans="1:4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D684" s="56"/>
      <c r="AE684" s="56"/>
      <c r="AF684" s="56"/>
      <c r="AG684" s="56"/>
      <c r="AH684" s="56"/>
      <c r="AI684" s="56"/>
      <c r="AJ684" s="56"/>
      <c r="AQ684" s="56"/>
      <c r="AR684" s="56"/>
      <c r="AS684" s="56"/>
    </row>
    <row r="685" spans="1:4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D685" s="56"/>
      <c r="AE685" s="56"/>
      <c r="AF685" s="56"/>
      <c r="AG685" s="56"/>
      <c r="AH685" s="56"/>
      <c r="AI685" s="56"/>
      <c r="AJ685" s="56"/>
      <c r="AQ685" s="56"/>
      <c r="AR685" s="56"/>
      <c r="AS685" s="56"/>
    </row>
    <row r="686" spans="1:4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D686" s="56"/>
      <c r="AE686" s="56"/>
      <c r="AF686" s="56"/>
      <c r="AG686" s="56"/>
      <c r="AH686" s="56"/>
      <c r="AI686" s="56"/>
      <c r="AJ686" s="56"/>
      <c r="AQ686" s="56"/>
      <c r="AR686" s="56"/>
      <c r="AS686" s="56"/>
    </row>
    <row r="687" spans="1:4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D687" s="56"/>
      <c r="AE687" s="56"/>
      <c r="AF687" s="56"/>
      <c r="AG687" s="56"/>
      <c r="AH687" s="56"/>
      <c r="AI687" s="56"/>
      <c r="AJ687" s="56"/>
      <c r="AQ687" s="56"/>
      <c r="AR687" s="56"/>
      <c r="AS687" s="56"/>
    </row>
    <row r="688" spans="1:4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D688" s="56"/>
      <c r="AE688" s="56"/>
      <c r="AF688" s="56"/>
      <c r="AG688" s="56"/>
      <c r="AH688" s="56"/>
      <c r="AI688" s="56"/>
      <c r="AJ688" s="56"/>
      <c r="AQ688" s="56"/>
      <c r="AR688" s="56"/>
      <c r="AS688" s="56"/>
    </row>
    <row r="689" spans="1:4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D689" s="56"/>
      <c r="AE689" s="56"/>
      <c r="AF689" s="56"/>
      <c r="AG689" s="56"/>
      <c r="AH689" s="56"/>
      <c r="AI689" s="56"/>
      <c r="AJ689" s="56"/>
      <c r="AQ689" s="56"/>
      <c r="AR689" s="56"/>
      <c r="AS689" s="56"/>
    </row>
    <row r="690" spans="1:4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D690" s="56"/>
      <c r="AE690" s="56"/>
      <c r="AF690" s="56"/>
      <c r="AG690" s="56"/>
      <c r="AH690" s="56"/>
      <c r="AI690" s="56"/>
      <c r="AJ690" s="56"/>
      <c r="AQ690" s="56"/>
      <c r="AR690" s="56"/>
      <c r="AS690" s="56"/>
    </row>
    <row r="691" spans="1:4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D691" s="56"/>
      <c r="AE691" s="56"/>
      <c r="AF691" s="56"/>
      <c r="AG691" s="56"/>
      <c r="AH691" s="56"/>
      <c r="AI691" s="56"/>
      <c r="AJ691" s="56"/>
      <c r="AQ691" s="56"/>
      <c r="AR691" s="56"/>
      <c r="AS691" s="56"/>
    </row>
    <row r="692" spans="1:4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D692" s="56"/>
      <c r="AE692" s="56"/>
      <c r="AF692" s="56"/>
      <c r="AG692" s="56"/>
      <c r="AH692" s="56"/>
      <c r="AI692" s="56"/>
      <c r="AJ692" s="56"/>
      <c r="AQ692" s="56"/>
      <c r="AR692" s="56"/>
      <c r="AS692" s="56"/>
    </row>
    <row r="693" spans="1:4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D693" s="56"/>
      <c r="AE693" s="56"/>
      <c r="AF693" s="56"/>
      <c r="AG693" s="56"/>
      <c r="AH693" s="56"/>
      <c r="AI693" s="56"/>
      <c r="AJ693" s="56"/>
      <c r="AQ693" s="56"/>
      <c r="AR693" s="56"/>
      <c r="AS693" s="56"/>
    </row>
    <row r="694" spans="1:4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D694" s="56"/>
      <c r="AE694" s="56"/>
      <c r="AF694" s="56"/>
      <c r="AG694" s="56"/>
      <c r="AH694" s="56"/>
      <c r="AI694" s="56"/>
      <c r="AJ694" s="56"/>
      <c r="AQ694" s="56"/>
      <c r="AR694" s="56"/>
      <c r="AS694" s="56"/>
    </row>
    <row r="695" spans="1:4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D695" s="56"/>
      <c r="AE695" s="56"/>
      <c r="AF695" s="56"/>
      <c r="AG695" s="56"/>
      <c r="AH695" s="56"/>
      <c r="AI695" s="56"/>
      <c r="AJ695" s="56"/>
      <c r="AQ695" s="56"/>
      <c r="AR695" s="56"/>
      <c r="AS695" s="56"/>
    </row>
    <row r="696" spans="1:4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D696" s="56"/>
      <c r="AE696" s="56"/>
      <c r="AF696" s="56"/>
      <c r="AG696" s="56"/>
      <c r="AH696" s="56"/>
      <c r="AI696" s="56"/>
      <c r="AJ696" s="56"/>
      <c r="AQ696" s="56"/>
      <c r="AR696" s="56"/>
      <c r="AS696" s="56"/>
    </row>
    <row r="697" spans="1:4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D697" s="56"/>
      <c r="AE697" s="56"/>
      <c r="AF697" s="56"/>
      <c r="AG697" s="56"/>
      <c r="AH697" s="56"/>
      <c r="AI697" s="56"/>
      <c r="AJ697" s="56"/>
      <c r="AQ697" s="56"/>
      <c r="AR697" s="56"/>
      <c r="AS697" s="56"/>
    </row>
    <row r="698" spans="1:4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D698" s="56"/>
      <c r="AE698" s="56"/>
      <c r="AF698" s="56"/>
      <c r="AG698" s="56"/>
      <c r="AH698" s="56"/>
      <c r="AI698" s="56"/>
      <c r="AJ698" s="56"/>
      <c r="AQ698" s="56"/>
      <c r="AR698" s="56"/>
      <c r="AS698" s="56"/>
    </row>
    <row r="699" spans="1:4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D699" s="56"/>
      <c r="AE699" s="56"/>
      <c r="AF699" s="56"/>
      <c r="AG699" s="56"/>
      <c r="AH699" s="56"/>
      <c r="AI699" s="56"/>
      <c r="AJ699" s="56"/>
      <c r="AQ699" s="56"/>
      <c r="AR699" s="56"/>
      <c r="AS699" s="56"/>
    </row>
    <row r="700" spans="1:4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D700" s="56"/>
      <c r="AE700" s="56"/>
      <c r="AF700" s="56"/>
      <c r="AG700" s="56"/>
      <c r="AH700" s="56"/>
      <c r="AI700" s="56"/>
      <c r="AJ700" s="56"/>
      <c r="AQ700" s="56"/>
      <c r="AR700" s="56"/>
      <c r="AS700" s="56"/>
    </row>
    <row r="701" spans="1:4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D701" s="56"/>
      <c r="AE701" s="56"/>
      <c r="AF701" s="56"/>
      <c r="AG701" s="56"/>
      <c r="AH701" s="56"/>
      <c r="AI701" s="56"/>
      <c r="AJ701" s="56"/>
      <c r="AQ701" s="56"/>
      <c r="AR701" s="56"/>
      <c r="AS701" s="56"/>
    </row>
    <row r="702" spans="1:4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D702" s="56"/>
      <c r="AE702" s="56"/>
      <c r="AF702" s="56"/>
      <c r="AG702" s="56"/>
      <c r="AH702" s="56"/>
      <c r="AI702" s="56"/>
      <c r="AJ702" s="56"/>
      <c r="AQ702" s="56"/>
      <c r="AR702" s="56"/>
      <c r="AS702" s="56"/>
    </row>
    <row r="703" spans="1:4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D703" s="56"/>
      <c r="AE703" s="56"/>
      <c r="AF703" s="56"/>
      <c r="AG703" s="56"/>
      <c r="AH703" s="56"/>
      <c r="AI703" s="56"/>
      <c r="AJ703" s="56"/>
      <c r="AQ703" s="56"/>
      <c r="AR703" s="56"/>
      <c r="AS703" s="56"/>
    </row>
    <row r="704" spans="1:4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D704" s="56"/>
      <c r="AE704" s="56"/>
      <c r="AF704" s="56"/>
      <c r="AG704" s="56"/>
      <c r="AH704" s="56"/>
      <c r="AI704" s="56"/>
      <c r="AJ704" s="56"/>
      <c r="AQ704" s="56"/>
      <c r="AR704" s="56"/>
      <c r="AS704" s="56"/>
    </row>
    <row r="705" spans="1:4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D705" s="56"/>
      <c r="AE705" s="56"/>
      <c r="AF705" s="56"/>
      <c r="AG705" s="56"/>
      <c r="AH705" s="56"/>
      <c r="AI705" s="56"/>
      <c r="AJ705" s="56"/>
      <c r="AQ705" s="56"/>
      <c r="AR705" s="56"/>
      <c r="AS705" s="56"/>
    </row>
    <row r="706" spans="1:4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D706" s="56"/>
      <c r="AE706" s="56"/>
      <c r="AF706" s="56"/>
      <c r="AG706" s="56"/>
      <c r="AH706" s="56"/>
      <c r="AI706" s="56"/>
      <c r="AJ706" s="56"/>
      <c r="AQ706" s="56"/>
      <c r="AR706" s="56"/>
      <c r="AS706" s="56"/>
    </row>
    <row r="707" spans="1:4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D707" s="56"/>
      <c r="AE707" s="56"/>
      <c r="AF707" s="56"/>
      <c r="AG707" s="56"/>
      <c r="AH707" s="56"/>
      <c r="AI707" s="56"/>
      <c r="AJ707" s="56"/>
      <c r="AQ707" s="56"/>
      <c r="AR707" s="56"/>
      <c r="AS707" s="56"/>
    </row>
    <row r="708" spans="1:4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D708" s="56"/>
      <c r="AE708" s="56"/>
      <c r="AF708" s="56"/>
      <c r="AG708" s="56"/>
      <c r="AH708" s="56"/>
      <c r="AI708" s="56"/>
      <c r="AJ708" s="56"/>
      <c r="AQ708" s="56"/>
      <c r="AR708" s="56"/>
      <c r="AS708" s="56"/>
    </row>
    <row r="709" spans="1:4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D709" s="56"/>
      <c r="AE709" s="56"/>
      <c r="AF709" s="56"/>
      <c r="AG709" s="56"/>
      <c r="AH709" s="56"/>
      <c r="AI709" s="56"/>
      <c r="AJ709" s="56"/>
      <c r="AQ709" s="56"/>
      <c r="AR709" s="56"/>
      <c r="AS709" s="56"/>
    </row>
    <row r="710" spans="1:4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D710" s="56"/>
      <c r="AE710" s="56"/>
      <c r="AF710" s="56"/>
      <c r="AG710" s="56"/>
      <c r="AH710" s="56"/>
      <c r="AI710" s="56"/>
      <c r="AJ710" s="56"/>
      <c r="AQ710" s="56"/>
      <c r="AR710" s="56"/>
      <c r="AS710" s="56"/>
    </row>
    <row r="711" spans="1:4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D711" s="56"/>
      <c r="AE711" s="56"/>
      <c r="AF711" s="56"/>
      <c r="AG711" s="56"/>
      <c r="AH711" s="56"/>
      <c r="AI711" s="56"/>
      <c r="AJ711" s="56"/>
      <c r="AQ711" s="56"/>
      <c r="AR711" s="56"/>
      <c r="AS711" s="56"/>
    </row>
    <row r="712" spans="1:4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D712" s="56"/>
      <c r="AE712" s="56"/>
      <c r="AF712" s="56"/>
      <c r="AG712" s="56"/>
      <c r="AH712" s="56"/>
      <c r="AI712" s="56"/>
      <c r="AJ712" s="56"/>
      <c r="AQ712" s="56"/>
      <c r="AR712" s="56"/>
      <c r="AS712" s="56"/>
    </row>
    <row r="713" spans="1:4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D713" s="56"/>
      <c r="AE713" s="56"/>
      <c r="AF713" s="56"/>
      <c r="AG713" s="56"/>
      <c r="AH713" s="56"/>
      <c r="AI713" s="56"/>
      <c r="AJ713" s="56"/>
      <c r="AQ713" s="56"/>
      <c r="AR713" s="56"/>
      <c r="AS713" s="56"/>
    </row>
    <row r="714" spans="1:4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D714" s="56"/>
      <c r="AE714" s="56"/>
      <c r="AF714" s="56"/>
      <c r="AG714" s="56"/>
      <c r="AH714" s="56"/>
      <c r="AI714" s="56"/>
      <c r="AJ714" s="56"/>
      <c r="AQ714" s="56"/>
      <c r="AR714" s="56"/>
      <c r="AS714" s="56"/>
    </row>
    <row r="715" spans="1:4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D715" s="56"/>
      <c r="AE715" s="56"/>
      <c r="AF715" s="56"/>
      <c r="AG715" s="56"/>
      <c r="AH715" s="56"/>
      <c r="AI715" s="56"/>
      <c r="AJ715" s="56"/>
      <c r="AQ715" s="56"/>
      <c r="AR715" s="56"/>
      <c r="AS715" s="56"/>
    </row>
    <row r="716" spans="1:4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D716" s="56"/>
      <c r="AE716" s="56"/>
      <c r="AF716" s="56"/>
      <c r="AG716" s="56"/>
      <c r="AH716" s="56"/>
      <c r="AI716" s="56"/>
      <c r="AJ716" s="56"/>
      <c r="AQ716" s="56"/>
      <c r="AR716" s="56"/>
      <c r="AS716" s="56"/>
    </row>
    <row r="717" spans="1:4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D717" s="56"/>
      <c r="AE717" s="56"/>
      <c r="AF717" s="56"/>
      <c r="AG717" s="56"/>
      <c r="AH717" s="56"/>
      <c r="AI717" s="56"/>
      <c r="AJ717" s="56"/>
      <c r="AQ717" s="56"/>
      <c r="AR717" s="56"/>
      <c r="AS717" s="56"/>
    </row>
    <row r="718" spans="1:4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D718" s="56"/>
      <c r="AE718" s="56"/>
      <c r="AF718" s="56"/>
      <c r="AG718" s="56"/>
      <c r="AH718" s="56"/>
      <c r="AI718" s="56"/>
      <c r="AJ718" s="56"/>
      <c r="AQ718" s="56"/>
      <c r="AR718" s="56"/>
      <c r="AS718" s="56"/>
    </row>
    <row r="719" spans="1:4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D719" s="56"/>
      <c r="AE719" s="56"/>
      <c r="AF719" s="56"/>
      <c r="AG719" s="56"/>
      <c r="AH719" s="56"/>
      <c r="AI719" s="56"/>
      <c r="AJ719" s="56"/>
      <c r="AQ719" s="56"/>
      <c r="AR719" s="56"/>
      <c r="AS719" s="56"/>
    </row>
    <row r="720" spans="1:4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D720" s="56"/>
      <c r="AE720" s="56"/>
      <c r="AF720" s="56"/>
      <c r="AG720" s="56"/>
      <c r="AH720" s="56"/>
      <c r="AI720" s="56"/>
      <c r="AJ720" s="56"/>
      <c r="AQ720" s="56"/>
      <c r="AR720" s="56"/>
      <c r="AS720" s="56"/>
    </row>
    <row r="721" spans="1:4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D721" s="56"/>
      <c r="AE721" s="56"/>
      <c r="AF721" s="56"/>
      <c r="AG721" s="56"/>
      <c r="AH721" s="56"/>
      <c r="AI721" s="56"/>
      <c r="AJ721" s="56"/>
      <c r="AQ721" s="56"/>
      <c r="AR721" s="56"/>
      <c r="AS721" s="56"/>
    </row>
    <row r="722" spans="1:4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D722" s="56"/>
      <c r="AE722" s="56"/>
      <c r="AF722" s="56"/>
      <c r="AG722" s="56"/>
      <c r="AH722" s="56"/>
      <c r="AI722" s="56"/>
      <c r="AJ722" s="56"/>
      <c r="AQ722" s="56"/>
      <c r="AR722" s="56"/>
      <c r="AS722" s="56"/>
    </row>
    <row r="723" spans="1:4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D723" s="56"/>
      <c r="AE723" s="56"/>
      <c r="AF723" s="56"/>
      <c r="AG723" s="56"/>
      <c r="AH723" s="56"/>
      <c r="AI723" s="56"/>
      <c r="AJ723" s="56"/>
      <c r="AQ723" s="56"/>
      <c r="AR723" s="56"/>
      <c r="AS723" s="56"/>
    </row>
    <row r="724" spans="1:4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D724" s="56"/>
      <c r="AE724" s="56"/>
      <c r="AF724" s="56"/>
      <c r="AG724" s="56"/>
      <c r="AH724" s="56"/>
      <c r="AI724" s="56"/>
      <c r="AJ724" s="56"/>
      <c r="AQ724" s="56"/>
      <c r="AR724" s="56"/>
      <c r="AS724" s="56"/>
    </row>
    <row r="725" spans="1:4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D725" s="56"/>
      <c r="AE725" s="56"/>
      <c r="AF725" s="56"/>
      <c r="AG725" s="56"/>
      <c r="AH725" s="56"/>
      <c r="AI725" s="56"/>
      <c r="AJ725" s="56"/>
      <c r="AQ725" s="56"/>
      <c r="AR725" s="56"/>
      <c r="AS725" s="56"/>
    </row>
    <row r="726" spans="1:4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D726" s="56"/>
      <c r="AE726" s="56"/>
      <c r="AF726" s="56"/>
      <c r="AG726" s="56"/>
      <c r="AH726" s="56"/>
      <c r="AI726" s="56"/>
      <c r="AJ726" s="56"/>
      <c r="AQ726" s="56"/>
      <c r="AR726" s="56"/>
      <c r="AS726" s="56"/>
    </row>
    <row r="727" spans="1:4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D727" s="56"/>
      <c r="AE727" s="56"/>
      <c r="AF727" s="56"/>
      <c r="AG727" s="56"/>
      <c r="AH727" s="56"/>
      <c r="AI727" s="56"/>
      <c r="AJ727" s="56"/>
      <c r="AQ727" s="56"/>
      <c r="AR727" s="56"/>
      <c r="AS727" s="56"/>
    </row>
    <row r="728" spans="1:4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D728" s="56"/>
      <c r="AE728" s="56"/>
      <c r="AF728" s="56"/>
      <c r="AG728" s="56"/>
      <c r="AH728" s="56"/>
      <c r="AI728" s="56"/>
      <c r="AJ728" s="56"/>
      <c r="AQ728" s="56"/>
      <c r="AR728" s="56"/>
      <c r="AS728" s="56"/>
    </row>
    <row r="729" spans="1:4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D729" s="56"/>
      <c r="AE729" s="56"/>
      <c r="AF729" s="56"/>
      <c r="AG729" s="56"/>
      <c r="AH729" s="56"/>
      <c r="AI729" s="56"/>
      <c r="AJ729" s="56"/>
      <c r="AQ729" s="56"/>
      <c r="AR729" s="56"/>
      <c r="AS729" s="56"/>
    </row>
    <row r="730" spans="1:4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D730" s="56"/>
      <c r="AE730" s="56"/>
      <c r="AF730" s="56"/>
      <c r="AG730" s="56"/>
      <c r="AH730" s="56"/>
      <c r="AI730" s="56"/>
      <c r="AJ730" s="56"/>
      <c r="AQ730" s="56"/>
      <c r="AR730" s="56"/>
      <c r="AS730" s="56"/>
    </row>
    <row r="731" spans="1:4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D731" s="56"/>
      <c r="AE731" s="56"/>
      <c r="AF731" s="56"/>
      <c r="AG731" s="56"/>
      <c r="AH731" s="56"/>
      <c r="AI731" s="56"/>
      <c r="AJ731" s="56"/>
      <c r="AQ731" s="56"/>
      <c r="AR731" s="56"/>
      <c r="AS731" s="56"/>
    </row>
    <row r="732" spans="1:4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D732" s="56"/>
      <c r="AE732" s="56"/>
      <c r="AF732" s="56"/>
      <c r="AG732" s="56"/>
      <c r="AH732" s="56"/>
      <c r="AI732" s="56"/>
      <c r="AJ732" s="56"/>
      <c r="AQ732" s="56"/>
      <c r="AR732" s="56"/>
      <c r="AS732" s="56"/>
    </row>
    <row r="733" spans="1:4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D733" s="56"/>
      <c r="AE733" s="56"/>
      <c r="AF733" s="56"/>
      <c r="AG733" s="56"/>
      <c r="AH733" s="56"/>
      <c r="AI733" s="56"/>
      <c r="AJ733" s="56"/>
      <c r="AQ733" s="56"/>
      <c r="AR733" s="56"/>
      <c r="AS733" s="56"/>
    </row>
    <row r="734" spans="1:4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D734" s="56"/>
      <c r="AE734" s="56"/>
      <c r="AF734" s="56"/>
      <c r="AG734" s="56"/>
      <c r="AH734" s="56"/>
      <c r="AI734" s="56"/>
      <c r="AJ734" s="56"/>
      <c r="AQ734" s="56"/>
      <c r="AR734" s="56"/>
      <c r="AS734" s="56"/>
    </row>
    <row r="735" spans="1:4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D735" s="56"/>
      <c r="AE735" s="56"/>
      <c r="AF735" s="56"/>
      <c r="AG735" s="56"/>
      <c r="AH735" s="56"/>
      <c r="AI735" s="56"/>
      <c r="AJ735" s="56"/>
      <c r="AQ735" s="56"/>
      <c r="AR735" s="56"/>
      <c r="AS735" s="56"/>
    </row>
    <row r="736" spans="1:4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D736" s="56"/>
      <c r="AE736" s="56"/>
      <c r="AF736" s="56"/>
      <c r="AG736" s="56"/>
      <c r="AH736" s="56"/>
      <c r="AI736" s="56"/>
      <c r="AJ736" s="56"/>
      <c r="AQ736" s="56"/>
      <c r="AR736" s="56"/>
      <c r="AS736" s="56"/>
    </row>
    <row r="737" spans="1:4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D737" s="56"/>
      <c r="AE737" s="56"/>
      <c r="AF737" s="56"/>
      <c r="AG737" s="56"/>
      <c r="AH737" s="56"/>
      <c r="AI737" s="56"/>
      <c r="AJ737" s="56"/>
      <c r="AQ737" s="56"/>
      <c r="AR737" s="56"/>
      <c r="AS737" s="56"/>
    </row>
    <row r="738" spans="1:4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D738" s="56"/>
      <c r="AE738" s="56"/>
      <c r="AF738" s="56"/>
      <c r="AG738" s="56"/>
      <c r="AH738" s="56"/>
      <c r="AI738" s="56"/>
      <c r="AJ738" s="56"/>
      <c r="AQ738" s="56"/>
      <c r="AR738" s="56"/>
      <c r="AS738" s="56"/>
    </row>
    <row r="739" spans="1:4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D739" s="56"/>
      <c r="AE739" s="56"/>
      <c r="AF739" s="56"/>
      <c r="AG739" s="56"/>
      <c r="AH739" s="56"/>
      <c r="AI739" s="56"/>
      <c r="AJ739" s="56"/>
      <c r="AQ739" s="56"/>
      <c r="AR739" s="56"/>
      <c r="AS739" s="56"/>
    </row>
    <row r="740" spans="1:4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D740" s="56"/>
      <c r="AE740" s="56"/>
      <c r="AF740" s="56"/>
      <c r="AG740" s="56"/>
      <c r="AH740" s="56"/>
      <c r="AI740" s="56"/>
      <c r="AJ740" s="56"/>
      <c r="AQ740" s="56"/>
      <c r="AR740" s="56"/>
      <c r="AS740" s="56"/>
    </row>
    <row r="741" spans="1:4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D741" s="56"/>
      <c r="AE741" s="56"/>
      <c r="AF741" s="56"/>
      <c r="AG741" s="56"/>
      <c r="AH741" s="56"/>
      <c r="AI741" s="56"/>
      <c r="AJ741" s="56"/>
      <c r="AQ741" s="56"/>
      <c r="AR741" s="56"/>
      <c r="AS741" s="56"/>
    </row>
    <row r="742" spans="1:4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D742" s="56"/>
      <c r="AE742" s="56"/>
      <c r="AF742" s="56"/>
      <c r="AG742" s="56"/>
      <c r="AH742" s="56"/>
      <c r="AI742" s="56"/>
      <c r="AJ742" s="56"/>
      <c r="AQ742" s="56"/>
      <c r="AR742" s="56"/>
      <c r="AS742" s="56"/>
    </row>
    <row r="743" spans="1:4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D743" s="56"/>
      <c r="AE743" s="56"/>
      <c r="AF743" s="56"/>
      <c r="AG743" s="56"/>
      <c r="AH743" s="56"/>
      <c r="AI743" s="56"/>
      <c r="AJ743" s="56"/>
      <c r="AQ743" s="56"/>
      <c r="AR743" s="56"/>
      <c r="AS743" s="56"/>
    </row>
    <row r="744" spans="1:4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D744" s="56"/>
      <c r="AE744" s="56"/>
      <c r="AF744" s="56"/>
      <c r="AG744" s="56"/>
      <c r="AH744" s="56"/>
      <c r="AI744" s="56"/>
      <c r="AJ744" s="56"/>
      <c r="AQ744" s="56"/>
      <c r="AR744" s="56"/>
      <c r="AS744" s="56"/>
    </row>
    <row r="745" spans="1:4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D745" s="56"/>
      <c r="AE745" s="56"/>
      <c r="AF745" s="56"/>
      <c r="AG745" s="56"/>
      <c r="AH745" s="56"/>
      <c r="AI745" s="56"/>
      <c r="AJ745" s="56"/>
      <c r="AQ745" s="56"/>
      <c r="AR745" s="56"/>
      <c r="AS745" s="56"/>
    </row>
    <row r="746" spans="1:4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D746" s="56"/>
      <c r="AE746" s="56"/>
      <c r="AF746" s="56"/>
      <c r="AG746" s="56"/>
      <c r="AH746" s="56"/>
      <c r="AI746" s="56"/>
      <c r="AJ746" s="56"/>
      <c r="AQ746" s="56"/>
      <c r="AR746" s="56"/>
      <c r="AS746" s="56"/>
    </row>
    <row r="747" spans="1:4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D747" s="56"/>
      <c r="AE747" s="56"/>
      <c r="AF747" s="56"/>
      <c r="AG747" s="56"/>
      <c r="AH747" s="56"/>
      <c r="AI747" s="56"/>
      <c r="AJ747" s="56"/>
      <c r="AQ747" s="56"/>
      <c r="AR747" s="56"/>
      <c r="AS747" s="56"/>
    </row>
    <row r="748" spans="1:4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D748" s="56"/>
      <c r="AE748" s="56"/>
      <c r="AF748" s="56"/>
      <c r="AG748" s="56"/>
      <c r="AH748" s="56"/>
      <c r="AI748" s="56"/>
      <c r="AJ748" s="56"/>
      <c r="AQ748" s="56"/>
      <c r="AR748" s="56"/>
      <c r="AS748" s="56"/>
    </row>
    <row r="749" spans="1:4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D749" s="56"/>
      <c r="AE749" s="56"/>
      <c r="AF749" s="56"/>
      <c r="AG749" s="56"/>
      <c r="AH749" s="56"/>
      <c r="AI749" s="56"/>
      <c r="AJ749" s="56"/>
      <c r="AQ749" s="56"/>
      <c r="AR749" s="56"/>
      <c r="AS749" s="56"/>
    </row>
    <row r="750" spans="1:4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D750" s="56"/>
      <c r="AE750" s="56"/>
      <c r="AF750" s="56"/>
      <c r="AG750" s="56"/>
      <c r="AH750" s="56"/>
      <c r="AI750" s="56"/>
      <c r="AJ750" s="56"/>
      <c r="AQ750" s="56"/>
      <c r="AR750" s="56"/>
      <c r="AS750" s="56"/>
    </row>
    <row r="751" spans="1:4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D751" s="56"/>
      <c r="AE751" s="56"/>
      <c r="AF751" s="56"/>
      <c r="AG751" s="56"/>
      <c r="AH751" s="56"/>
      <c r="AI751" s="56"/>
      <c r="AJ751" s="56"/>
      <c r="AQ751" s="56"/>
      <c r="AR751" s="56"/>
      <c r="AS751" s="56"/>
    </row>
    <row r="752" spans="1:4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D752" s="56"/>
      <c r="AE752" s="56"/>
      <c r="AF752" s="56"/>
      <c r="AG752" s="56"/>
      <c r="AH752" s="56"/>
      <c r="AI752" s="56"/>
      <c r="AJ752" s="56"/>
      <c r="AQ752" s="56"/>
      <c r="AR752" s="56"/>
      <c r="AS752" s="56"/>
    </row>
    <row r="753" spans="1:4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D753" s="56"/>
      <c r="AE753" s="56"/>
      <c r="AF753" s="56"/>
      <c r="AG753" s="56"/>
      <c r="AH753" s="56"/>
      <c r="AI753" s="56"/>
      <c r="AJ753" s="56"/>
      <c r="AQ753" s="56"/>
      <c r="AR753" s="56"/>
      <c r="AS753" s="56"/>
    </row>
    <row r="754" spans="1:4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D754" s="56"/>
      <c r="AE754" s="56"/>
      <c r="AF754" s="56"/>
      <c r="AG754" s="56"/>
      <c r="AH754" s="56"/>
      <c r="AI754" s="56"/>
      <c r="AJ754" s="56"/>
      <c r="AQ754" s="56"/>
      <c r="AR754" s="56"/>
      <c r="AS754" s="56"/>
    </row>
    <row r="755" spans="1:4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D755" s="56"/>
      <c r="AE755" s="56"/>
      <c r="AF755" s="56"/>
      <c r="AG755" s="56"/>
      <c r="AH755" s="56"/>
      <c r="AI755" s="56"/>
      <c r="AJ755" s="56"/>
      <c r="AQ755" s="56"/>
      <c r="AR755" s="56"/>
      <c r="AS755" s="56"/>
    </row>
    <row r="756" spans="1:4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D756" s="56"/>
      <c r="AE756" s="56"/>
      <c r="AF756" s="56"/>
      <c r="AG756" s="56"/>
      <c r="AH756" s="56"/>
      <c r="AI756" s="56"/>
      <c r="AJ756" s="56"/>
      <c r="AQ756" s="56"/>
      <c r="AR756" s="56"/>
      <c r="AS756" s="56"/>
    </row>
    <row r="757" spans="1:4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D757" s="56"/>
      <c r="AE757" s="56"/>
      <c r="AF757" s="56"/>
      <c r="AG757" s="56"/>
      <c r="AH757" s="56"/>
      <c r="AI757" s="56"/>
      <c r="AJ757" s="56"/>
      <c r="AQ757" s="56"/>
      <c r="AR757" s="56"/>
      <c r="AS757" s="56"/>
    </row>
    <row r="758" spans="1:4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D758" s="56"/>
      <c r="AE758" s="56"/>
      <c r="AF758" s="56"/>
      <c r="AG758" s="56"/>
      <c r="AH758" s="56"/>
      <c r="AI758" s="56"/>
      <c r="AJ758" s="56"/>
      <c r="AQ758" s="56"/>
      <c r="AR758" s="56"/>
      <c r="AS758" s="56"/>
    </row>
    <row r="759" spans="1:4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D759" s="56"/>
      <c r="AE759" s="56"/>
      <c r="AF759" s="56"/>
      <c r="AG759" s="56"/>
      <c r="AH759" s="56"/>
      <c r="AI759" s="56"/>
      <c r="AJ759" s="56"/>
      <c r="AQ759" s="56"/>
      <c r="AR759" s="56"/>
      <c r="AS759" s="56"/>
    </row>
    <row r="760" spans="1:4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D760" s="56"/>
      <c r="AE760" s="56"/>
      <c r="AF760" s="56"/>
      <c r="AG760" s="56"/>
      <c r="AH760" s="56"/>
      <c r="AI760" s="56"/>
      <c r="AJ760" s="56"/>
      <c r="AQ760" s="56"/>
      <c r="AR760" s="56"/>
      <c r="AS760" s="56"/>
    </row>
    <row r="761" spans="1:4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D761" s="56"/>
      <c r="AE761" s="56"/>
      <c r="AF761" s="56"/>
      <c r="AG761" s="56"/>
      <c r="AH761" s="56"/>
      <c r="AI761" s="56"/>
      <c r="AJ761" s="56"/>
      <c r="AQ761" s="56"/>
      <c r="AR761" s="56"/>
      <c r="AS761" s="56"/>
    </row>
    <row r="762" spans="1:4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D762" s="56"/>
      <c r="AE762" s="56"/>
      <c r="AF762" s="56"/>
      <c r="AG762" s="56"/>
      <c r="AH762" s="56"/>
      <c r="AI762" s="56"/>
      <c r="AJ762" s="56"/>
      <c r="AQ762" s="56"/>
      <c r="AR762" s="56"/>
      <c r="AS762" s="56"/>
    </row>
    <row r="763" spans="1:4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D763" s="56"/>
      <c r="AE763" s="56"/>
      <c r="AF763" s="56"/>
      <c r="AG763" s="56"/>
      <c r="AH763" s="56"/>
      <c r="AI763" s="56"/>
      <c r="AJ763" s="56"/>
      <c r="AQ763" s="56"/>
      <c r="AR763" s="56"/>
      <c r="AS763" s="56"/>
    </row>
    <row r="764" spans="1:4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D764" s="56"/>
      <c r="AE764" s="56"/>
      <c r="AF764" s="56"/>
      <c r="AG764" s="56"/>
      <c r="AH764" s="56"/>
      <c r="AI764" s="56"/>
      <c r="AJ764" s="56"/>
      <c r="AQ764" s="56"/>
      <c r="AR764" s="56"/>
      <c r="AS764" s="56"/>
    </row>
    <row r="765" spans="1:4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D765" s="56"/>
      <c r="AE765" s="56"/>
      <c r="AF765" s="56"/>
      <c r="AG765" s="56"/>
      <c r="AH765" s="56"/>
      <c r="AI765" s="56"/>
      <c r="AJ765" s="56"/>
      <c r="AQ765" s="56"/>
      <c r="AR765" s="56"/>
      <c r="AS765" s="56"/>
    </row>
    <row r="766" spans="1:4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D766" s="56"/>
      <c r="AE766" s="56"/>
      <c r="AF766" s="56"/>
      <c r="AG766" s="56"/>
      <c r="AH766" s="56"/>
      <c r="AI766" s="56"/>
      <c r="AJ766" s="56"/>
      <c r="AQ766" s="56"/>
      <c r="AR766" s="56"/>
      <c r="AS766" s="56"/>
    </row>
    <row r="767" spans="1:4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D767" s="56"/>
      <c r="AE767" s="56"/>
      <c r="AF767" s="56"/>
      <c r="AG767" s="56"/>
      <c r="AH767" s="56"/>
      <c r="AI767" s="56"/>
      <c r="AJ767" s="56"/>
      <c r="AQ767" s="56"/>
      <c r="AR767" s="56"/>
      <c r="AS767" s="56"/>
    </row>
    <row r="768" spans="1:4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D768" s="56"/>
      <c r="AE768" s="56"/>
      <c r="AF768" s="56"/>
      <c r="AG768" s="56"/>
      <c r="AH768" s="56"/>
      <c r="AI768" s="56"/>
      <c r="AJ768" s="56"/>
      <c r="AQ768" s="56"/>
      <c r="AR768" s="56"/>
      <c r="AS768" s="56"/>
    </row>
    <row r="769" spans="1:4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D769" s="56"/>
      <c r="AE769" s="56"/>
      <c r="AF769" s="56"/>
      <c r="AG769" s="56"/>
      <c r="AH769" s="56"/>
      <c r="AI769" s="56"/>
      <c r="AJ769" s="56"/>
      <c r="AQ769" s="56"/>
      <c r="AR769" s="56"/>
      <c r="AS769" s="56"/>
    </row>
    <row r="770" spans="1:4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D770" s="56"/>
      <c r="AE770" s="56"/>
      <c r="AF770" s="56"/>
      <c r="AG770" s="56"/>
      <c r="AH770" s="56"/>
      <c r="AI770" s="56"/>
      <c r="AJ770" s="56"/>
      <c r="AQ770" s="56"/>
      <c r="AR770" s="56"/>
      <c r="AS770" s="56"/>
    </row>
    <row r="771" spans="1:4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D771" s="56"/>
      <c r="AE771" s="56"/>
      <c r="AF771" s="56"/>
      <c r="AG771" s="56"/>
      <c r="AH771" s="56"/>
      <c r="AI771" s="56"/>
      <c r="AJ771" s="56"/>
      <c r="AQ771" s="56"/>
      <c r="AR771" s="56"/>
      <c r="AS771" s="56"/>
    </row>
    <row r="772" spans="1:4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D772" s="56"/>
      <c r="AE772" s="56"/>
      <c r="AF772" s="56"/>
      <c r="AG772" s="56"/>
      <c r="AH772" s="56"/>
      <c r="AI772" s="56"/>
      <c r="AJ772" s="56"/>
      <c r="AQ772" s="56"/>
      <c r="AR772" s="56"/>
      <c r="AS772" s="56"/>
    </row>
    <row r="773" spans="1:4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D773" s="56"/>
      <c r="AE773" s="56"/>
      <c r="AF773" s="56"/>
      <c r="AG773" s="56"/>
      <c r="AH773" s="56"/>
      <c r="AI773" s="56"/>
      <c r="AJ773" s="56"/>
      <c r="AQ773" s="56"/>
      <c r="AR773" s="56"/>
      <c r="AS773" s="56"/>
    </row>
    <row r="774" spans="1:4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D774" s="56"/>
      <c r="AE774" s="56"/>
      <c r="AF774" s="56"/>
      <c r="AG774" s="56"/>
      <c r="AH774" s="56"/>
      <c r="AI774" s="56"/>
      <c r="AJ774" s="56"/>
      <c r="AQ774" s="56"/>
      <c r="AR774" s="56"/>
      <c r="AS774" s="56"/>
    </row>
    <row r="775" spans="1:4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D775" s="56"/>
      <c r="AE775" s="56"/>
      <c r="AF775" s="56"/>
      <c r="AG775" s="56"/>
      <c r="AH775" s="56"/>
      <c r="AI775" s="56"/>
      <c r="AJ775" s="56"/>
      <c r="AQ775" s="56"/>
      <c r="AR775" s="56"/>
      <c r="AS775" s="56"/>
    </row>
    <row r="776" spans="1:4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D776" s="56"/>
      <c r="AE776" s="56"/>
      <c r="AF776" s="56"/>
      <c r="AG776" s="56"/>
      <c r="AH776" s="56"/>
      <c r="AI776" s="56"/>
      <c r="AJ776" s="56"/>
      <c r="AQ776" s="56"/>
      <c r="AR776" s="56"/>
      <c r="AS776" s="56"/>
    </row>
    <row r="777" spans="1:4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D777" s="56"/>
      <c r="AE777" s="56"/>
      <c r="AF777" s="56"/>
      <c r="AG777" s="56"/>
      <c r="AH777" s="56"/>
      <c r="AI777" s="56"/>
      <c r="AJ777" s="56"/>
      <c r="AQ777" s="56"/>
      <c r="AR777" s="56"/>
      <c r="AS777" s="56"/>
    </row>
    <row r="778" spans="1:4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D778" s="56"/>
      <c r="AE778" s="56"/>
      <c r="AF778" s="56"/>
      <c r="AG778" s="56"/>
      <c r="AH778" s="56"/>
      <c r="AI778" s="56"/>
      <c r="AJ778" s="56"/>
      <c r="AQ778" s="56"/>
      <c r="AR778" s="56"/>
      <c r="AS778" s="56"/>
    </row>
    <row r="779" spans="1:4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D779" s="56"/>
      <c r="AE779" s="56"/>
      <c r="AF779" s="56"/>
      <c r="AG779" s="56"/>
      <c r="AH779" s="56"/>
      <c r="AI779" s="56"/>
      <c r="AJ779" s="56"/>
      <c r="AQ779" s="56"/>
      <c r="AR779" s="56"/>
      <c r="AS779" s="56"/>
    </row>
    <row r="780" spans="1:4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D780" s="56"/>
      <c r="AE780" s="56"/>
      <c r="AF780" s="56"/>
      <c r="AG780" s="56"/>
      <c r="AH780" s="56"/>
      <c r="AI780" s="56"/>
      <c r="AJ780" s="56"/>
      <c r="AQ780" s="56"/>
      <c r="AR780" s="56"/>
      <c r="AS780" s="56"/>
    </row>
    <row r="781" spans="1:4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D781" s="56"/>
      <c r="AE781" s="56"/>
      <c r="AF781" s="56"/>
      <c r="AG781" s="56"/>
      <c r="AH781" s="56"/>
      <c r="AI781" s="56"/>
      <c r="AJ781" s="56"/>
      <c r="AQ781" s="56"/>
      <c r="AR781" s="56"/>
      <c r="AS781" s="56"/>
    </row>
    <row r="782" spans="1:4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D782" s="56"/>
      <c r="AE782" s="56"/>
      <c r="AF782" s="56"/>
      <c r="AG782" s="56"/>
      <c r="AH782" s="56"/>
      <c r="AI782" s="56"/>
      <c r="AJ782" s="56"/>
      <c r="AQ782" s="56"/>
      <c r="AR782" s="56"/>
      <c r="AS782" s="56"/>
    </row>
    <row r="783" spans="1:4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D783" s="56"/>
      <c r="AE783" s="56"/>
      <c r="AF783" s="56"/>
      <c r="AG783" s="56"/>
      <c r="AH783" s="56"/>
      <c r="AI783" s="56"/>
      <c r="AJ783" s="56"/>
      <c r="AQ783" s="56"/>
      <c r="AR783" s="56"/>
      <c r="AS783" s="56"/>
    </row>
    <row r="784" spans="1:4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D784" s="56"/>
      <c r="AE784" s="56"/>
      <c r="AF784" s="56"/>
      <c r="AG784" s="56"/>
      <c r="AH784" s="56"/>
      <c r="AI784" s="56"/>
      <c r="AJ784" s="56"/>
      <c r="AQ784" s="56"/>
      <c r="AR784" s="56"/>
      <c r="AS784" s="56"/>
    </row>
    <row r="785" spans="1:4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D785" s="56"/>
      <c r="AE785" s="56"/>
      <c r="AF785" s="56"/>
      <c r="AG785" s="56"/>
      <c r="AH785" s="56"/>
      <c r="AI785" s="56"/>
      <c r="AJ785" s="56"/>
      <c r="AQ785" s="56"/>
      <c r="AR785" s="56"/>
      <c r="AS785" s="56"/>
    </row>
    <row r="786" spans="1:4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D786" s="56"/>
      <c r="AE786" s="56"/>
      <c r="AF786" s="56"/>
      <c r="AG786" s="56"/>
      <c r="AH786" s="56"/>
      <c r="AI786" s="56"/>
      <c r="AJ786" s="56"/>
      <c r="AQ786" s="56"/>
      <c r="AR786" s="56"/>
      <c r="AS786" s="56"/>
    </row>
    <row r="787" spans="1:4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D787" s="56"/>
      <c r="AE787" s="56"/>
      <c r="AF787" s="56"/>
      <c r="AG787" s="56"/>
      <c r="AH787" s="56"/>
      <c r="AI787" s="56"/>
      <c r="AJ787" s="56"/>
      <c r="AQ787" s="56"/>
      <c r="AR787" s="56"/>
      <c r="AS787" s="56"/>
    </row>
    <row r="788" spans="1:4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D788" s="56"/>
      <c r="AE788" s="56"/>
      <c r="AF788" s="56"/>
      <c r="AG788" s="56"/>
      <c r="AH788" s="56"/>
      <c r="AI788" s="56"/>
      <c r="AJ788" s="56"/>
      <c r="AQ788" s="56"/>
      <c r="AR788" s="56"/>
      <c r="AS788" s="56"/>
    </row>
    <row r="789" spans="1:4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D789" s="56"/>
      <c r="AE789" s="56"/>
      <c r="AF789" s="56"/>
      <c r="AG789" s="56"/>
      <c r="AH789" s="56"/>
      <c r="AI789" s="56"/>
      <c r="AJ789" s="56"/>
      <c r="AQ789" s="56"/>
      <c r="AR789" s="56"/>
      <c r="AS789" s="56"/>
    </row>
    <row r="790" spans="1:4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D790" s="56"/>
      <c r="AE790" s="56"/>
      <c r="AF790" s="56"/>
      <c r="AG790" s="56"/>
      <c r="AH790" s="56"/>
      <c r="AI790" s="56"/>
      <c r="AJ790" s="56"/>
      <c r="AQ790" s="56"/>
      <c r="AR790" s="56"/>
      <c r="AS790" s="56"/>
    </row>
    <row r="791" spans="1:4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D791" s="56"/>
      <c r="AE791" s="56"/>
      <c r="AF791" s="56"/>
      <c r="AG791" s="56"/>
      <c r="AH791" s="56"/>
      <c r="AI791" s="56"/>
      <c r="AJ791" s="56"/>
      <c r="AQ791" s="56"/>
      <c r="AR791" s="56"/>
      <c r="AS791" s="56"/>
    </row>
    <row r="792" spans="1:4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D792" s="56"/>
      <c r="AE792" s="56"/>
      <c r="AF792" s="56"/>
      <c r="AG792" s="56"/>
      <c r="AH792" s="56"/>
      <c r="AI792" s="56"/>
      <c r="AJ792" s="56"/>
      <c r="AQ792" s="56"/>
      <c r="AR792" s="56"/>
      <c r="AS792" s="56"/>
    </row>
    <row r="793" spans="1:4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D793" s="56"/>
      <c r="AE793" s="56"/>
      <c r="AF793" s="56"/>
      <c r="AG793" s="56"/>
      <c r="AH793" s="56"/>
      <c r="AI793" s="56"/>
      <c r="AJ793" s="56"/>
      <c r="AQ793" s="56"/>
      <c r="AR793" s="56"/>
      <c r="AS793" s="56"/>
    </row>
    <row r="794" spans="1:4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D794" s="56"/>
      <c r="AE794" s="56"/>
      <c r="AF794" s="56"/>
      <c r="AG794" s="56"/>
      <c r="AH794" s="56"/>
      <c r="AI794" s="56"/>
      <c r="AJ794" s="56"/>
      <c r="AQ794" s="56"/>
      <c r="AR794" s="56"/>
      <c r="AS794" s="56"/>
    </row>
    <row r="795" spans="1:4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D795" s="56"/>
      <c r="AE795" s="56"/>
      <c r="AF795" s="56"/>
      <c r="AG795" s="56"/>
      <c r="AH795" s="56"/>
      <c r="AI795" s="56"/>
      <c r="AJ795" s="56"/>
      <c r="AQ795" s="56"/>
      <c r="AR795" s="56"/>
      <c r="AS795" s="56"/>
    </row>
    <row r="796" spans="1:4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D796" s="56"/>
      <c r="AE796" s="56"/>
      <c r="AF796" s="56"/>
      <c r="AG796" s="56"/>
      <c r="AH796" s="56"/>
      <c r="AI796" s="56"/>
      <c r="AJ796" s="56"/>
      <c r="AQ796" s="56"/>
      <c r="AR796" s="56"/>
      <c r="AS796" s="56"/>
    </row>
    <row r="797" spans="1:4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D797" s="56"/>
      <c r="AE797" s="56"/>
      <c r="AF797" s="56"/>
      <c r="AG797" s="56"/>
      <c r="AH797" s="56"/>
      <c r="AI797" s="56"/>
      <c r="AJ797" s="56"/>
      <c r="AQ797" s="56"/>
      <c r="AR797" s="56"/>
      <c r="AS797" s="56"/>
    </row>
    <row r="798" spans="1:4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D798" s="56"/>
      <c r="AE798" s="56"/>
      <c r="AF798" s="56"/>
      <c r="AG798" s="56"/>
      <c r="AH798" s="56"/>
      <c r="AI798" s="56"/>
      <c r="AJ798" s="56"/>
      <c r="AQ798" s="56"/>
      <c r="AR798" s="56"/>
      <c r="AS798" s="56"/>
    </row>
    <row r="799" spans="1:4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D799" s="56"/>
      <c r="AE799" s="56"/>
      <c r="AF799" s="56"/>
      <c r="AG799" s="56"/>
      <c r="AH799" s="56"/>
      <c r="AI799" s="56"/>
      <c r="AJ799" s="56"/>
      <c r="AQ799" s="56"/>
      <c r="AR799" s="56"/>
      <c r="AS799" s="56"/>
    </row>
    <row r="800" spans="1:4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D800" s="56"/>
      <c r="AE800" s="56"/>
      <c r="AF800" s="56"/>
      <c r="AG800" s="56"/>
      <c r="AH800" s="56"/>
      <c r="AI800" s="56"/>
      <c r="AJ800" s="56"/>
      <c r="AQ800" s="56"/>
      <c r="AR800" s="56"/>
      <c r="AS800" s="56"/>
    </row>
    <row r="801" spans="1:4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D801" s="56"/>
      <c r="AE801" s="56"/>
      <c r="AF801" s="56"/>
      <c r="AG801" s="56"/>
      <c r="AH801" s="56"/>
      <c r="AI801" s="56"/>
      <c r="AJ801" s="56"/>
      <c r="AQ801" s="56"/>
      <c r="AR801" s="56"/>
      <c r="AS801" s="56"/>
    </row>
    <row r="802" spans="1:4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D802" s="56"/>
      <c r="AE802" s="56"/>
      <c r="AF802" s="56"/>
      <c r="AG802" s="56"/>
      <c r="AH802" s="56"/>
      <c r="AI802" s="56"/>
      <c r="AJ802" s="56"/>
      <c r="AQ802" s="56"/>
      <c r="AR802" s="56"/>
      <c r="AS802" s="56"/>
    </row>
    <row r="803" spans="1:4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D803" s="56"/>
      <c r="AE803" s="56"/>
      <c r="AF803" s="56"/>
      <c r="AG803" s="56"/>
      <c r="AH803" s="56"/>
      <c r="AI803" s="56"/>
      <c r="AJ803" s="56"/>
      <c r="AQ803" s="56"/>
      <c r="AR803" s="56"/>
      <c r="AS803" s="56"/>
    </row>
    <row r="804" spans="1:4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D804" s="56"/>
      <c r="AE804" s="56"/>
      <c r="AF804" s="56"/>
      <c r="AG804" s="56"/>
      <c r="AH804" s="56"/>
      <c r="AI804" s="56"/>
      <c r="AJ804" s="56"/>
      <c r="AQ804" s="56"/>
      <c r="AR804" s="56"/>
      <c r="AS804" s="56"/>
    </row>
    <row r="805" spans="1:4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D805" s="56"/>
      <c r="AE805" s="56"/>
      <c r="AF805" s="56"/>
      <c r="AG805" s="56"/>
      <c r="AH805" s="56"/>
      <c r="AI805" s="56"/>
      <c r="AJ805" s="56"/>
      <c r="AQ805" s="56"/>
      <c r="AR805" s="56"/>
      <c r="AS805" s="56"/>
    </row>
    <row r="806" spans="1:4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D806" s="56"/>
      <c r="AE806" s="56"/>
      <c r="AF806" s="56"/>
      <c r="AG806" s="56"/>
      <c r="AH806" s="56"/>
      <c r="AI806" s="56"/>
      <c r="AJ806" s="56"/>
      <c r="AQ806" s="56"/>
      <c r="AR806" s="56"/>
      <c r="AS806" s="56"/>
    </row>
    <row r="807" spans="1:4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D807" s="56"/>
      <c r="AE807" s="56"/>
      <c r="AF807" s="56"/>
      <c r="AG807" s="56"/>
      <c r="AH807" s="56"/>
      <c r="AI807" s="56"/>
      <c r="AJ807" s="56"/>
      <c r="AQ807" s="56"/>
      <c r="AR807" s="56"/>
      <c r="AS807" s="56"/>
    </row>
    <row r="808" spans="1:4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D808" s="56"/>
      <c r="AE808" s="56"/>
      <c r="AF808" s="56"/>
      <c r="AG808" s="56"/>
      <c r="AH808" s="56"/>
      <c r="AI808" s="56"/>
      <c r="AJ808" s="56"/>
      <c r="AQ808" s="56"/>
      <c r="AR808" s="56"/>
      <c r="AS808" s="56"/>
    </row>
    <row r="809" spans="1:4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D809" s="56"/>
      <c r="AE809" s="56"/>
      <c r="AF809" s="56"/>
      <c r="AG809" s="56"/>
      <c r="AH809" s="56"/>
      <c r="AI809" s="56"/>
      <c r="AJ809" s="56"/>
      <c r="AQ809" s="56"/>
      <c r="AR809" s="56"/>
      <c r="AS809" s="56"/>
    </row>
    <row r="810" spans="1:4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D810" s="56"/>
      <c r="AE810" s="56"/>
      <c r="AF810" s="56"/>
      <c r="AG810" s="56"/>
      <c r="AH810" s="56"/>
      <c r="AI810" s="56"/>
      <c r="AJ810" s="56"/>
      <c r="AQ810" s="56"/>
      <c r="AR810" s="56"/>
      <c r="AS810" s="56"/>
    </row>
    <row r="811" spans="1:4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D811" s="56"/>
      <c r="AE811" s="56"/>
      <c r="AF811" s="56"/>
      <c r="AG811" s="56"/>
      <c r="AH811" s="56"/>
      <c r="AI811" s="56"/>
      <c r="AJ811" s="56"/>
      <c r="AQ811" s="56"/>
      <c r="AR811" s="56"/>
      <c r="AS811" s="56"/>
    </row>
    <row r="812" spans="1:4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D812" s="56"/>
      <c r="AE812" s="56"/>
      <c r="AF812" s="56"/>
      <c r="AG812" s="56"/>
      <c r="AH812" s="56"/>
      <c r="AI812" s="56"/>
      <c r="AJ812" s="56"/>
      <c r="AQ812" s="56"/>
      <c r="AR812" s="56"/>
      <c r="AS812" s="56"/>
    </row>
    <row r="813" spans="1:4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D813" s="56"/>
      <c r="AE813" s="56"/>
      <c r="AF813" s="56"/>
      <c r="AG813" s="56"/>
      <c r="AH813" s="56"/>
      <c r="AI813" s="56"/>
      <c r="AJ813" s="56"/>
      <c r="AQ813" s="56"/>
      <c r="AR813" s="56"/>
      <c r="AS813" s="56"/>
    </row>
    <row r="814" spans="1:4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D814" s="56"/>
      <c r="AE814" s="56"/>
      <c r="AF814" s="56"/>
      <c r="AG814" s="56"/>
      <c r="AH814" s="56"/>
      <c r="AI814" s="56"/>
      <c r="AJ814" s="56"/>
      <c r="AQ814" s="56"/>
      <c r="AR814" s="56"/>
      <c r="AS814" s="56"/>
    </row>
    <row r="815" spans="1:4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D815" s="56"/>
      <c r="AE815" s="56"/>
      <c r="AF815" s="56"/>
      <c r="AG815" s="56"/>
      <c r="AH815" s="56"/>
      <c r="AI815" s="56"/>
      <c r="AJ815" s="56"/>
      <c r="AQ815" s="56"/>
      <c r="AR815" s="56"/>
      <c r="AS815" s="56"/>
    </row>
    <row r="816" spans="1:4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D816" s="56"/>
      <c r="AE816" s="56"/>
      <c r="AF816" s="56"/>
      <c r="AG816" s="56"/>
      <c r="AH816" s="56"/>
      <c r="AI816" s="56"/>
      <c r="AJ816" s="56"/>
      <c r="AQ816" s="56"/>
      <c r="AR816" s="56"/>
      <c r="AS816" s="56"/>
    </row>
    <row r="817" spans="1:4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D817" s="56"/>
      <c r="AE817" s="56"/>
      <c r="AF817" s="56"/>
      <c r="AG817" s="56"/>
      <c r="AH817" s="56"/>
      <c r="AI817" s="56"/>
      <c r="AJ817" s="56"/>
      <c r="AQ817" s="56"/>
      <c r="AR817" s="56"/>
      <c r="AS817" s="56"/>
    </row>
    <row r="818" spans="1:4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D818" s="56"/>
      <c r="AE818" s="56"/>
      <c r="AF818" s="56"/>
      <c r="AG818" s="56"/>
      <c r="AH818" s="56"/>
      <c r="AI818" s="56"/>
      <c r="AJ818" s="56"/>
      <c r="AQ818" s="56"/>
      <c r="AR818" s="56"/>
      <c r="AS818" s="56"/>
    </row>
    <row r="819" spans="1:4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D819" s="56"/>
      <c r="AE819" s="56"/>
      <c r="AF819" s="56"/>
      <c r="AG819" s="56"/>
      <c r="AH819" s="56"/>
      <c r="AI819" s="56"/>
      <c r="AJ819" s="56"/>
      <c r="AQ819" s="56"/>
      <c r="AR819" s="56"/>
      <c r="AS819" s="56"/>
    </row>
    <row r="820" spans="1:4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D820" s="56"/>
      <c r="AE820" s="56"/>
      <c r="AF820" s="56"/>
      <c r="AG820" s="56"/>
      <c r="AH820" s="56"/>
      <c r="AI820" s="56"/>
      <c r="AJ820" s="56"/>
      <c r="AQ820" s="56"/>
      <c r="AR820" s="56"/>
      <c r="AS820" s="56"/>
    </row>
    <row r="821" spans="1:4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D821" s="56"/>
      <c r="AE821" s="56"/>
      <c r="AF821" s="56"/>
      <c r="AG821" s="56"/>
      <c r="AH821" s="56"/>
      <c r="AI821" s="56"/>
      <c r="AJ821" s="56"/>
      <c r="AQ821" s="56"/>
      <c r="AR821" s="56"/>
      <c r="AS821" s="56"/>
    </row>
    <row r="822" spans="1:4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D822" s="56"/>
      <c r="AE822" s="56"/>
      <c r="AF822" s="56"/>
      <c r="AG822" s="56"/>
      <c r="AH822" s="56"/>
      <c r="AI822" s="56"/>
      <c r="AJ822" s="56"/>
      <c r="AQ822" s="56"/>
      <c r="AR822" s="56"/>
      <c r="AS822" s="56"/>
    </row>
    <row r="823" spans="1:4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D823" s="56"/>
      <c r="AE823" s="56"/>
      <c r="AF823" s="56"/>
      <c r="AG823" s="56"/>
      <c r="AH823" s="56"/>
      <c r="AI823" s="56"/>
      <c r="AJ823" s="56"/>
      <c r="AQ823" s="56"/>
      <c r="AR823" s="56"/>
      <c r="AS823" s="56"/>
    </row>
    <row r="824" spans="1:4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D824" s="56"/>
      <c r="AE824" s="56"/>
      <c r="AF824" s="56"/>
      <c r="AG824" s="56"/>
      <c r="AH824" s="56"/>
      <c r="AI824" s="56"/>
      <c r="AJ824" s="56"/>
      <c r="AQ824" s="56"/>
      <c r="AR824" s="56"/>
      <c r="AS824" s="56"/>
    </row>
    <row r="825" spans="1:4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D825" s="56"/>
      <c r="AE825" s="56"/>
      <c r="AF825" s="56"/>
      <c r="AG825" s="56"/>
      <c r="AH825" s="56"/>
      <c r="AI825" s="56"/>
      <c r="AJ825" s="56"/>
      <c r="AQ825" s="56"/>
      <c r="AR825" s="56"/>
      <c r="AS825" s="56"/>
    </row>
    <row r="826" spans="1:4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D826" s="56"/>
      <c r="AE826" s="56"/>
      <c r="AF826" s="56"/>
      <c r="AG826" s="56"/>
      <c r="AH826" s="56"/>
      <c r="AI826" s="56"/>
      <c r="AJ826" s="56"/>
      <c r="AQ826" s="56"/>
      <c r="AR826" s="56"/>
      <c r="AS826" s="56"/>
    </row>
    <row r="827" spans="1:4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D827" s="56"/>
      <c r="AE827" s="56"/>
      <c r="AF827" s="56"/>
      <c r="AG827" s="56"/>
      <c r="AH827" s="56"/>
      <c r="AI827" s="56"/>
      <c r="AJ827" s="56"/>
      <c r="AQ827" s="56"/>
      <c r="AR827" s="56"/>
      <c r="AS827" s="56"/>
    </row>
    <row r="828" spans="1:4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D828" s="56"/>
      <c r="AE828" s="56"/>
      <c r="AF828" s="56"/>
      <c r="AG828" s="56"/>
      <c r="AH828" s="56"/>
      <c r="AI828" s="56"/>
      <c r="AJ828" s="56"/>
      <c r="AQ828" s="56"/>
      <c r="AR828" s="56"/>
      <c r="AS828" s="56"/>
    </row>
    <row r="829" spans="1:4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D829" s="56"/>
      <c r="AE829" s="56"/>
      <c r="AF829" s="56"/>
      <c r="AG829" s="56"/>
      <c r="AH829" s="56"/>
      <c r="AI829" s="56"/>
      <c r="AJ829" s="56"/>
      <c r="AQ829" s="56"/>
      <c r="AR829" s="56"/>
      <c r="AS829" s="56"/>
    </row>
    <row r="830" spans="1:4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D830" s="56"/>
      <c r="AE830" s="56"/>
      <c r="AF830" s="56"/>
      <c r="AG830" s="56"/>
      <c r="AH830" s="56"/>
      <c r="AI830" s="56"/>
      <c r="AJ830" s="56"/>
      <c r="AQ830" s="56"/>
      <c r="AR830" s="56"/>
      <c r="AS830" s="56"/>
    </row>
    <row r="831" spans="1:4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D831" s="56"/>
      <c r="AE831" s="56"/>
      <c r="AF831" s="56"/>
      <c r="AG831" s="56"/>
      <c r="AH831" s="56"/>
      <c r="AI831" s="56"/>
      <c r="AJ831" s="56"/>
      <c r="AQ831" s="56"/>
      <c r="AR831" s="56"/>
      <c r="AS831" s="56"/>
    </row>
    <row r="832" spans="1:4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D832" s="56"/>
      <c r="AE832" s="56"/>
      <c r="AF832" s="56"/>
      <c r="AG832" s="56"/>
      <c r="AH832" s="56"/>
      <c r="AI832" s="56"/>
      <c r="AJ832" s="56"/>
      <c r="AQ832" s="56"/>
      <c r="AR832" s="56"/>
      <c r="AS832" s="56"/>
    </row>
    <row r="833" spans="1:4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D833" s="56"/>
      <c r="AE833" s="56"/>
      <c r="AF833" s="56"/>
      <c r="AG833" s="56"/>
      <c r="AH833" s="56"/>
      <c r="AI833" s="56"/>
      <c r="AJ833" s="56"/>
      <c r="AQ833" s="56"/>
      <c r="AR833" s="56"/>
      <c r="AS833" s="56"/>
    </row>
    <row r="834" spans="1:4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D834" s="56"/>
      <c r="AE834" s="56"/>
      <c r="AF834" s="56"/>
      <c r="AG834" s="56"/>
      <c r="AH834" s="56"/>
      <c r="AI834" s="56"/>
      <c r="AJ834" s="56"/>
      <c r="AQ834" s="56"/>
      <c r="AR834" s="56"/>
      <c r="AS834" s="56"/>
    </row>
    <row r="835" spans="1:4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D835" s="56"/>
      <c r="AE835" s="56"/>
      <c r="AF835" s="56"/>
      <c r="AG835" s="56"/>
      <c r="AH835" s="56"/>
      <c r="AI835" s="56"/>
      <c r="AJ835" s="56"/>
      <c r="AQ835" s="56"/>
      <c r="AR835" s="56"/>
      <c r="AS835" s="56"/>
    </row>
    <row r="836" spans="1:4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D836" s="56"/>
      <c r="AE836" s="56"/>
      <c r="AF836" s="56"/>
      <c r="AG836" s="56"/>
      <c r="AH836" s="56"/>
      <c r="AI836" s="56"/>
      <c r="AJ836" s="56"/>
      <c r="AQ836" s="56"/>
      <c r="AR836" s="56"/>
      <c r="AS836" s="56"/>
    </row>
    <row r="837" spans="1:4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D837" s="56"/>
      <c r="AE837" s="56"/>
      <c r="AF837" s="56"/>
      <c r="AG837" s="56"/>
      <c r="AH837" s="56"/>
      <c r="AI837" s="56"/>
      <c r="AJ837" s="56"/>
      <c r="AQ837" s="56"/>
      <c r="AR837" s="56"/>
      <c r="AS837" s="56"/>
    </row>
    <row r="838" spans="1:4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D838" s="56"/>
      <c r="AE838" s="56"/>
      <c r="AF838" s="56"/>
      <c r="AG838" s="56"/>
      <c r="AH838" s="56"/>
      <c r="AI838" s="56"/>
      <c r="AJ838" s="56"/>
      <c r="AQ838" s="56"/>
      <c r="AR838" s="56"/>
      <c r="AS838" s="56"/>
    </row>
    <row r="839" spans="1:4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D839" s="56"/>
      <c r="AE839" s="56"/>
      <c r="AF839" s="56"/>
      <c r="AG839" s="56"/>
      <c r="AH839" s="56"/>
      <c r="AI839" s="56"/>
      <c r="AJ839" s="56"/>
      <c r="AQ839" s="56"/>
      <c r="AR839" s="56"/>
      <c r="AS839" s="56"/>
    </row>
    <row r="840" spans="1:4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D840" s="56"/>
      <c r="AE840" s="56"/>
      <c r="AF840" s="56"/>
      <c r="AG840" s="56"/>
      <c r="AH840" s="56"/>
      <c r="AI840" s="56"/>
      <c r="AJ840" s="56"/>
      <c r="AQ840" s="56"/>
      <c r="AR840" s="56"/>
      <c r="AS840" s="56"/>
    </row>
    <row r="841" spans="1:4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D841" s="56"/>
      <c r="AE841" s="56"/>
      <c r="AF841" s="56"/>
      <c r="AG841" s="56"/>
      <c r="AH841" s="56"/>
      <c r="AI841" s="56"/>
      <c r="AJ841" s="56"/>
      <c r="AQ841" s="56"/>
      <c r="AR841" s="56"/>
      <c r="AS841" s="56"/>
    </row>
    <row r="842" spans="1:4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D842" s="56"/>
      <c r="AE842" s="56"/>
      <c r="AF842" s="56"/>
      <c r="AG842" s="56"/>
      <c r="AH842" s="56"/>
      <c r="AI842" s="56"/>
      <c r="AJ842" s="56"/>
      <c r="AQ842" s="56"/>
      <c r="AR842" s="56"/>
      <c r="AS842" s="56"/>
    </row>
    <row r="843" spans="1:4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D843" s="56"/>
      <c r="AE843" s="56"/>
      <c r="AF843" s="56"/>
      <c r="AG843" s="56"/>
      <c r="AH843" s="56"/>
      <c r="AI843" s="56"/>
      <c r="AJ843" s="56"/>
      <c r="AQ843" s="56"/>
      <c r="AR843" s="56"/>
      <c r="AS843" s="56"/>
    </row>
    <row r="844" spans="1:4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D844" s="56"/>
      <c r="AE844" s="56"/>
      <c r="AF844" s="56"/>
      <c r="AG844" s="56"/>
      <c r="AH844" s="56"/>
      <c r="AI844" s="56"/>
      <c r="AJ844" s="56"/>
      <c r="AQ844" s="56"/>
      <c r="AR844" s="56"/>
      <c r="AS844" s="56"/>
    </row>
    <row r="845" spans="1:4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D845" s="56"/>
      <c r="AE845" s="56"/>
      <c r="AF845" s="56"/>
      <c r="AG845" s="56"/>
      <c r="AH845" s="56"/>
      <c r="AI845" s="56"/>
      <c r="AJ845" s="56"/>
      <c r="AQ845" s="56"/>
      <c r="AR845" s="56"/>
      <c r="AS845" s="56"/>
    </row>
    <row r="846" spans="1:4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D846" s="56"/>
      <c r="AE846" s="56"/>
      <c r="AF846" s="56"/>
      <c r="AG846" s="56"/>
      <c r="AH846" s="56"/>
      <c r="AI846" s="56"/>
      <c r="AJ846" s="56"/>
      <c r="AQ846" s="56"/>
      <c r="AR846" s="56"/>
      <c r="AS846" s="56"/>
    </row>
    <row r="847" spans="1:4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D847" s="56"/>
      <c r="AE847" s="56"/>
      <c r="AF847" s="56"/>
      <c r="AG847" s="56"/>
      <c r="AH847" s="56"/>
      <c r="AI847" s="56"/>
      <c r="AJ847" s="56"/>
      <c r="AQ847" s="56"/>
      <c r="AR847" s="56"/>
      <c r="AS847" s="56"/>
    </row>
    <row r="848" spans="1:4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D848" s="56"/>
      <c r="AE848" s="56"/>
      <c r="AF848" s="56"/>
      <c r="AG848" s="56"/>
      <c r="AH848" s="56"/>
      <c r="AI848" s="56"/>
      <c r="AJ848" s="56"/>
      <c r="AQ848" s="56"/>
      <c r="AR848" s="56"/>
      <c r="AS848" s="56"/>
    </row>
    <row r="849" spans="1:4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D849" s="56"/>
      <c r="AE849" s="56"/>
      <c r="AF849" s="56"/>
      <c r="AG849" s="56"/>
      <c r="AH849" s="56"/>
      <c r="AI849" s="56"/>
      <c r="AJ849" s="56"/>
      <c r="AQ849" s="56"/>
      <c r="AR849" s="56"/>
      <c r="AS849" s="56"/>
    </row>
    <row r="850" spans="1:4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D850" s="56"/>
      <c r="AE850" s="56"/>
      <c r="AF850" s="56"/>
      <c r="AG850" s="56"/>
      <c r="AH850" s="56"/>
      <c r="AI850" s="56"/>
      <c r="AJ850" s="56"/>
      <c r="AQ850" s="56"/>
      <c r="AR850" s="56"/>
      <c r="AS850" s="56"/>
    </row>
    <row r="851" spans="1:4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D851" s="56"/>
      <c r="AE851" s="56"/>
      <c r="AF851" s="56"/>
      <c r="AG851" s="56"/>
      <c r="AH851" s="56"/>
      <c r="AI851" s="56"/>
      <c r="AJ851" s="56"/>
      <c r="AQ851" s="56"/>
      <c r="AR851" s="56"/>
      <c r="AS851" s="56"/>
    </row>
    <row r="852" spans="1:4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D852" s="56"/>
      <c r="AE852" s="56"/>
      <c r="AF852" s="56"/>
      <c r="AG852" s="56"/>
      <c r="AH852" s="56"/>
      <c r="AI852" s="56"/>
      <c r="AJ852" s="56"/>
      <c r="AQ852" s="56"/>
      <c r="AR852" s="56"/>
      <c r="AS852" s="56"/>
    </row>
    <row r="853" spans="1:4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D853" s="56"/>
      <c r="AE853" s="56"/>
      <c r="AF853" s="56"/>
      <c r="AG853" s="56"/>
      <c r="AH853" s="56"/>
      <c r="AI853" s="56"/>
      <c r="AJ853" s="56"/>
      <c r="AQ853" s="56"/>
      <c r="AR853" s="56"/>
      <c r="AS853" s="56"/>
    </row>
    <row r="854" spans="1:4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D854" s="56"/>
      <c r="AE854" s="56"/>
      <c r="AF854" s="56"/>
      <c r="AG854" s="56"/>
      <c r="AH854" s="56"/>
      <c r="AI854" s="56"/>
      <c r="AJ854" s="56"/>
      <c r="AQ854" s="56"/>
      <c r="AR854" s="56"/>
      <c r="AS854" s="56"/>
    </row>
    <row r="855" spans="1:4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D855" s="56"/>
      <c r="AE855" s="56"/>
      <c r="AF855" s="56"/>
      <c r="AG855" s="56"/>
      <c r="AH855" s="56"/>
      <c r="AI855" s="56"/>
      <c r="AJ855" s="56"/>
      <c r="AQ855" s="56"/>
      <c r="AR855" s="56"/>
      <c r="AS855" s="56"/>
    </row>
    <row r="856" spans="1:4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D856" s="56"/>
      <c r="AE856" s="56"/>
      <c r="AF856" s="56"/>
      <c r="AG856" s="56"/>
      <c r="AH856" s="56"/>
      <c r="AI856" s="56"/>
      <c r="AJ856" s="56"/>
      <c r="AQ856" s="56"/>
      <c r="AR856" s="56"/>
      <c r="AS856" s="56"/>
    </row>
    <row r="857" spans="1:4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D857" s="56"/>
      <c r="AE857" s="56"/>
      <c r="AF857" s="56"/>
      <c r="AG857" s="56"/>
      <c r="AH857" s="56"/>
      <c r="AI857" s="56"/>
      <c r="AJ857" s="56"/>
      <c r="AQ857" s="56"/>
      <c r="AR857" s="56"/>
      <c r="AS857" s="56"/>
    </row>
    <row r="858" spans="1:4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D858" s="56"/>
      <c r="AE858" s="56"/>
      <c r="AF858" s="56"/>
      <c r="AG858" s="56"/>
      <c r="AH858" s="56"/>
      <c r="AI858" s="56"/>
      <c r="AJ858" s="56"/>
      <c r="AQ858" s="56"/>
      <c r="AR858" s="56"/>
      <c r="AS858" s="56"/>
    </row>
    <row r="859" spans="1:4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D859" s="56"/>
      <c r="AE859" s="56"/>
      <c r="AF859" s="56"/>
      <c r="AG859" s="56"/>
      <c r="AH859" s="56"/>
      <c r="AI859" s="56"/>
      <c r="AJ859" s="56"/>
      <c r="AQ859" s="56"/>
      <c r="AR859" s="56"/>
      <c r="AS859" s="56"/>
    </row>
    <row r="860" spans="1:4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D860" s="56"/>
      <c r="AE860" s="56"/>
      <c r="AF860" s="56"/>
      <c r="AG860" s="56"/>
      <c r="AH860" s="56"/>
      <c r="AI860" s="56"/>
      <c r="AJ860" s="56"/>
      <c r="AQ860" s="56"/>
      <c r="AR860" s="56"/>
      <c r="AS860" s="56"/>
    </row>
    <row r="861" spans="1:4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D861" s="56"/>
      <c r="AE861" s="56"/>
      <c r="AF861" s="56"/>
      <c r="AG861" s="56"/>
      <c r="AH861" s="56"/>
      <c r="AI861" s="56"/>
      <c r="AJ861" s="56"/>
      <c r="AQ861" s="56"/>
      <c r="AR861" s="56"/>
      <c r="AS861" s="56"/>
    </row>
    <row r="862" spans="1:4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D862" s="56"/>
      <c r="AE862" s="56"/>
      <c r="AF862" s="56"/>
      <c r="AG862" s="56"/>
      <c r="AH862" s="56"/>
      <c r="AI862" s="56"/>
      <c r="AJ862" s="56"/>
      <c r="AQ862" s="56"/>
      <c r="AR862" s="56"/>
      <c r="AS862" s="56"/>
    </row>
    <row r="863" spans="1:4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D863" s="56"/>
      <c r="AE863" s="56"/>
      <c r="AF863" s="56"/>
      <c r="AG863" s="56"/>
      <c r="AH863" s="56"/>
      <c r="AI863" s="56"/>
      <c r="AJ863" s="56"/>
      <c r="AQ863" s="56"/>
      <c r="AR863" s="56"/>
      <c r="AS863" s="56"/>
    </row>
    <row r="864" spans="1:4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D864" s="56"/>
      <c r="AE864" s="56"/>
      <c r="AF864" s="56"/>
      <c r="AG864" s="56"/>
      <c r="AH864" s="56"/>
      <c r="AI864" s="56"/>
      <c r="AJ864" s="56"/>
      <c r="AQ864" s="56"/>
      <c r="AR864" s="56"/>
      <c r="AS864" s="56"/>
    </row>
    <row r="865" spans="1:4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D865" s="56"/>
      <c r="AE865" s="56"/>
      <c r="AF865" s="56"/>
      <c r="AG865" s="56"/>
      <c r="AH865" s="56"/>
      <c r="AI865" s="56"/>
      <c r="AJ865" s="56"/>
      <c r="AQ865" s="56"/>
      <c r="AR865" s="56"/>
      <c r="AS865" s="56"/>
    </row>
    <row r="866" spans="1:4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D866" s="56"/>
      <c r="AE866" s="56"/>
      <c r="AF866" s="56"/>
      <c r="AG866" s="56"/>
      <c r="AH866" s="56"/>
      <c r="AI866" s="56"/>
      <c r="AJ866" s="56"/>
      <c r="AQ866" s="56"/>
      <c r="AR866" s="56"/>
      <c r="AS866" s="56"/>
    </row>
    <row r="867" spans="1:4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D867" s="56"/>
      <c r="AE867" s="56"/>
      <c r="AF867" s="56"/>
      <c r="AG867" s="56"/>
      <c r="AH867" s="56"/>
      <c r="AI867" s="56"/>
      <c r="AJ867" s="56"/>
      <c r="AQ867" s="56"/>
      <c r="AR867" s="56"/>
      <c r="AS867" s="56"/>
    </row>
    <row r="868" spans="1:4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D868" s="56"/>
      <c r="AE868" s="56"/>
      <c r="AF868" s="56"/>
      <c r="AG868" s="56"/>
      <c r="AH868" s="56"/>
      <c r="AI868" s="56"/>
      <c r="AJ868" s="56"/>
      <c r="AQ868" s="56"/>
      <c r="AR868" s="56"/>
      <c r="AS868" s="56"/>
    </row>
    <row r="869" spans="1:4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D869" s="56"/>
      <c r="AE869" s="56"/>
      <c r="AF869" s="56"/>
      <c r="AG869" s="56"/>
      <c r="AH869" s="56"/>
      <c r="AI869" s="56"/>
      <c r="AJ869" s="56"/>
      <c r="AQ869" s="56"/>
      <c r="AR869" s="56"/>
      <c r="AS869" s="56"/>
    </row>
    <row r="870" spans="1:4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D870" s="56"/>
      <c r="AE870" s="56"/>
      <c r="AF870" s="56"/>
      <c r="AG870" s="56"/>
      <c r="AH870" s="56"/>
      <c r="AI870" s="56"/>
      <c r="AJ870" s="56"/>
      <c r="AQ870" s="56"/>
      <c r="AR870" s="56"/>
      <c r="AS870" s="56"/>
    </row>
    <row r="871" spans="1:4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D871" s="56"/>
      <c r="AE871" s="56"/>
      <c r="AF871" s="56"/>
      <c r="AG871" s="56"/>
      <c r="AH871" s="56"/>
      <c r="AI871" s="56"/>
      <c r="AJ871" s="56"/>
      <c r="AQ871" s="56"/>
      <c r="AR871" s="56"/>
      <c r="AS871" s="56"/>
    </row>
    <row r="872" spans="1:4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D872" s="56"/>
      <c r="AE872" s="56"/>
      <c r="AF872" s="56"/>
      <c r="AG872" s="56"/>
      <c r="AH872" s="56"/>
      <c r="AI872" s="56"/>
      <c r="AJ872" s="56"/>
      <c r="AQ872" s="56"/>
      <c r="AR872" s="56"/>
      <c r="AS872" s="56"/>
    </row>
    <row r="873" spans="1:4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D873" s="56"/>
      <c r="AE873" s="56"/>
      <c r="AF873" s="56"/>
      <c r="AG873" s="56"/>
      <c r="AH873" s="56"/>
      <c r="AI873" s="56"/>
      <c r="AJ873" s="56"/>
      <c r="AQ873" s="56"/>
      <c r="AR873" s="56"/>
      <c r="AS873" s="56"/>
    </row>
    <row r="874" spans="1:4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D874" s="56"/>
      <c r="AE874" s="56"/>
      <c r="AF874" s="56"/>
      <c r="AG874" s="56"/>
      <c r="AH874" s="56"/>
      <c r="AI874" s="56"/>
      <c r="AJ874" s="56"/>
      <c r="AQ874" s="56"/>
      <c r="AR874" s="56"/>
      <c r="AS874" s="56"/>
    </row>
    <row r="875" spans="1:4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D875" s="56"/>
      <c r="AE875" s="56"/>
      <c r="AF875" s="56"/>
      <c r="AG875" s="56"/>
      <c r="AH875" s="56"/>
      <c r="AI875" s="56"/>
      <c r="AJ875" s="56"/>
      <c r="AQ875" s="56"/>
      <c r="AR875" s="56"/>
      <c r="AS875" s="56"/>
    </row>
    <row r="876" spans="1:4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D876" s="56"/>
      <c r="AE876" s="56"/>
      <c r="AF876" s="56"/>
      <c r="AG876" s="56"/>
      <c r="AH876" s="56"/>
      <c r="AI876" s="56"/>
      <c r="AJ876" s="56"/>
      <c r="AQ876" s="56"/>
      <c r="AR876" s="56"/>
      <c r="AS876" s="56"/>
    </row>
    <row r="877" spans="1:4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D877" s="56"/>
      <c r="AE877" s="56"/>
      <c r="AF877" s="56"/>
      <c r="AG877" s="56"/>
      <c r="AH877" s="56"/>
      <c r="AI877" s="56"/>
      <c r="AJ877" s="56"/>
      <c r="AQ877" s="56"/>
      <c r="AR877" s="56"/>
      <c r="AS877" s="56"/>
    </row>
    <row r="878" spans="1:4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D878" s="56"/>
      <c r="AE878" s="56"/>
      <c r="AF878" s="56"/>
      <c r="AG878" s="56"/>
      <c r="AH878" s="56"/>
      <c r="AI878" s="56"/>
      <c r="AJ878" s="56"/>
      <c r="AQ878" s="56"/>
      <c r="AR878" s="56"/>
      <c r="AS878" s="56"/>
    </row>
    <row r="879" spans="1:4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D879" s="56"/>
      <c r="AE879" s="56"/>
      <c r="AF879" s="56"/>
      <c r="AG879" s="56"/>
      <c r="AH879" s="56"/>
      <c r="AI879" s="56"/>
      <c r="AJ879" s="56"/>
      <c r="AQ879" s="56"/>
      <c r="AR879" s="56"/>
      <c r="AS879" s="56"/>
    </row>
    <row r="880" spans="1:4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D880" s="56"/>
      <c r="AE880" s="56"/>
      <c r="AF880" s="56"/>
      <c r="AG880" s="56"/>
      <c r="AH880" s="56"/>
      <c r="AI880" s="56"/>
      <c r="AJ880" s="56"/>
      <c r="AQ880" s="56"/>
      <c r="AR880" s="56"/>
      <c r="AS880" s="56"/>
    </row>
    <row r="881" spans="1:4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D881" s="56"/>
      <c r="AE881" s="56"/>
      <c r="AF881" s="56"/>
      <c r="AG881" s="56"/>
      <c r="AH881" s="56"/>
      <c r="AI881" s="56"/>
      <c r="AJ881" s="56"/>
      <c r="AQ881" s="56"/>
      <c r="AR881" s="56"/>
      <c r="AS881" s="56"/>
    </row>
    <row r="882" spans="1:4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D882" s="56"/>
      <c r="AE882" s="56"/>
      <c r="AF882" s="56"/>
      <c r="AG882" s="56"/>
      <c r="AH882" s="56"/>
      <c r="AI882" s="56"/>
      <c r="AJ882" s="56"/>
      <c r="AQ882" s="56"/>
      <c r="AR882" s="56"/>
      <c r="AS882" s="56"/>
    </row>
    <row r="883" spans="1:4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D883" s="56"/>
      <c r="AE883" s="56"/>
      <c r="AF883" s="56"/>
      <c r="AG883" s="56"/>
      <c r="AH883" s="56"/>
      <c r="AI883" s="56"/>
      <c r="AJ883" s="56"/>
      <c r="AQ883" s="56"/>
      <c r="AR883" s="56"/>
      <c r="AS883" s="56"/>
    </row>
    <row r="884" spans="1:4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D884" s="56"/>
      <c r="AE884" s="56"/>
      <c r="AF884" s="56"/>
      <c r="AG884" s="56"/>
      <c r="AH884" s="56"/>
      <c r="AI884" s="56"/>
      <c r="AJ884" s="56"/>
      <c r="AQ884" s="56"/>
      <c r="AR884" s="56"/>
      <c r="AS884" s="56"/>
    </row>
    <row r="885" spans="1:4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D885" s="56"/>
      <c r="AE885" s="56"/>
      <c r="AF885" s="56"/>
      <c r="AG885" s="56"/>
      <c r="AH885" s="56"/>
      <c r="AI885" s="56"/>
      <c r="AJ885" s="56"/>
      <c r="AQ885" s="56"/>
      <c r="AR885" s="56"/>
      <c r="AS885" s="56"/>
    </row>
    <row r="886" spans="1:4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D886" s="56"/>
      <c r="AE886" s="56"/>
      <c r="AF886" s="56"/>
      <c r="AG886" s="56"/>
      <c r="AH886" s="56"/>
      <c r="AI886" s="56"/>
      <c r="AJ886" s="56"/>
      <c r="AQ886" s="56"/>
      <c r="AR886" s="56"/>
      <c r="AS886" s="56"/>
    </row>
    <row r="887" spans="1:4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D887" s="56"/>
      <c r="AE887" s="56"/>
      <c r="AF887" s="56"/>
      <c r="AG887" s="56"/>
      <c r="AH887" s="56"/>
      <c r="AI887" s="56"/>
      <c r="AJ887" s="56"/>
      <c r="AQ887" s="56"/>
      <c r="AR887" s="56"/>
      <c r="AS887" s="56"/>
    </row>
    <row r="888" spans="1:4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D888" s="56"/>
      <c r="AE888" s="56"/>
      <c r="AF888" s="56"/>
      <c r="AG888" s="56"/>
      <c r="AH888" s="56"/>
      <c r="AI888" s="56"/>
      <c r="AJ888" s="56"/>
      <c r="AQ888" s="56"/>
      <c r="AR888" s="56"/>
      <c r="AS888" s="56"/>
    </row>
    <row r="889" spans="1:4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D889" s="56"/>
      <c r="AE889" s="56"/>
      <c r="AF889" s="56"/>
      <c r="AG889" s="56"/>
      <c r="AH889" s="56"/>
      <c r="AI889" s="56"/>
      <c r="AJ889" s="56"/>
      <c r="AQ889" s="56"/>
      <c r="AR889" s="56"/>
      <c r="AS889" s="56"/>
    </row>
    <row r="890" spans="1:4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D890" s="56"/>
      <c r="AE890" s="56"/>
      <c r="AF890" s="56"/>
      <c r="AG890" s="56"/>
      <c r="AH890" s="56"/>
      <c r="AI890" s="56"/>
      <c r="AJ890" s="56"/>
      <c r="AQ890" s="56"/>
      <c r="AR890" s="56"/>
      <c r="AS890" s="56"/>
    </row>
    <row r="891" spans="1:4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D891" s="56"/>
      <c r="AE891" s="56"/>
      <c r="AF891" s="56"/>
      <c r="AG891" s="56"/>
      <c r="AH891" s="56"/>
      <c r="AI891" s="56"/>
      <c r="AJ891" s="56"/>
      <c r="AQ891" s="56"/>
      <c r="AR891" s="56"/>
      <c r="AS891" s="56"/>
    </row>
    <row r="892" spans="1:4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D892" s="56"/>
      <c r="AE892" s="56"/>
      <c r="AF892" s="56"/>
      <c r="AG892" s="56"/>
      <c r="AH892" s="56"/>
      <c r="AI892" s="56"/>
      <c r="AJ892" s="56"/>
      <c r="AQ892" s="56"/>
      <c r="AR892" s="56"/>
      <c r="AS892" s="56"/>
    </row>
    <row r="893" spans="1:4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D893" s="56"/>
      <c r="AE893" s="56"/>
      <c r="AF893" s="56"/>
      <c r="AG893" s="56"/>
      <c r="AH893" s="56"/>
      <c r="AI893" s="56"/>
      <c r="AJ893" s="56"/>
      <c r="AQ893" s="56"/>
      <c r="AR893" s="56"/>
      <c r="AS893" s="56"/>
    </row>
    <row r="894" spans="1:4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D894" s="56"/>
      <c r="AE894" s="56"/>
      <c r="AF894" s="56"/>
      <c r="AG894" s="56"/>
      <c r="AH894" s="56"/>
      <c r="AI894" s="56"/>
      <c r="AJ894" s="56"/>
      <c r="AQ894" s="56"/>
      <c r="AR894" s="56"/>
      <c r="AS894" s="56"/>
    </row>
    <row r="895" spans="1:4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D895" s="56"/>
      <c r="AE895" s="56"/>
      <c r="AF895" s="56"/>
      <c r="AG895" s="56"/>
      <c r="AH895" s="56"/>
      <c r="AI895" s="56"/>
      <c r="AJ895" s="56"/>
      <c r="AQ895" s="56"/>
      <c r="AR895" s="56"/>
      <c r="AS895" s="56"/>
    </row>
    <row r="896" spans="1:4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D896" s="56"/>
      <c r="AE896" s="56"/>
      <c r="AF896" s="56"/>
      <c r="AG896" s="56"/>
      <c r="AH896" s="56"/>
      <c r="AI896" s="56"/>
      <c r="AJ896" s="56"/>
      <c r="AQ896" s="56"/>
      <c r="AR896" s="56"/>
      <c r="AS896" s="56"/>
    </row>
    <row r="897" spans="1:4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D897" s="56"/>
      <c r="AE897" s="56"/>
      <c r="AF897" s="56"/>
      <c r="AG897" s="56"/>
      <c r="AH897" s="56"/>
      <c r="AI897" s="56"/>
      <c r="AJ897" s="56"/>
      <c r="AQ897" s="56"/>
      <c r="AR897" s="56"/>
      <c r="AS897" s="56"/>
    </row>
    <row r="898" spans="1:4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D898" s="56"/>
      <c r="AE898" s="56"/>
      <c r="AF898" s="56"/>
      <c r="AG898" s="56"/>
      <c r="AH898" s="56"/>
      <c r="AI898" s="56"/>
      <c r="AJ898" s="56"/>
      <c r="AQ898" s="56"/>
      <c r="AR898" s="56"/>
      <c r="AS898" s="56"/>
    </row>
    <row r="899" spans="1:4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D899" s="56"/>
      <c r="AE899" s="56"/>
      <c r="AF899" s="56"/>
      <c r="AG899" s="56"/>
      <c r="AH899" s="56"/>
      <c r="AI899" s="56"/>
      <c r="AJ899" s="56"/>
      <c r="AQ899" s="56"/>
      <c r="AR899" s="56"/>
      <c r="AS899" s="56"/>
    </row>
    <row r="900" spans="1:4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D900" s="56"/>
      <c r="AE900" s="56"/>
      <c r="AF900" s="56"/>
      <c r="AG900" s="56"/>
      <c r="AH900" s="56"/>
      <c r="AI900" s="56"/>
      <c r="AJ900" s="56"/>
      <c r="AQ900" s="56"/>
      <c r="AR900" s="56"/>
      <c r="AS900" s="56"/>
    </row>
    <row r="901" spans="1:4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D901" s="56"/>
      <c r="AE901" s="56"/>
      <c r="AF901" s="56"/>
      <c r="AG901" s="56"/>
      <c r="AH901" s="56"/>
      <c r="AI901" s="56"/>
      <c r="AJ901" s="56"/>
      <c r="AQ901" s="56"/>
      <c r="AR901" s="56"/>
      <c r="AS901" s="56"/>
    </row>
    <row r="902" spans="1:4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D902" s="56"/>
      <c r="AE902" s="56"/>
      <c r="AF902" s="56"/>
      <c r="AG902" s="56"/>
      <c r="AH902" s="56"/>
      <c r="AI902" s="56"/>
      <c r="AJ902" s="56"/>
      <c r="AQ902" s="56"/>
      <c r="AR902" s="56"/>
      <c r="AS902" s="56"/>
    </row>
    <row r="903" spans="1:4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D903" s="56"/>
      <c r="AE903" s="56"/>
      <c r="AF903" s="56"/>
      <c r="AG903" s="56"/>
      <c r="AH903" s="56"/>
      <c r="AI903" s="56"/>
      <c r="AJ903" s="56"/>
      <c r="AQ903" s="56"/>
      <c r="AR903" s="56"/>
      <c r="AS903" s="56"/>
    </row>
    <row r="904" spans="1:4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D904" s="56"/>
      <c r="AE904" s="56"/>
      <c r="AF904" s="56"/>
      <c r="AG904" s="56"/>
      <c r="AH904" s="56"/>
      <c r="AI904" s="56"/>
      <c r="AJ904" s="56"/>
      <c r="AQ904" s="56"/>
      <c r="AR904" s="56"/>
      <c r="AS904" s="56"/>
    </row>
    <row r="905" spans="1:4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D905" s="56"/>
      <c r="AE905" s="56"/>
      <c r="AF905" s="56"/>
      <c r="AG905" s="56"/>
      <c r="AH905" s="56"/>
      <c r="AI905" s="56"/>
      <c r="AJ905" s="56"/>
      <c r="AQ905" s="56"/>
      <c r="AR905" s="56"/>
      <c r="AS905" s="56"/>
    </row>
    <row r="906" spans="1:4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D906" s="56"/>
      <c r="AE906" s="56"/>
      <c r="AF906" s="56"/>
      <c r="AG906" s="56"/>
      <c r="AH906" s="56"/>
      <c r="AI906" s="56"/>
      <c r="AJ906" s="56"/>
      <c r="AQ906" s="56"/>
      <c r="AR906" s="56"/>
      <c r="AS906" s="56"/>
    </row>
    <row r="907" spans="1:4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D907" s="56"/>
      <c r="AE907" s="56"/>
      <c r="AF907" s="56"/>
      <c r="AG907" s="56"/>
      <c r="AH907" s="56"/>
      <c r="AI907" s="56"/>
      <c r="AJ907" s="56"/>
      <c r="AQ907" s="56"/>
      <c r="AR907" s="56"/>
      <c r="AS907" s="56"/>
    </row>
    <row r="908" spans="1:4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D908" s="56"/>
      <c r="AE908" s="56"/>
      <c r="AF908" s="56"/>
      <c r="AG908" s="56"/>
      <c r="AH908" s="56"/>
      <c r="AI908" s="56"/>
      <c r="AJ908" s="56"/>
      <c r="AQ908" s="56"/>
      <c r="AR908" s="56"/>
      <c r="AS908" s="56"/>
    </row>
    <row r="909" spans="1:4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D909" s="56"/>
      <c r="AE909" s="56"/>
      <c r="AF909" s="56"/>
      <c r="AG909" s="56"/>
      <c r="AH909" s="56"/>
      <c r="AI909" s="56"/>
      <c r="AJ909" s="56"/>
      <c r="AQ909" s="56"/>
      <c r="AR909" s="56"/>
      <c r="AS909" s="56"/>
    </row>
    <row r="910" spans="1:4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D910" s="56"/>
      <c r="AE910" s="56"/>
      <c r="AF910" s="56"/>
      <c r="AG910" s="56"/>
      <c r="AH910" s="56"/>
      <c r="AI910" s="56"/>
      <c r="AJ910" s="56"/>
      <c r="AQ910" s="56"/>
      <c r="AR910" s="56"/>
      <c r="AS910" s="56"/>
    </row>
    <row r="911" spans="1:4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D911" s="56"/>
      <c r="AE911" s="56"/>
      <c r="AF911" s="56"/>
      <c r="AG911" s="56"/>
      <c r="AH911" s="56"/>
      <c r="AI911" s="56"/>
      <c r="AJ911" s="56"/>
      <c r="AQ911" s="56"/>
      <c r="AR911" s="56"/>
      <c r="AS911" s="56"/>
    </row>
    <row r="912" spans="1:4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D912" s="56"/>
      <c r="AE912" s="56"/>
      <c r="AF912" s="56"/>
      <c r="AG912" s="56"/>
      <c r="AH912" s="56"/>
      <c r="AI912" s="56"/>
      <c r="AJ912" s="56"/>
      <c r="AQ912" s="56"/>
      <c r="AR912" s="56"/>
      <c r="AS912" s="56"/>
    </row>
    <row r="913" spans="1:4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D913" s="56"/>
      <c r="AE913" s="56"/>
      <c r="AF913" s="56"/>
      <c r="AG913" s="56"/>
      <c r="AH913" s="56"/>
      <c r="AI913" s="56"/>
      <c r="AJ913" s="56"/>
      <c r="AQ913" s="56"/>
      <c r="AR913" s="56"/>
      <c r="AS913" s="56"/>
    </row>
    <row r="914" spans="1:4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D914" s="56"/>
      <c r="AE914" s="56"/>
      <c r="AF914" s="56"/>
      <c r="AG914" s="56"/>
      <c r="AH914" s="56"/>
      <c r="AI914" s="56"/>
      <c r="AJ914" s="56"/>
      <c r="AQ914" s="56"/>
      <c r="AR914" s="56"/>
      <c r="AS914" s="56"/>
    </row>
    <row r="915" spans="1:4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D915" s="56"/>
      <c r="AE915" s="56"/>
      <c r="AF915" s="56"/>
      <c r="AG915" s="56"/>
      <c r="AH915" s="56"/>
      <c r="AI915" s="56"/>
      <c r="AJ915" s="56"/>
      <c r="AQ915" s="56"/>
      <c r="AR915" s="56"/>
      <c r="AS915" s="56"/>
    </row>
    <row r="916" spans="1:4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D916" s="56"/>
      <c r="AE916" s="56"/>
      <c r="AF916" s="56"/>
      <c r="AG916" s="56"/>
      <c r="AH916" s="56"/>
      <c r="AI916" s="56"/>
      <c r="AJ916" s="56"/>
      <c r="AQ916" s="56"/>
      <c r="AR916" s="56"/>
      <c r="AS916" s="56"/>
    </row>
    <row r="917" spans="1:4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D917" s="56"/>
      <c r="AE917" s="56"/>
      <c r="AF917" s="56"/>
      <c r="AG917" s="56"/>
      <c r="AH917" s="56"/>
      <c r="AI917" s="56"/>
      <c r="AJ917" s="56"/>
      <c r="AQ917" s="56"/>
      <c r="AR917" s="56"/>
      <c r="AS917" s="56"/>
    </row>
    <row r="918" spans="1:4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D918" s="56"/>
      <c r="AE918" s="56"/>
      <c r="AF918" s="56"/>
      <c r="AG918" s="56"/>
      <c r="AH918" s="56"/>
      <c r="AI918" s="56"/>
      <c r="AJ918" s="56"/>
      <c r="AQ918" s="56"/>
      <c r="AR918" s="56"/>
      <c r="AS918" s="56"/>
    </row>
    <row r="919" spans="1:4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D919" s="56"/>
      <c r="AE919" s="56"/>
      <c r="AF919" s="56"/>
      <c r="AG919" s="56"/>
      <c r="AH919" s="56"/>
      <c r="AI919" s="56"/>
      <c r="AJ919" s="56"/>
      <c r="AQ919" s="56"/>
      <c r="AR919" s="56"/>
      <c r="AS919" s="56"/>
    </row>
    <row r="920" spans="1:4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D920" s="56"/>
      <c r="AE920" s="56"/>
      <c r="AF920" s="56"/>
      <c r="AG920" s="56"/>
      <c r="AH920" s="56"/>
      <c r="AI920" s="56"/>
      <c r="AJ920" s="56"/>
      <c r="AQ920" s="56"/>
      <c r="AR920" s="56"/>
      <c r="AS920" s="56"/>
    </row>
    <row r="921" spans="1:4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D921" s="56"/>
      <c r="AE921" s="56"/>
      <c r="AF921" s="56"/>
      <c r="AG921" s="56"/>
      <c r="AH921" s="56"/>
      <c r="AI921" s="56"/>
      <c r="AJ921" s="56"/>
      <c r="AQ921" s="56"/>
      <c r="AR921" s="56"/>
      <c r="AS921" s="56"/>
    </row>
    <row r="922" spans="1:4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D922" s="56"/>
      <c r="AE922" s="56"/>
      <c r="AF922" s="56"/>
      <c r="AG922" s="56"/>
      <c r="AH922" s="56"/>
      <c r="AI922" s="56"/>
      <c r="AJ922" s="56"/>
      <c r="AQ922" s="56"/>
      <c r="AR922" s="56"/>
      <c r="AS922" s="56"/>
    </row>
    <row r="923" spans="1:4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D923" s="56"/>
      <c r="AE923" s="56"/>
      <c r="AF923" s="56"/>
      <c r="AG923" s="56"/>
      <c r="AH923" s="56"/>
      <c r="AI923" s="56"/>
      <c r="AJ923" s="56"/>
      <c r="AQ923" s="56"/>
      <c r="AR923" s="56"/>
      <c r="AS923" s="56"/>
    </row>
    <row r="924" spans="1:4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D924" s="56"/>
      <c r="AE924" s="56"/>
      <c r="AF924" s="56"/>
      <c r="AG924" s="56"/>
      <c r="AH924" s="56"/>
      <c r="AI924" s="56"/>
      <c r="AJ924" s="56"/>
      <c r="AQ924" s="56"/>
      <c r="AR924" s="56"/>
      <c r="AS924" s="56"/>
    </row>
    <row r="925" spans="1:4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D925" s="56"/>
      <c r="AE925" s="56"/>
      <c r="AF925" s="56"/>
      <c r="AG925" s="56"/>
      <c r="AH925" s="56"/>
      <c r="AI925" s="56"/>
      <c r="AJ925" s="56"/>
      <c r="AQ925" s="56"/>
      <c r="AR925" s="56"/>
      <c r="AS925" s="56"/>
    </row>
    <row r="926" spans="1:4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D926" s="56"/>
      <c r="AE926" s="56"/>
      <c r="AF926" s="56"/>
      <c r="AG926" s="56"/>
      <c r="AH926" s="56"/>
      <c r="AI926" s="56"/>
      <c r="AJ926" s="56"/>
      <c r="AQ926" s="56"/>
      <c r="AR926" s="56"/>
      <c r="AS926" s="56"/>
    </row>
    <row r="927" spans="1:4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D927" s="56"/>
      <c r="AE927" s="56"/>
      <c r="AF927" s="56"/>
      <c r="AG927" s="56"/>
      <c r="AH927" s="56"/>
      <c r="AI927" s="56"/>
      <c r="AJ927" s="56"/>
      <c r="AQ927" s="56"/>
      <c r="AR927" s="56"/>
      <c r="AS927" s="56"/>
    </row>
    <row r="928" spans="1:4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D928" s="56"/>
      <c r="AE928" s="56"/>
      <c r="AF928" s="56"/>
      <c r="AG928" s="56"/>
      <c r="AH928" s="56"/>
      <c r="AI928" s="56"/>
      <c r="AJ928" s="56"/>
      <c r="AQ928" s="56"/>
      <c r="AR928" s="56"/>
      <c r="AS928" s="56"/>
    </row>
    <row r="929" spans="1:4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D929" s="56"/>
      <c r="AE929" s="56"/>
      <c r="AF929" s="56"/>
      <c r="AG929" s="56"/>
      <c r="AH929" s="56"/>
      <c r="AI929" s="56"/>
      <c r="AJ929" s="56"/>
      <c r="AQ929" s="56"/>
      <c r="AR929" s="56"/>
      <c r="AS929" s="56"/>
    </row>
    <row r="930" spans="1:4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D930" s="56"/>
      <c r="AE930" s="56"/>
      <c r="AF930" s="56"/>
      <c r="AG930" s="56"/>
      <c r="AH930" s="56"/>
      <c r="AI930" s="56"/>
      <c r="AJ930" s="56"/>
      <c r="AQ930" s="56"/>
      <c r="AR930" s="56"/>
      <c r="AS930" s="56"/>
    </row>
    <row r="931" spans="1:4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D931" s="56"/>
      <c r="AE931" s="56"/>
      <c r="AF931" s="56"/>
      <c r="AG931" s="56"/>
      <c r="AH931" s="56"/>
      <c r="AI931" s="56"/>
      <c r="AJ931" s="56"/>
      <c r="AQ931" s="56"/>
      <c r="AR931" s="56"/>
      <c r="AS931" s="56"/>
    </row>
    <row r="932" spans="1:4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D932" s="56"/>
      <c r="AE932" s="56"/>
      <c r="AF932" s="56"/>
      <c r="AG932" s="56"/>
      <c r="AH932" s="56"/>
      <c r="AI932" s="56"/>
      <c r="AJ932" s="56"/>
      <c r="AQ932" s="56"/>
      <c r="AR932" s="56"/>
      <c r="AS932" s="56"/>
    </row>
    <row r="933" spans="1:4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D933" s="56"/>
      <c r="AE933" s="56"/>
      <c r="AF933" s="56"/>
      <c r="AG933" s="56"/>
      <c r="AH933" s="56"/>
      <c r="AI933" s="56"/>
      <c r="AJ933" s="56"/>
      <c r="AQ933" s="56"/>
      <c r="AR933" s="56"/>
      <c r="AS933" s="56"/>
    </row>
    <row r="934" spans="1:4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D934" s="56"/>
      <c r="AE934" s="56"/>
      <c r="AF934" s="56"/>
      <c r="AG934" s="56"/>
      <c r="AH934" s="56"/>
      <c r="AI934" s="56"/>
      <c r="AJ934" s="56"/>
      <c r="AQ934" s="56"/>
      <c r="AR934" s="56"/>
      <c r="AS934" s="56"/>
    </row>
    <row r="935" spans="1:4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D935" s="56"/>
      <c r="AE935" s="56"/>
      <c r="AF935" s="56"/>
      <c r="AG935" s="56"/>
      <c r="AH935" s="56"/>
      <c r="AI935" s="56"/>
      <c r="AJ935" s="56"/>
      <c r="AQ935" s="56"/>
      <c r="AR935" s="56"/>
      <c r="AS935" s="56"/>
    </row>
    <row r="936" spans="1:4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D936" s="56"/>
      <c r="AE936" s="56"/>
      <c r="AF936" s="56"/>
      <c r="AG936" s="56"/>
      <c r="AH936" s="56"/>
      <c r="AI936" s="56"/>
      <c r="AJ936" s="56"/>
      <c r="AQ936" s="56"/>
      <c r="AR936" s="56"/>
      <c r="AS936" s="56"/>
    </row>
    <row r="937" spans="1:4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D937" s="56"/>
      <c r="AE937" s="56"/>
      <c r="AF937" s="56"/>
      <c r="AG937" s="56"/>
      <c r="AH937" s="56"/>
      <c r="AI937" s="56"/>
      <c r="AJ937" s="56"/>
      <c r="AQ937" s="56"/>
      <c r="AR937" s="56"/>
      <c r="AS937" s="56"/>
    </row>
    <row r="938" spans="1:4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D938" s="56"/>
      <c r="AE938" s="56"/>
      <c r="AF938" s="56"/>
      <c r="AG938" s="56"/>
      <c r="AH938" s="56"/>
      <c r="AI938" s="56"/>
      <c r="AJ938" s="56"/>
      <c r="AQ938" s="56"/>
      <c r="AR938" s="56"/>
      <c r="AS938" s="56"/>
    </row>
    <row r="939" spans="1:4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D939" s="56"/>
      <c r="AE939" s="56"/>
      <c r="AF939" s="56"/>
      <c r="AG939" s="56"/>
      <c r="AH939" s="56"/>
      <c r="AI939" s="56"/>
      <c r="AJ939" s="56"/>
      <c r="AQ939" s="56"/>
      <c r="AR939" s="56"/>
      <c r="AS939" s="56"/>
    </row>
    <row r="940" spans="1:4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D940" s="56"/>
      <c r="AE940" s="56"/>
      <c r="AF940" s="56"/>
      <c r="AG940" s="56"/>
      <c r="AH940" s="56"/>
      <c r="AI940" s="56"/>
      <c r="AJ940" s="56"/>
      <c r="AQ940" s="56"/>
      <c r="AR940" s="56"/>
      <c r="AS940" s="56"/>
    </row>
    <row r="941" spans="1:4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D941" s="56"/>
      <c r="AE941" s="56"/>
      <c r="AF941" s="56"/>
      <c r="AG941" s="56"/>
      <c r="AH941" s="56"/>
      <c r="AI941" s="56"/>
      <c r="AJ941" s="56"/>
      <c r="AQ941" s="56"/>
      <c r="AR941" s="56"/>
      <c r="AS941" s="56"/>
    </row>
    <row r="942" spans="1:4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D942" s="56"/>
      <c r="AE942" s="56"/>
      <c r="AF942" s="56"/>
      <c r="AG942" s="56"/>
      <c r="AH942" s="56"/>
      <c r="AI942" s="56"/>
      <c r="AJ942" s="56"/>
      <c r="AQ942" s="56"/>
      <c r="AR942" s="56"/>
      <c r="AS942" s="56"/>
    </row>
    <row r="943" spans="1:4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D943" s="56"/>
      <c r="AE943" s="56"/>
      <c r="AF943" s="56"/>
      <c r="AG943" s="56"/>
      <c r="AH943" s="56"/>
      <c r="AI943" s="56"/>
      <c r="AJ943" s="56"/>
      <c r="AQ943" s="56"/>
      <c r="AR943" s="56"/>
      <c r="AS943" s="56"/>
    </row>
    <row r="944" spans="1:4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D944" s="56"/>
      <c r="AE944" s="56"/>
      <c r="AF944" s="56"/>
      <c r="AG944" s="56"/>
      <c r="AH944" s="56"/>
      <c r="AI944" s="56"/>
      <c r="AJ944" s="56"/>
      <c r="AQ944" s="56"/>
      <c r="AR944" s="56"/>
      <c r="AS944" s="56"/>
    </row>
    <row r="945" spans="1:4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D945" s="56"/>
      <c r="AE945" s="56"/>
      <c r="AF945" s="56"/>
      <c r="AG945" s="56"/>
      <c r="AH945" s="56"/>
      <c r="AI945" s="56"/>
      <c r="AJ945" s="56"/>
      <c r="AQ945" s="56"/>
      <c r="AR945" s="56"/>
      <c r="AS945" s="56"/>
    </row>
    <row r="946" spans="1:4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D946" s="56"/>
      <c r="AE946" s="56"/>
      <c r="AF946" s="56"/>
      <c r="AG946" s="56"/>
      <c r="AH946" s="56"/>
      <c r="AI946" s="56"/>
      <c r="AJ946" s="56"/>
      <c r="AQ946" s="56"/>
      <c r="AR946" s="56"/>
      <c r="AS946" s="56"/>
    </row>
    <row r="947" spans="1:4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D947" s="56"/>
      <c r="AE947" s="56"/>
      <c r="AF947" s="56"/>
      <c r="AG947" s="56"/>
      <c r="AH947" s="56"/>
      <c r="AI947" s="56"/>
      <c r="AJ947" s="56"/>
      <c r="AQ947" s="56"/>
      <c r="AR947" s="56"/>
      <c r="AS947" s="56"/>
    </row>
    <row r="948" spans="1:4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D948" s="56"/>
      <c r="AE948" s="56"/>
      <c r="AF948" s="56"/>
      <c r="AG948" s="56"/>
      <c r="AH948" s="56"/>
      <c r="AI948" s="56"/>
      <c r="AJ948" s="56"/>
      <c r="AQ948" s="56"/>
      <c r="AR948" s="56"/>
      <c r="AS948" s="56"/>
    </row>
    <row r="949" spans="1:4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D949" s="56"/>
      <c r="AE949" s="56"/>
      <c r="AF949" s="56"/>
      <c r="AG949" s="56"/>
      <c r="AH949" s="56"/>
      <c r="AI949" s="56"/>
      <c r="AJ949" s="56"/>
      <c r="AQ949" s="56"/>
      <c r="AR949" s="56"/>
      <c r="AS949" s="56"/>
    </row>
    <row r="950" spans="1:4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D950" s="56"/>
      <c r="AE950" s="56"/>
      <c r="AF950" s="56"/>
      <c r="AG950" s="56"/>
      <c r="AH950" s="56"/>
      <c r="AI950" s="56"/>
      <c r="AJ950" s="56"/>
      <c r="AQ950" s="56"/>
      <c r="AR950" s="56"/>
      <c r="AS950" s="56"/>
    </row>
    <row r="951" spans="1:4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D951" s="56"/>
      <c r="AE951" s="56"/>
      <c r="AF951" s="56"/>
      <c r="AG951" s="56"/>
      <c r="AH951" s="56"/>
      <c r="AI951" s="56"/>
      <c r="AJ951" s="56"/>
      <c r="AQ951" s="56"/>
      <c r="AR951" s="56"/>
      <c r="AS951" s="56"/>
    </row>
    <row r="952" spans="1:4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D952" s="56"/>
      <c r="AE952" s="56"/>
      <c r="AF952" s="56"/>
      <c r="AG952" s="56"/>
      <c r="AH952" s="56"/>
      <c r="AI952" s="56"/>
      <c r="AJ952" s="56"/>
      <c r="AQ952" s="56"/>
      <c r="AR952" s="56"/>
      <c r="AS952" s="56"/>
    </row>
    <row r="953" spans="1:4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D953" s="56"/>
      <c r="AE953" s="56"/>
      <c r="AF953" s="56"/>
      <c r="AG953" s="56"/>
      <c r="AH953" s="56"/>
      <c r="AI953" s="56"/>
      <c r="AJ953" s="56"/>
      <c r="AQ953" s="56"/>
      <c r="AR953" s="56"/>
      <c r="AS953" s="56"/>
    </row>
    <row r="954" spans="1:4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D954" s="56"/>
      <c r="AE954" s="56"/>
      <c r="AF954" s="56"/>
      <c r="AG954" s="56"/>
      <c r="AH954" s="56"/>
      <c r="AI954" s="56"/>
      <c r="AJ954" s="56"/>
      <c r="AQ954" s="56"/>
      <c r="AR954" s="56"/>
      <c r="AS954" s="56"/>
    </row>
    <row r="955" spans="1:4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D955" s="56"/>
      <c r="AE955" s="56"/>
      <c r="AF955" s="56"/>
      <c r="AG955" s="56"/>
      <c r="AH955" s="56"/>
      <c r="AI955" s="56"/>
      <c r="AJ955" s="56"/>
      <c r="AQ955" s="56"/>
      <c r="AR955" s="56"/>
      <c r="AS955" s="56"/>
    </row>
    <row r="956" spans="1:4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D956" s="56"/>
      <c r="AE956" s="56"/>
      <c r="AF956" s="56"/>
      <c r="AG956" s="56"/>
      <c r="AH956" s="56"/>
      <c r="AI956" s="56"/>
      <c r="AJ956" s="56"/>
      <c r="AQ956" s="56"/>
      <c r="AR956" s="56"/>
      <c r="AS956" s="56"/>
    </row>
    <row r="957" spans="1:4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D957" s="56"/>
      <c r="AE957" s="56"/>
      <c r="AF957" s="56"/>
      <c r="AG957" s="56"/>
      <c r="AH957" s="56"/>
      <c r="AI957" s="56"/>
      <c r="AJ957" s="56"/>
      <c r="AQ957" s="56"/>
      <c r="AR957" s="56"/>
      <c r="AS957" s="56"/>
    </row>
    <row r="958" spans="1:4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D958" s="56"/>
      <c r="AE958" s="56"/>
      <c r="AF958" s="56"/>
      <c r="AG958" s="56"/>
      <c r="AH958" s="56"/>
      <c r="AI958" s="56"/>
      <c r="AJ958" s="56"/>
      <c r="AQ958" s="56"/>
      <c r="AR958" s="56"/>
      <c r="AS958" s="56"/>
    </row>
    <row r="959" spans="1:4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D959" s="56"/>
      <c r="AE959" s="56"/>
      <c r="AF959" s="56"/>
      <c r="AG959" s="56"/>
      <c r="AH959" s="56"/>
      <c r="AI959" s="56"/>
      <c r="AJ959" s="56"/>
      <c r="AQ959" s="56"/>
      <c r="AR959" s="56"/>
      <c r="AS959" s="56"/>
    </row>
    <row r="960" spans="1:4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D960" s="56"/>
      <c r="AE960" s="56"/>
      <c r="AF960" s="56"/>
      <c r="AG960" s="56"/>
      <c r="AH960" s="56"/>
      <c r="AI960" s="56"/>
      <c r="AJ960" s="56"/>
      <c r="AQ960" s="56"/>
      <c r="AR960" s="56"/>
      <c r="AS960" s="56"/>
    </row>
    <row r="961" spans="1:4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D961" s="56"/>
      <c r="AE961" s="56"/>
      <c r="AF961" s="56"/>
      <c r="AG961" s="56"/>
      <c r="AH961" s="56"/>
      <c r="AI961" s="56"/>
      <c r="AJ961" s="56"/>
      <c r="AQ961" s="56"/>
      <c r="AR961" s="56"/>
      <c r="AS961" s="56"/>
    </row>
    <row r="962" spans="1:4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D962" s="56"/>
      <c r="AE962" s="56"/>
      <c r="AF962" s="56"/>
      <c r="AG962" s="56"/>
      <c r="AH962" s="56"/>
      <c r="AI962" s="56"/>
      <c r="AJ962" s="56"/>
      <c r="AQ962" s="56"/>
      <c r="AR962" s="56"/>
      <c r="AS962" s="56"/>
    </row>
    <row r="963" spans="1:4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D963" s="56"/>
      <c r="AE963" s="56"/>
      <c r="AF963" s="56"/>
      <c r="AG963" s="56"/>
      <c r="AH963" s="56"/>
      <c r="AI963" s="56"/>
      <c r="AJ963" s="56"/>
      <c r="AQ963" s="56"/>
      <c r="AR963" s="56"/>
      <c r="AS963" s="56"/>
    </row>
    <row r="964" spans="1:4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D964" s="56"/>
      <c r="AE964" s="56"/>
      <c r="AF964" s="56"/>
      <c r="AG964" s="56"/>
      <c r="AH964" s="56"/>
      <c r="AI964" s="56"/>
      <c r="AJ964" s="56"/>
      <c r="AQ964" s="56"/>
      <c r="AR964" s="56"/>
      <c r="AS964" s="56"/>
    </row>
    <row r="965" spans="1:4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D965" s="56"/>
      <c r="AE965" s="56"/>
      <c r="AF965" s="56"/>
      <c r="AG965" s="56"/>
      <c r="AH965" s="56"/>
      <c r="AI965" s="56"/>
      <c r="AJ965" s="56"/>
      <c r="AQ965" s="56"/>
      <c r="AR965" s="56"/>
      <c r="AS965" s="56"/>
    </row>
    <row r="966" spans="1:4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D966" s="56"/>
      <c r="AE966" s="56"/>
      <c r="AF966" s="56"/>
      <c r="AG966" s="56"/>
      <c r="AH966" s="56"/>
      <c r="AI966" s="56"/>
      <c r="AJ966" s="56"/>
      <c r="AQ966" s="56"/>
      <c r="AR966" s="56"/>
      <c r="AS966" s="56"/>
    </row>
    <row r="967" spans="1:4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D967" s="56"/>
      <c r="AE967" s="56"/>
      <c r="AF967" s="56"/>
      <c r="AG967" s="56"/>
      <c r="AH967" s="56"/>
      <c r="AI967" s="56"/>
      <c r="AJ967" s="56"/>
      <c r="AQ967" s="56"/>
      <c r="AR967" s="56"/>
      <c r="AS967" s="56"/>
    </row>
    <row r="968" spans="1:4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D968" s="56"/>
      <c r="AE968" s="56"/>
      <c r="AF968" s="56"/>
      <c r="AG968" s="56"/>
      <c r="AH968" s="56"/>
      <c r="AI968" s="56"/>
      <c r="AJ968" s="56"/>
      <c r="AQ968" s="56"/>
      <c r="AR968" s="56"/>
      <c r="AS968" s="56"/>
    </row>
    <row r="969" spans="1:4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D969" s="56"/>
      <c r="AE969" s="56"/>
      <c r="AF969" s="56"/>
      <c r="AG969" s="56"/>
      <c r="AH969" s="56"/>
      <c r="AI969" s="56"/>
      <c r="AJ969" s="56"/>
      <c r="AQ969" s="56"/>
      <c r="AR969" s="56"/>
      <c r="AS969" s="56"/>
    </row>
    <row r="970" spans="1:4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D970" s="56"/>
      <c r="AE970" s="56"/>
      <c r="AF970" s="56"/>
      <c r="AG970" s="56"/>
      <c r="AH970" s="56"/>
      <c r="AI970" s="56"/>
      <c r="AJ970" s="56"/>
      <c r="AQ970" s="56"/>
      <c r="AR970" s="56"/>
      <c r="AS970" s="56"/>
    </row>
    <row r="971" spans="1:4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D971" s="56"/>
      <c r="AE971" s="56"/>
      <c r="AF971" s="56"/>
      <c r="AG971" s="56"/>
      <c r="AH971" s="56"/>
      <c r="AI971" s="56"/>
      <c r="AJ971" s="56"/>
      <c r="AQ971" s="56"/>
      <c r="AR971" s="56"/>
      <c r="AS971" s="56"/>
    </row>
    <row r="972" spans="1:4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D972" s="56"/>
      <c r="AE972" s="56"/>
      <c r="AF972" s="56"/>
      <c r="AG972" s="56"/>
      <c r="AH972" s="56"/>
      <c r="AI972" s="56"/>
      <c r="AJ972" s="56"/>
      <c r="AQ972" s="56"/>
      <c r="AR972" s="56"/>
      <c r="AS972" s="56"/>
    </row>
    <row r="973" spans="1:4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D973" s="56"/>
      <c r="AE973" s="56"/>
      <c r="AF973" s="56"/>
      <c r="AG973" s="56"/>
      <c r="AH973" s="56"/>
      <c r="AI973" s="56"/>
      <c r="AJ973" s="56"/>
      <c r="AQ973" s="56"/>
      <c r="AR973" s="56"/>
      <c r="AS973" s="56"/>
    </row>
    <row r="974" spans="1:4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D974" s="56"/>
      <c r="AE974" s="56"/>
      <c r="AF974" s="56"/>
      <c r="AG974" s="56"/>
      <c r="AH974" s="56"/>
      <c r="AI974" s="56"/>
      <c r="AJ974" s="56"/>
      <c r="AQ974" s="56"/>
      <c r="AR974" s="56"/>
      <c r="AS974" s="56"/>
    </row>
    <row r="975" spans="1:4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D975" s="56"/>
      <c r="AE975" s="56"/>
      <c r="AF975" s="56"/>
      <c r="AG975" s="56"/>
      <c r="AH975" s="56"/>
      <c r="AI975" s="56"/>
      <c r="AJ975" s="56"/>
      <c r="AQ975" s="56"/>
      <c r="AR975" s="56"/>
      <c r="AS975" s="56"/>
    </row>
    <row r="976" spans="1:4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D976" s="56"/>
      <c r="AE976" s="56"/>
      <c r="AF976" s="56"/>
      <c r="AG976" s="56"/>
      <c r="AH976" s="56"/>
      <c r="AI976" s="56"/>
      <c r="AJ976" s="56"/>
      <c r="AQ976" s="56"/>
      <c r="AR976" s="56"/>
      <c r="AS976" s="56"/>
    </row>
    <row r="977" spans="1:4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D977" s="56"/>
      <c r="AE977" s="56"/>
      <c r="AF977" s="56"/>
      <c r="AG977" s="56"/>
      <c r="AH977" s="56"/>
      <c r="AI977" s="56"/>
      <c r="AJ977" s="56"/>
      <c r="AQ977" s="56"/>
      <c r="AR977" s="56"/>
      <c r="AS977" s="56"/>
    </row>
    <row r="978" spans="1:4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D978" s="56"/>
      <c r="AE978" s="56"/>
      <c r="AF978" s="56"/>
      <c r="AG978" s="56"/>
      <c r="AH978" s="56"/>
      <c r="AI978" s="56"/>
      <c r="AJ978" s="56"/>
      <c r="AQ978" s="56"/>
      <c r="AR978" s="56"/>
      <c r="AS978" s="56"/>
    </row>
    <row r="979" spans="1:4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D979" s="56"/>
      <c r="AE979" s="56"/>
      <c r="AF979" s="56"/>
      <c r="AG979" s="56"/>
      <c r="AH979" s="56"/>
      <c r="AI979" s="56"/>
      <c r="AJ979" s="56"/>
      <c r="AQ979" s="56"/>
      <c r="AR979" s="56"/>
      <c r="AS979" s="56"/>
    </row>
    <row r="980" spans="1:4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D980" s="56"/>
      <c r="AE980" s="56"/>
      <c r="AF980" s="56"/>
      <c r="AG980" s="56"/>
      <c r="AH980" s="56"/>
      <c r="AI980" s="56"/>
      <c r="AJ980" s="56"/>
      <c r="AQ980" s="56"/>
      <c r="AR980" s="56"/>
      <c r="AS980" s="56"/>
    </row>
    <row r="981" spans="1:4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D981" s="56"/>
      <c r="AE981" s="56"/>
      <c r="AF981" s="56"/>
      <c r="AG981" s="56"/>
      <c r="AH981" s="56"/>
      <c r="AI981" s="56"/>
      <c r="AJ981" s="56"/>
      <c r="AQ981" s="56"/>
      <c r="AR981" s="56"/>
      <c r="AS981" s="56"/>
    </row>
    <row r="982" spans="1:4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D982" s="56"/>
      <c r="AE982" s="56"/>
      <c r="AF982" s="56"/>
      <c r="AG982" s="56"/>
      <c r="AH982" s="56"/>
      <c r="AI982" s="56"/>
      <c r="AJ982" s="56"/>
      <c r="AQ982" s="56"/>
      <c r="AR982" s="56"/>
      <c r="AS982" s="56"/>
    </row>
    <row r="983" spans="1:4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D983" s="56"/>
      <c r="AE983" s="56"/>
      <c r="AF983" s="56"/>
      <c r="AG983" s="56"/>
      <c r="AH983" s="56"/>
      <c r="AI983" s="56"/>
      <c r="AJ983" s="56"/>
      <c r="AQ983" s="56"/>
      <c r="AR983" s="56"/>
      <c r="AS983" s="56"/>
    </row>
    <row r="984" spans="1:4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D984" s="56"/>
      <c r="AE984" s="56"/>
      <c r="AF984" s="56"/>
      <c r="AG984" s="56"/>
      <c r="AH984" s="56"/>
      <c r="AI984" s="56"/>
      <c r="AJ984" s="56"/>
      <c r="AQ984" s="56"/>
      <c r="AR984" s="56"/>
      <c r="AS984" s="56"/>
    </row>
    <row r="985" spans="1:4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D985" s="56"/>
      <c r="AE985" s="56"/>
      <c r="AF985" s="56"/>
      <c r="AG985" s="56"/>
      <c r="AH985" s="56"/>
      <c r="AI985" s="56"/>
      <c r="AJ985" s="56"/>
      <c r="AQ985" s="56"/>
      <c r="AR985" s="56"/>
      <c r="AS985" s="56"/>
    </row>
    <row r="986" spans="1:4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D986" s="56"/>
      <c r="AE986" s="56"/>
      <c r="AF986" s="56"/>
      <c r="AG986" s="56"/>
      <c r="AH986" s="56"/>
      <c r="AI986" s="56"/>
      <c r="AJ986" s="56"/>
      <c r="AQ986" s="56"/>
      <c r="AR986" s="56"/>
      <c r="AS986" s="56"/>
    </row>
    <row r="987" spans="1:4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D987" s="56"/>
      <c r="AE987" s="56"/>
      <c r="AF987" s="56"/>
      <c r="AG987" s="56"/>
      <c r="AH987" s="56"/>
      <c r="AI987" s="56"/>
      <c r="AJ987" s="56"/>
      <c r="AQ987" s="56"/>
      <c r="AR987" s="56"/>
      <c r="AS987" s="56"/>
    </row>
    <row r="988" spans="1:4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D988" s="56"/>
      <c r="AE988" s="56"/>
      <c r="AF988" s="56"/>
      <c r="AG988" s="56"/>
      <c r="AH988" s="56"/>
      <c r="AI988" s="56"/>
      <c r="AJ988" s="56"/>
      <c r="AQ988" s="56"/>
      <c r="AR988" s="56"/>
      <c r="AS988" s="56"/>
    </row>
    <row r="989" spans="1:4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D989" s="56"/>
      <c r="AE989" s="56"/>
      <c r="AF989" s="56"/>
      <c r="AG989" s="56"/>
      <c r="AH989" s="56"/>
      <c r="AI989" s="56"/>
      <c r="AJ989" s="56"/>
      <c r="AQ989" s="56"/>
      <c r="AR989" s="56"/>
      <c r="AS989" s="56"/>
    </row>
    <row r="990" spans="1:4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D990" s="56"/>
      <c r="AE990" s="56"/>
      <c r="AF990" s="56"/>
      <c r="AG990" s="56"/>
      <c r="AH990" s="56"/>
      <c r="AI990" s="56"/>
      <c r="AJ990" s="56"/>
      <c r="AQ990" s="56"/>
      <c r="AR990" s="56"/>
      <c r="AS990" s="56"/>
    </row>
    <row r="991" spans="1:4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D991" s="56"/>
      <c r="AE991" s="56"/>
      <c r="AF991" s="56"/>
      <c r="AG991" s="56"/>
      <c r="AH991" s="56"/>
      <c r="AI991" s="56"/>
      <c r="AJ991" s="56"/>
      <c r="AQ991" s="56"/>
      <c r="AR991" s="56"/>
      <c r="AS991" s="56"/>
    </row>
    <row r="992" spans="1:4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D992" s="56"/>
      <c r="AE992" s="56"/>
      <c r="AF992" s="56"/>
      <c r="AG992" s="56"/>
      <c r="AH992" s="56"/>
      <c r="AI992" s="56"/>
      <c r="AJ992" s="56"/>
      <c r="AQ992" s="56"/>
      <c r="AR992" s="56"/>
      <c r="AS992" s="56"/>
    </row>
    <row r="993" spans="1:4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D993" s="56"/>
      <c r="AE993" s="56"/>
      <c r="AF993" s="56"/>
      <c r="AG993" s="56"/>
      <c r="AH993" s="56"/>
      <c r="AI993" s="56"/>
      <c r="AJ993" s="56"/>
      <c r="AQ993" s="56"/>
      <c r="AR993" s="56"/>
      <c r="AS993" s="56"/>
    </row>
    <row r="994" spans="1:4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D994" s="56"/>
      <c r="AE994" s="56"/>
      <c r="AF994" s="56"/>
      <c r="AG994" s="56"/>
      <c r="AH994" s="56"/>
      <c r="AI994" s="56"/>
      <c r="AJ994" s="56"/>
      <c r="AQ994" s="56"/>
      <c r="AR994" s="56"/>
      <c r="AS994" s="56"/>
    </row>
    <row r="995" spans="1:4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D995" s="56"/>
      <c r="AE995" s="56"/>
      <c r="AF995" s="56"/>
      <c r="AG995" s="56"/>
      <c r="AH995" s="56"/>
      <c r="AI995" s="56"/>
      <c r="AJ995" s="56"/>
      <c r="AQ995" s="56"/>
      <c r="AR995" s="56"/>
      <c r="AS995" s="56"/>
    </row>
    <row r="996" spans="1:4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D996" s="56"/>
      <c r="AE996" s="56"/>
      <c r="AF996" s="56"/>
      <c r="AG996" s="56"/>
      <c r="AH996" s="56"/>
      <c r="AI996" s="56"/>
      <c r="AJ996" s="56"/>
      <c r="AQ996" s="56"/>
      <c r="AR996" s="56"/>
      <c r="AS996" s="56"/>
    </row>
    <row r="997" spans="1:4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D997" s="56"/>
      <c r="AE997" s="56"/>
      <c r="AF997" s="56"/>
      <c r="AG997" s="56"/>
      <c r="AH997" s="56"/>
      <c r="AI997" s="56"/>
      <c r="AJ997" s="56"/>
      <c r="AQ997" s="56"/>
      <c r="AR997" s="56"/>
      <c r="AS997" s="56"/>
    </row>
    <row r="998" spans="1:4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D998" s="56"/>
      <c r="AE998" s="56"/>
      <c r="AF998" s="56"/>
      <c r="AG998" s="56"/>
      <c r="AH998" s="56"/>
      <c r="AI998" s="56"/>
      <c r="AJ998" s="56"/>
      <c r="AQ998" s="56"/>
      <c r="AR998" s="56"/>
      <c r="AS998" s="56"/>
    </row>
    <row r="999" spans="1:4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D999" s="56"/>
      <c r="AE999" s="56"/>
      <c r="AF999" s="56"/>
      <c r="AG999" s="56"/>
      <c r="AH999" s="56"/>
      <c r="AI999" s="56"/>
      <c r="AJ999" s="56"/>
      <c r="AQ999" s="56"/>
      <c r="AR999" s="56"/>
      <c r="AS999" s="56"/>
    </row>
    <row r="1000" spans="1:4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D1000" s="56"/>
      <c r="AE1000" s="56"/>
      <c r="AF1000" s="56"/>
      <c r="AG1000" s="56"/>
      <c r="AH1000" s="56"/>
      <c r="AI1000" s="56"/>
      <c r="AJ1000" s="56"/>
      <c r="AQ1000" s="56"/>
      <c r="AR1000" s="56"/>
      <c r="AS1000" s="56"/>
    </row>
    <row r="1001" spans="1:4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D1001" s="56"/>
      <c r="AE1001" s="56"/>
      <c r="AF1001" s="56"/>
      <c r="AG1001" s="56"/>
      <c r="AH1001" s="56"/>
      <c r="AI1001" s="56"/>
      <c r="AJ1001" s="56"/>
      <c r="AQ1001" s="56"/>
      <c r="AR1001" s="56"/>
      <c r="AS1001" s="56"/>
    </row>
    <row r="1002" spans="1:4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D1002" s="56"/>
      <c r="AE1002" s="56"/>
      <c r="AF1002" s="56"/>
      <c r="AG1002" s="56"/>
      <c r="AH1002" s="56"/>
      <c r="AI1002" s="56"/>
      <c r="AJ1002" s="56"/>
      <c r="AQ1002" s="56"/>
      <c r="AR1002" s="56"/>
      <c r="AS1002" s="56"/>
    </row>
    <row r="1003" spans="1:4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D1003" s="56"/>
      <c r="AE1003" s="56"/>
      <c r="AF1003" s="56"/>
      <c r="AG1003" s="56"/>
      <c r="AH1003" s="56"/>
      <c r="AI1003" s="56"/>
      <c r="AJ1003" s="56"/>
      <c r="AQ1003" s="56"/>
      <c r="AR1003" s="56"/>
      <c r="AS1003" s="56"/>
    </row>
    <row r="1004" spans="1:4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D1004" s="56"/>
      <c r="AE1004" s="56"/>
      <c r="AF1004" s="56"/>
      <c r="AG1004" s="56"/>
      <c r="AH1004" s="56"/>
      <c r="AI1004" s="56"/>
      <c r="AJ1004" s="56"/>
      <c r="AQ1004" s="56"/>
      <c r="AR1004" s="56"/>
      <c r="AS1004" s="56"/>
    </row>
    <row r="1005" spans="1:4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D1005" s="56"/>
      <c r="AE1005" s="56"/>
      <c r="AF1005" s="56"/>
      <c r="AG1005" s="56"/>
      <c r="AH1005" s="56"/>
      <c r="AI1005" s="56"/>
      <c r="AJ1005" s="56"/>
      <c r="AQ1005" s="56"/>
      <c r="AR1005" s="56"/>
      <c r="AS1005" s="56"/>
    </row>
    <row r="1006" spans="1:4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D1006" s="56"/>
      <c r="AE1006" s="56"/>
      <c r="AF1006" s="56"/>
      <c r="AG1006" s="56"/>
      <c r="AH1006" s="56"/>
      <c r="AI1006" s="56"/>
      <c r="AJ1006" s="56"/>
      <c r="AQ1006" s="56"/>
      <c r="AR1006" s="56"/>
      <c r="AS1006" s="56"/>
    </row>
    <row r="1007" spans="1:4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D1007" s="56"/>
      <c r="AE1007" s="56"/>
      <c r="AF1007" s="56"/>
      <c r="AG1007" s="56"/>
      <c r="AH1007" s="56"/>
      <c r="AI1007" s="56"/>
      <c r="AJ1007" s="56"/>
      <c r="AQ1007" s="56"/>
      <c r="AR1007" s="56"/>
      <c r="AS1007" s="56"/>
    </row>
    <row r="1008" spans="1:4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D1008" s="56"/>
      <c r="AE1008" s="56"/>
      <c r="AF1008" s="56"/>
      <c r="AG1008" s="56"/>
      <c r="AH1008" s="56"/>
      <c r="AI1008" s="56"/>
      <c r="AJ1008" s="56"/>
      <c r="AQ1008" s="56"/>
      <c r="AR1008" s="56"/>
      <c r="AS1008" s="56"/>
    </row>
    <row r="1009" spans="1:4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D1009" s="56"/>
      <c r="AE1009" s="56"/>
      <c r="AF1009" s="56"/>
      <c r="AG1009" s="56"/>
      <c r="AH1009" s="56"/>
      <c r="AI1009" s="56"/>
      <c r="AJ1009" s="56"/>
      <c r="AQ1009" s="56"/>
      <c r="AR1009" s="56"/>
      <c r="AS1009" s="56"/>
    </row>
    <row r="1010" spans="1:4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D1010" s="56"/>
      <c r="AE1010" s="56"/>
      <c r="AF1010" s="56"/>
      <c r="AG1010" s="56"/>
      <c r="AH1010" s="56"/>
      <c r="AI1010" s="56"/>
      <c r="AJ1010" s="56"/>
      <c r="AQ1010" s="56"/>
      <c r="AR1010" s="56"/>
      <c r="AS1010" s="56"/>
    </row>
    <row r="1011" spans="1:4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D1011" s="56"/>
      <c r="AE1011" s="56"/>
      <c r="AF1011" s="56"/>
      <c r="AG1011" s="56"/>
      <c r="AH1011" s="56"/>
      <c r="AI1011" s="56"/>
      <c r="AJ1011" s="56"/>
      <c r="AQ1011" s="56"/>
      <c r="AR1011" s="56"/>
      <c r="AS1011" s="56"/>
    </row>
    <row r="1012" spans="1:4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D1012" s="56"/>
      <c r="AE1012" s="56"/>
      <c r="AF1012" s="56"/>
      <c r="AG1012" s="56"/>
      <c r="AH1012" s="56"/>
      <c r="AI1012" s="56"/>
      <c r="AJ1012" s="56"/>
      <c r="AQ1012" s="56"/>
      <c r="AR1012" s="56"/>
      <c r="AS1012" s="56"/>
    </row>
    <row r="1013" spans="1:4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D1013" s="56"/>
      <c r="AE1013" s="56"/>
      <c r="AF1013" s="56"/>
      <c r="AG1013" s="56"/>
      <c r="AH1013" s="56"/>
      <c r="AI1013" s="56"/>
      <c r="AJ1013" s="56"/>
      <c r="AQ1013" s="56"/>
      <c r="AR1013" s="56"/>
      <c r="AS1013" s="56"/>
    </row>
    <row r="1014" spans="1:4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D1014" s="56"/>
      <c r="AE1014" s="56"/>
      <c r="AF1014" s="56"/>
      <c r="AG1014" s="56"/>
      <c r="AH1014" s="56"/>
      <c r="AI1014" s="56"/>
      <c r="AJ1014" s="56"/>
      <c r="AQ1014" s="56"/>
      <c r="AR1014" s="56"/>
      <c r="AS1014" s="56"/>
    </row>
    <row r="1015" spans="1:4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D1015" s="56"/>
      <c r="AE1015" s="56"/>
      <c r="AF1015" s="56"/>
      <c r="AG1015" s="56"/>
      <c r="AH1015" s="56"/>
      <c r="AI1015" s="56"/>
      <c r="AJ1015" s="56"/>
      <c r="AQ1015" s="56"/>
      <c r="AR1015" s="56"/>
      <c r="AS1015" s="56"/>
    </row>
    <row r="1016" spans="1:4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D1016" s="56"/>
      <c r="AE1016" s="56"/>
      <c r="AF1016" s="56"/>
      <c r="AG1016" s="56"/>
      <c r="AH1016" s="56"/>
      <c r="AI1016" s="56"/>
      <c r="AJ1016" s="56"/>
      <c r="AQ1016" s="56"/>
      <c r="AR1016" s="56"/>
      <c r="AS1016" s="56"/>
    </row>
    <row r="1017" spans="1:4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D1017" s="56"/>
      <c r="AE1017" s="56"/>
      <c r="AF1017" s="56"/>
      <c r="AG1017" s="56"/>
      <c r="AH1017" s="56"/>
      <c r="AI1017" s="56"/>
      <c r="AJ1017" s="56"/>
      <c r="AQ1017" s="56"/>
      <c r="AR1017" s="56"/>
      <c r="AS1017" s="56"/>
    </row>
    <row r="1018" spans="1:4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D1018" s="56"/>
      <c r="AE1018" s="56"/>
      <c r="AF1018" s="56"/>
      <c r="AG1018" s="56"/>
      <c r="AH1018" s="56"/>
      <c r="AI1018" s="56"/>
      <c r="AJ1018" s="56"/>
      <c r="AQ1018" s="56"/>
      <c r="AR1018" s="56"/>
      <c r="AS1018" s="56"/>
    </row>
    <row r="1019" spans="1:4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D1019" s="56"/>
      <c r="AE1019" s="56"/>
      <c r="AF1019" s="56"/>
      <c r="AG1019" s="56"/>
      <c r="AH1019" s="56"/>
      <c r="AI1019" s="56"/>
      <c r="AJ1019" s="56"/>
      <c r="AQ1019" s="56"/>
      <c r="AR1019" s="56"/>
      <c r="AS1019" s="56"/>
    </row>
    <row r="1020" spans="1:4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D1020" s="56"/>
      <c r="AE1020" s="56"/>
      <c r="AF1020" s="56"/>
      <c r="AG1020" s="56"/>
      <c r="AH1020" s="56"/>
      <c r="AI1020" s="56"/>
      <c r="AJ1020" s="56"/>
      <c r="AQ1020" s="56"/>
      <c r="AR1020" s="56"/>
      <c r="AS1020" s="56"/>
    </row>
    <row r="1021" spans="1:4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D1021" s="56"/>
      <c r="AE1021" s="56"/>
      <c r="AF1021" s="56"/>
      <c r="AG1021" s="56"/>
      <c r="AH1021" s="56"/>
      <c r="AI1021" s="56"/>
      <c r="AJ1021" s="56"/>
      <c r="AQ1021" s="56"/>
      <c r="AR1021" s="56"/>
      <c r="AS1021" s="56"/>
    </row>
    <row r="1022" spans="1:4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D1022" s="56"/>
      <c r="AE1022" s="56"/>
      <c r="AF1022" s="56"/>
      <c r="AG1022" s="56"/>
      <c r="AH1022" s="56"/>
      <c r="AI1022" s="56"/>
      <c r="AJ1022" s="56"/>
      <c r="AQ1022" s="56"/>
      <c r="AR1022" s="56"/>
      <c r="AS1022" s="56"/>
    </row>
    <row r="1023" spans="1:4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D1023" s="56"/>
      <c r="AE1023" s="56"/>
      <c r="AF1023" s="56"/>
      <c r="AG1023" s="56"/>
      <c r="AH1023" s="56"/>
      <c r="AI1023" s="56"/>
      <c r="AJ1023" s="56"/>
      <c r="AQ1023" s="56"/>
      <c r="AR1023" s="56"/>
      <c r="AS1023" s="56"/>
    </row>
    <row r="1024" spans="1:4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D1024" s="56"/>
      <c r="AE1024" s="56"/>
      <c r="AF1024" s="56"/>
      <c r="AG1024" s="56"/>
      <c r="AH1024" s="56"/>
      <c r="AI1024" s="56"/>
      <c r="AJ1024" s="56"/>
      <c r="AQ1024" s="56"/>
      <c r="AR1024" s="56"/>
      <c r="AS1024" s="56"/>
    </row>
    <row r="1025" spans="1:4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D1025" s="56"/>
      <c r="AE1025" s="56"/>
      <c r="AF1025" s="56"/>
      <c r="AG1025" s="56"/>
      <c r="AH1025" s="56"/>
      <c r="AI1025" s="56"/>
      <c r="AJ1025" s="56"/>
      <c r="AQ1025" s="56"/>
      <c r="AR1025" s="56"/>
      <c r="AS1025" s="56"/>
    </row>
    <row r="1026" spans="1:4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D1026" s="56"/>
      <c r="AE1026" s="56"/>
      <c r="AF1026" s="56"/>
      <c r="AG1026" s="56"/>
      <c r="AH1026" s="56"/>
      <c r="AI1026" s="56"/>
      <c r="AJ1026" s="56"/>
      <c r="AQ1026" s="56"/>
      <c r="AR1026" s="56"/>
      <c r="AS1026" s="56"/>
    </row>
    <row r="1027" spans="1:4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D1027" s="56"/>
      <c r="AE1027" s="56"/>
      <c r="AF1027" s="56"/>
      <c r="AG1027" s="56"/>
      <c r="AH1027" s="56"/>
      <c r="AI1027" s="56"/>
      <c r="AJ1027" s="56"/>
      <c r="AQ1027" s="56"/>
      <c r="AR1027" s="56"/>
      <c r="AS1027" s="56"/>
    </row>
    <row r="1028" spans="1:4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D1028" s="56"/>
      <c r="AE1028" s="56"/>
      <c r="AF1028" s="56"/>
      <c r="AG1028" s="56"/>
      <c r="AH1028" s="56"/>
      <c r="AI1028" s="56"/>
      <c r="AJ1028" s="56"/>
      <c r="AQ1028" s="56"/>
      <c r="AR1028" s="56"/>
      <c r="AS1028" s="56"/>
    </row>
    <row r="1029" spans="1:4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D1029" s="56"/>
      <c r="AE1029" s="56"/>
      <c r="AF1029" s="56"/>
      <c r="AG1029" s="56"/>
      <c r="AH1029" s="56"/>
      <c r="AI1029" s="56"/>
      <c r="AJ1029" s="56"/>
      <c r="AQ1029" s="56"/>
      <c r="AR1029" s="56"/>
      <c r="AS1029" s="56"/>
    </row>
    <row r="1030" spans="1:4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D1030" s="56"/>
      <c r="AE1030" s="56"/>
      <c r="AF1030" s="56"/>
      <c r="AG1030" s="56"/>
      <c r="AH1030" s="56"/>
      <c r="AI1030" s="56"/>
      <c r="AJ1030" s="56"/>
      <c r="AQ1030" s="56"/>
      <c r="AR1030" s="56"/>
      <c r="AS1030" s="56"/>
    </row>
    <row r="1031" spans="1:4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D1031" s="56"/>
      <c r="AE1031" s="56"/>
      <c r="AF1031" s="56"/>
      <c r="AG1031" s="56"/>
      <c r="AH1031" s="56"/>
      <c r="AI1031" s="56"/>
      <c r="AJ1031" s="56"/>
      <c r="AQ1031" s="56"/>
      <c r="AR1031" s="56"/>
      <c r="AS1031" s="56"/>
    </row>
    <row r="1032" spans="1:4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D1032" s="56"/>
      <c r="AE1032" s="56"/>
      <c r="AF1032" s="56"/>
      <c r="AG1032" s="56"/>
      <c r="AH1032" s="56"/>
      <c r="AI1032" s="56"/>
      <c r="AJ1032" s="56"/>
      <c r="AQ1032" s="56"/>
      <c r="AR1032" s="56"/>
      <c r="AS1032" s="56"/>
    </row>
    <row r="1033" spans="1:4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D1033" s="56"/>
      <c r="AE1033" s="56"/>
      <c r="AF1033" s="56"/>
      <c r="AG1033" s="56"/>
      <c r="AH1033" s="56"/>
      <c r="AI1033" s="56"/>
      <c r="AJ1033" s="56"/>
      <c r="AQ1033" s="56"/>
      <c r="AR1033" s="56"/>
      <c r="AS1033" s="56"/>
    </row>
    <row r="1034" spans="1:4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D1034" s="56"/>
      <c r="AE1034" s="56"/>
      <c r="AF1034" s="56"/>
      <c r="AG1034" s="56"/>
      <c r="AH1034" s="56"/>
      <c r="AI1034" s="56"/>
      <c r="AJ1034" s="56"/>
      <c r="AQ1034" s="56"/>
      <c r="AR1034" s="56"/>
      <c r="AS1034" s="56"/>
    </row>
    <row r="1035" spans="1:4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D1035" s="56"/>
      <c r="AE1035" s="56"/>
      <c r="AF1035" s="56"/>
      <c r="AG1035" s="56"/>
      <c r="AH1035" s="56"/>
      <c r="AI1035" s="56"/>
      <c r="AJ1035" s="56"/>
      <c r="AQ1035" s="56"/>
      <c r="AR1035" s="56"/>
      <c r="AS1035" s="56"/>
    </row>
    <row r="1036" spans="1:4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D1036" s="56"/>
      <c r="AE1036" s="56"/>
      <c r="AF1036" s="56"/>
      <c r="AG1036" s="56"/>
      <c r="AH1036" s="56"/>
      <c r="AI1036" s="56"/>
      <c r="AJ1036" s="56"/>
      <c r="AQ1036" s="56"/>
      <c r="AR1036" s="56"/>
      <c r="AS1036" s="56"/>
    </row>
    <row r="1037" spans="1:4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D1037" s="56"/>
      <c r="AE1037" s="56"/>
      <c r="AF1037" s="56"/>
      <c r="AG1037" s="56"/>
      <c r="AH1037" s="56"/>
      <c r="AI1037" s="56"/>
      <c r="AJ1037" s="56"/>
      <c r="AQ1037" s="56"/>
      <c r="AR1037" s="56"/>
      <c r="AS1037" s="56"/>
    </row>
    <row r="1038" spans="1:4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D1038" s="56"/>
      <c r="AE1038" s="56"/>
      <c r="AF1038" s="56"/>
      <c r="AG1038" s="56"/>
      <c r="AH1038" s="56"/>
      <c r="AI1038" s="56"/>
      <c r="AJ1038" s="56"/>
      <c r="AQ1038" s="56"/>
      <c r="AR1038" s="56"/>
      <c r="AS1038" s="56"/>
    </row>
    <row r="1039" spans="1:4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D1039" s="56"/>
      <c r="AE1039" s="56"/>
      <c r="AF1039" s="56"/>
      <c r="AG1039" s="56"/>
      <c r="AH1039" s="56"/>
      <c r="AI1039" s="56"/>
      <c r="AJ1039" s="56"/>
      <c r="AQ1039" s="56"/>
      <c r="AR1039" s="56"/>
      <c r="AS1039" s="56"/>
    </row>
    <row r="1040" spans="1:4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D1040" s="56"/>
      <c r="AE1040" s="56"/>
      <c r="AF1040" s="56"/>
      <c r="AG1040" s="56"/>
      <c r="AH1040" s="56"/>
      <c r="AI1040" s="56"/>
      <c r="AJ1040" s="56"/>
      <c r="AQ1040" s="56"/>
      <c r="AR1040" s="56"/>
      <c r="AS1040" s="56"/>
    </row>
    <row r="1041" spans="1:4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D1041" s="56"/>
      <c r="AE1041" s="56"/>
      <c r="AF1041" s="56"/>
      <c r="AG1041" s="56"/>
      <c r="AH1041" s="56"/>
      <c r="AI1041" s="56"/>
      <c r="AJ1041" s="56"/>
      <c r="AQ1041" s="56"/>
      <c r="AR1041" s="56"/>
      <c r="AS1041" s="56"/>
    </row>
    <row r="1042" spans="1:4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D1042" s="56"/>
      <c r="AE1042" s="56"/>
      <c r="AF1042" s="56"/>
      <c r="AG1042" s="56"/>
      <c r="AH1042" s="56"/>
      <c r="AI1042" s="56"/>
      <c r="AJ1042" s="56"/>
      <c r="AQ1042" s="56"/>
      <c r="AR1042" s="56"/>
      <c r="AS1042" s="56"/>
    </row>
    <row r="1043" spans="1:4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D1043" s="56"/>
      <c r="AE1043" s="56"/>
      <c r="AF1043" s="56"/>
      <c r="AG1043" s="56"/>
      <c r="AH1043" s="56"/>
      <c r="AI1043" s="56"/>
      <c r="AJ1043" s="56"/>
      <c r="AQ1043" s="56"/>
      <c r="AR1043" s="56"/>
      <c r="AS1043" s="56"/>
    </row>
    <row r="1044" spans="1:4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D1044" s="56"/>
      <c r="AE1044" s="56"/>
      <c r="AF1044" s="56"/>
      <c r="AG1044" s="56"/>
      <c r="AH1044" s="56"/>
      <c r="AI1044" s="56"/>
      <c r="AJ1044" s="56"/>
      <c r="AQ1044" s="56"/>
      <c r="AR1044" s="56"/>
      <c r="AS1044" s="56"/>
    </row>
    <row r="1045" spans="1:4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D1045" s="56"/>
      <c r="AE1045" s="56"/>
      <c r="AF1045" s="56"/>
      <c r="AG1045" s="56"/>
      <c r="AH1045" s="56"/>
      <c r="AI1045" s="56"/>
      <c r="AJ1045" s="56"/>
      <c r="AQ1045" s="56"/>
      <c r="AR1045" s="56"/>
      <c r="AS1045" s="56"/>
    </row>
    <row r="1046" spans="1:4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D1046" s="56"/>
      <c r="AE1046" s="56"/>
      <c r="AF1046" s="56"/>
      <c r="AG1046" s="56"/>
      <c r="AH1046" s="56"/>
      <c r="AI1046" s="56"/>
      <c r="AJ1046" s="56"/>
      <c r="AQ1046" s="56"/>
      <c r="AR1046" s="56"/>
      <c r="AS1046" s="56"/>
    </row>
    <row r="1047" spans="1:4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D1047" s="56"/>
      <c r="AE1047" s="56"/>
      <c r="AF1047" s="56"/>
      <c r="AG1047" s="56"/>
      <c r="AH1047" s="56"/>
      <c r="AI1047" s="56"/>
      <c r="AJ1047" s="56"/>
      <c r="AQ1047" s="56"/>
      <c r="AR1047" s="56"/>
      <c r="AS1047" s="56"/>
    </row>
    <row r="1048" spans="1:4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D1048" s="56"/>
      <c r="AE1048" s="56"/>
      <c r="AF1048" s="56"/>
      <c r="AG1048" s="56"/>
      <c r="AH1048" s="56"/>
      <c r="AI1048" s="56"/>
      <c r="AJ1048" s="56"/>
      <c r="AQ1048" s="56"/>
      <c r="AR1048" s="56"/>
      <c r="AS1048" s="56"/>
    </row>
    <row r="1049" spans="1:4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D1049" s="56"/>
      <c r="AE1049" s="56"/>
      <c r="AF1049" s="56"/>
      <c r="AG1049" s="56"/>
      <c r="AH1049" s="56"/>
      <c r="AI1049" s="56"/>
      <c r="AJ1049" s="56"/>
      <c r="AQ1049" s="56"/>
      <c r="AR1049" s="56"/>
      <c r="AS1049" s="56"/>
    </row>
    <row r="1050" spans="1:4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D1050" s="56"/>
      <c r="AE1050" s="56"/>
      <c r="AF1050" s="56"/>
      <c r="AG1050" s="56"/>
      <c r="AH1050" s="56"/>
      <c r="AI1050" s="56"/>
      <c r="AJ1050" s="56"/>
      <c r="AQ1050" s="56"/>
      <c r="AR1050" s="56"/>
      <c r="AS1050" s="56"/>
    </row>
    <row r="1051" spans="1:4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D1051" s="56"/>
      <c r="AE1051" s="56"/>
      <c r="AF1051" s="56"/>
      <c r="AG1051" s="56"/>
      <c r="AH1051" s="56"/>
      <c r="AI1051" s="56"/>
      <c r="AJ1051" s="56"/>
      <c r="AQ1051" s="56"/>
      <c r="AR1051" s="56"/>
      <c r="AS1051" s="56"/>
    </row>
    <row r="1052" spans="1:4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D1052" s="56"/>
      <c r="AE1052" s="56"/>
      <c r="AF1052" s="56"/>
      <c r="AG1052" s="56"/>
      <c r="AH1052" s="56"/>
      <c r="AI1052" s="56"/>
      <c r="AJ1052" s="56"/>
      <c r="AQ1052" s="56"/>
      <c r="AR1052" s="56"/>
      <c r="AS1052" s="56"/>
    </row>
    <row r="1053" spans="1:4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D1053" s="56"/>
      <c r="AE1053" s="56"/>
      <c r="AF1053" s="56"/>
      <c r="AG1053" s="56"/>
      <c r="AH1053" s="56"/>
      <c r="AI1053" s="56"/>
      <c r="AJ1053" s="56"/>
      <c r="AQ1053" s="56"/>
      <c r="AR1053" s="56"/>
      <c r="AS1053" s="56"/>
    </row>
    <row r="1054" spans="1:4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D1054" s="56"/>
      <c r="AE1054" s="56"/>
      <c r="AF1054" s="56"/>
      <c r="AG1054" s="56"/>
      <c r="AH1054" s="56"/>
      <c r="AI1054" s="56"/>
      <c r="AJ1054" s="56"/>
      <c r="AQ1054" s="56"/>
      <c r="AR1054" s="56"/>
      <c r="AS1054" s="56"/>
    </row>
    <row r="1055" spans="1:4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D1055" s="56"/>
      <c r="AE1055" s="56"/>
      <c r="AF1055" s="56"/>
      <c r="AG1055" s="56"/>
      <c r="AH1055" s="56"/>
      <c r="AI1055" s="56"/>
      <c r="AJ1055" s="56"/>
      <c r="AQ1055" s="56"/>
      <c r="AR1055" s="56"/>
      <c r="AS1055" s="56"/>
    </row>
    <row r="1056" spans="1:4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D1056" s="56"/>
      <c r="AE1056" s="56"/>
      <c r="AF1056" s="56"/>
      <c r="AG1056" s="56"/>
      <c r="AH1056" s="56"/>
      <c r="AI1056" s="56"/>
      <c r="AJ1056" s="56"/>
      <c r="AQ1056" s="56"/>
      <c r="AR1056" s="56"/>
      <c r="AS1056" s="56"/>
    </row>
    <row r="1057" spans="1:4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D1057" s="56"/>
      <c r="AE1057" s="56"/>
      <c r="AF1057" s="56"/>
      <c r="AG1057" s="56"/>
      <c r="AH1057" s="56"/>
      <c r="AI1057" s="56"/>
      <c r="AJ1057" s="56"/>
      <c r="AQ1057" s="56"/>
      <c r="AR1057" s="56"/>
      <c r="AS1057" s="56"/>
    </row>
    <row r="1058" spans="1:4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D1058" s="56"/>
      <c r="AE1058" s="56"/>
      <c r="AF1058" s="56"/>
      <c r="AG1058" s="56"/>
      <c r="AH1058" s="56"/>
      <c r="AI1058" s="56"/>
      <c r="AJ1058" s="56"/>
      <c r="AQ1058" s="56"/>
      <c r="AR1058" s="56"/>
      <c r="AS1058" s="56"/>
    </row>
    <row r="1059" spans="1:4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D1059" s="56"/>
      <c r="AE1059" s="56"/>
      <c r="AF1059" s="56"/>
      <c r="AG1059" s="56"/>
      <c r="AH1059" s="56"/>
      <c r="AI1059" s="56"/>
      <c r="AJ1059" s="56"/>
      <c r="AQ1059" s="56"/>
      <c r="AR1059" s="56"/>
      <c r="AS1059" s="56"/>
    </row>
    <row r="1060" spans="1:4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D1060" s="56"/>
      <c r="AE1060" s="56"/>
      <c r="AF1060" s="56"/>
      <c r="AG1060" s="56"/>
      <c r="AH1060" s="56"/>
      <c r="AI1060" s="56"/>
      <c r="AJ1060" s="56"/>
      <c r="AQ1060" s="56"/>
      <c r="AR1060" s="56"/>
      <c r="AS1060" s="56"/>
    </row>
    <row r="1061" spans="1:4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D1061" s="56"/>
      <c r="AE1061" s="56"/>
      <c r="AF1061" s="56"/>
      <c r="AG1061" s="56"/>
      <c r="AH1061" s="56"/>
      <c r="AI1061" s="56"/>
      <c r="AJ1061" s="56"/>
      <c r="AQ1061" s="56"/>
      <c r="AR1061" s="56"/>
      <c r="AS1061" s="56"/>
    </row>
    <row r="1062" spans="1:4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D1062" s="56"/>
      <c r="AE1062" s="56"/>
      <c r="AF1062" s="56"/>
      <c r="AG1062" s="56"/>
      <c r="AH1062" s="56"/>
      <c r="AI1062" s="56"/>
      <c r="AJ1062" s="56"/>
      <c r="AQ1062" s="56"/>
      <c r="AR1062" s="56"/>
      <c r="AS1062" s="56"/>
    </row>
    <row r="1063" spans="1:4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D1063" s="56"/>
      <c r="AE1063" s="56"/>
      <c r="AF1063" s="56"/>
      <c r="AG1063" s="56"/>
      <c r="AH1063" s="56"/>
      <c r="AI1063" s="56"/>
      <c r="AJ1063" s="56"/>
      <c r="AQ1063" s="56"/>
      <c r="AR1063" s="56"/>
      <c r="AS1063" s="56"/>
    </row>
    <row r="1064" spans="1:4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D1064" s="56"/>
      <c r="AE1064" s="56"/>
      <c r="AF1064" s="56"/>
      <c r="AG1064" s="56"/>
      <c r="AH1064" s="56"/>
      <c r="AI1064" s="56"/>
      <c r="AJ1064" s="56"/>
      <c r="AQ1064" s="56"/>
      <c r="AR1064" s="56"/>
      <c r="AS1064" s="56"/>
    </row>
    <row r="1065" spans="1:4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D1065" s="56"/>
      <c r="AE1065" s="56"/>
      <c r="AF1065" s="56"/>
      <c r="AG1065" s="56"/>
      <c r="AH1065" s="56"/>
      <c r="AI1065" s="56"/>
      <c r="AJ1065" s="56"/>
      <c r="AQ1065" s="56"/>
      <c r="AR1065" s="56"/>
      <c r="AS1065" s="56"/>
    </row>
    <row r="1066" spans="1:4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D1066" s="56"/>
      <c r="AE1066" s="56"/>
      <c r="AF1066" s="56"/>
      <c r="AG1066" s="56"/>
      <c r="AH1066" s="56"/>
      <c r="AI1066" s="56"/>
      <c r="AJ1066" s="56"/>
      <c r="AQ1066" s="56"/>
      <c r="AR1066" s="56"/>
      <c r="AS1066" s="56"/>
    </row>
    <row r="1067" spans="1:4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D1067" s="56"/>
      <c r="AE1067" s="56"/>
      <c r="AF1067" s="56"/>
      <c r="AG1067" s="56"/>
      <c r="AH1067" s="56"/>
      <c r="AI1067" s="56"/>
      <c r="AJ1067" s="56"/>
      <c r="AQ1067" s="56"/>
      <c r="AR1067" s="56"/>
      <c r="AS1067" s="56"/>
    </row>
    <row r="1068" spans="1:4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D1068" s="56"/>
      <c r="AE1068" s="56"/>
      <c r="AF1068" s="56"/>
      <c r="AG1068" s="56"/>
      <c r="AH1068" s="56"/>
      <c r="AI1068" s="56"/>
      <c r="AJ1068" s="56"/>
      <c r="AQ1068" s="56"/>
      <c r="AR1068" s="56"/>
      <c r="AS1068" s="56"/>
    </row>
    <row r="1069" spans="1:4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D1069" s="56"/>
      <c r="AE1069" s="56"/>
      <c r="AF1069" s="56"/>
      <c r="AG1069" s="56"/>
      <c r="AH1069" s="56"/>
      <c r="AI1069" s="56"/>
      <c r="AJ1069" s="56"/>
      <c r="AQ1069" s="56"/>
      <c r="AR1069" s="56"/>
      <c r="AS1069" s="56"/>
    </row>
    <row r="1070" spans="1:4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D1070" s="56"/>
      <c r="AE1070" s="56"/>
      <c r="AF1070" s="56"/>
      <c r="AG1070" s="56"/>
      <c r="AH1070" s="56"/>
      <c r="AI1070" s="56"/>
      <c r="AJ1070" s="56"/>
      <c r="AQ1070" s="56"/>
      <c r="AR1070" s="56"/>
      <c r="AS1070" s="56"/>
    </row>
    <row r="1071" spans="1:4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D1071" s="56"/>
      <c r="AE1071" s="56"/>
      <c r="AF1071" s="56"/>
      <c r="AG1071" s="56"/>
      <c r="AH1071" s="56"/>
      <c r="AI1071" s="56"/>
      <c r="AJ1071" s="56"/>
      <c r="AQ1071" s="56"/>
      <c r="AR1071" s="56"/>
      <c r="AS1071" s="56"/>
    </row>
    <row r="1072" spans="1:4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D1072" s="56"/>
      <c r="AE1072" s="56"/>
      <c r="AF1072" s="56"/>
      <c r="AG1072" s="56"/>
      <c r="AH1072" s="56"/>
      <c r="AI1072" s="56"/>
      <c r="AJ1072" s="56"/>
      <c r="AQ1072" s="56"/>
      <c r="AR1072" s="56"/>
      <c r="AS1072" s="56"/>
    </row>
    <row r="1073" spans="1:4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D1073" s="56"/>
      <c r="AE1073" s="56"/>
      <c r="AF1073" s="56"/>
      <c r="AG1073" s="56"/>
      <c r="AH1073" s="56"/>
      <c r="AI1073" s="56"/>
      <c r="AJ1073" s="56"/>
      <c r="AQ1073" s="56"/>
      <c r="AR1073" s="56"/>
      <c r="AS1073" s="56"/>
    </row>
    <row r="1074" spans="1:4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D1074" s="56"/>
      <c r="AE1074" s="56"/>
      <c r="AF1074" s="56"/>
      <c r="AG1074" s="56"/>
      <c r="AH1074" s="56"/>
      <c r="AI1074" s="56"/>
      <c r="AJ1074" s="56"/>
      <c r="AQ1074" s="56"/>
      <c r="AR1074" s="56"/>
      <c r="AS1074" s="56"/>
    </row>
    <row r="1075" spans="1:4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D1075" s="56"/>
      <c r="AE1075" s="56"/>
      <c r="AF1075" s="56"/>
      <c r="AG1075" s="56"/>
      <c r="AH1075" s="56"/>
      <c r="AI1075" s="56"/>
      <c r="AJ1075" s="56"/>
      <c r="AQ1075" s="56"/>
      <c r="AR1075" s="56"/>
      <c r="AS1075" s="56"/>
    </row>
    <row r="1076" spans="1:4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D1076" s="56"/>
      <c r="AE1076" s="56"/>
      <c r="AF1076" s="56"/>
      <c r="AG1076" s="56"/>
      <c r="AH1076" s="56"/>
      <c r="AI1076" s="56"/>
      <c r="AJ1076" s="56"/>
      <c r="AQ1076" s="56"/>
      <c r="AR1076" s="56"/>
      <c r="AS1076" s="56"/>
    </row>
    <row r="1077" spans="1:4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D1077" s="56"/>
      <c r="AE1077" s="56"/>
      <c r="AF1077" s="56"/>
      <c r="AG1077" s="56"/>
      <c r="AH1077" s="56"/>
      <c r="AI1077" s="56"/>
      <c r="AJ1077" s="56"/>
      <c r="AQ1077" s="56"/>
      <c r="AR1077" s="56"/>
      <c r="AS1077" s="56"/>
    </row>
    <row r="1078" spans="1:4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D1078" s="56"/>
      <c r="AE1078" s="56"/>
      <c r="AF1078" s="56"/>
      <c r="AG1078" s="56"/>
      <c r="AH1078" s="56"/>
      <c r="AI1078" s="56"/>
      <c r="AJ1078" s="56"/>
      <c r="AQ1078" s="56"/>
      <c r="AR1078" s="56"/>
      <c r="AS1078" s="56"/>
    </row>
    <row r="1079" spans="1:4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D1079" s="56"/>
      <c r="AE1079" s="56"/>
      <c r="AF1079" s="56"/>
      <c r="AG1079" s="56"/>
      <c r="AH1079" s="56"/>
      <c r="AI1079" s="56"/>
      <c r="AJ1079" s="56"/>
      <c r="AQ1079" s="56"/>
      <c r="AR1079" s="56"/>
      <c r="AS1079" s="56"/>
    </row>
    <row r="1080" spans="1:4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D1080" s="56"/>
      <c r="AE1080" s="56"/>
      <c r="AF1080" s="56"/>
      <c r="AG1080" s="56"/>
      <c r="AH1080" s="56"/>
      <c r="AI1080" s="56"/>
      <c r="AJ1080" s="56"/>
      <c r="AQ1080" s="56"/>
      <c r="AR1080" s="56"/>
      <c r="AS1080" s="56"/>
    </row>
    <row r="1081" spans="1:4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D1081" s="56"/>
      <c r="AE1081" s="56"/>
      <c r="AF1081" s="56"/>
      <c r="AG1081" s="56"/>
      <c r="AH1081" s="56"/>
      <c r="AI1081" s="56"/>
      <c r="AJ1081" s="56"/>
      <c r="AQ1081" s="56"/>
      <c r="AR1081" s="56"/>
      <c r="AS1081" s="56"/>
    </row>
    <row r="1082" spans="1:4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D1082" s="56"/>
      <c r="AE1082" s="56"/>
      <c r="AF1082" s="56"/>
      <c r="AG1082" s="56"/>
      <c r="AH1082" s="56"/>
      <c r="AI1082" s="56"/>
      <c r="AJ1082" s="56"/>
      <c r="AQ1082" s="56"/>
      <c r="AR1082" s="56"/>
      <c r="AS1082" s="56"/>
    </row>
    <row r="1083" spans="1:4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D1083" s="56"/>
      <c r="AE1083" s="56"/>
      <c r="AF1083" s="56"/>
      <c r="AG1083" s="56"/>
      <c r="AH1083" s="56"/>
      <c r="AI1083" s="56"/>
      <c r="AJ1083" s="56"/>
      <c r="AQ1083" s="56"/>
      <c r="AR1083" s="56"/>
      <c r="AS1083" s="56"/>
    </row>
    <row r="1084" spans="1:4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D1084" s="56"/>
      <c r="AE1084" s="56"/>
      <c r="AF1084" s="56"/>
      <c r="AG1084" s="56"/>
      <c r="AH1084" s="56"/>
      <c r="AI1084" s="56"/>
      <c r="AJ1084" s="56"/>
      <c r="AQ1084" s="56"/>
      <c r="AR1084" s="56"/>
      <c r="AS1084" s="56"/>
    </row>
    <row r="1085" spans="1:4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D1085" s="56"/>
      <c r="AE1085" s="56"/>
      <c r="AF1085" s="56"/>
      <c r="AG1085" s="56"/>
      <c r="AH1085" s="56"/>
      <c r="AI1085" s="56"/>
      <c r="AJ1085" s="56"/>
      <c r="AQ1085" s="56"/>
      <c r="AR1085" s="56"/>
      <c r="AS1085" s="56"/>
    </row>
    <row r="1086" spans="1:4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D1086" s="56"/>
      <c r="AE1086" s="56"/>
      <c r="AF1086" s="56"/>
      <c r="AG1086" s="56"/>
      <c r="AH1086" s="56"/>
      <c r="AI1086" s="56"/>
      <c r="AJ1086" s="56"/>
      <c r="AQ1086" s="56"/>
      <c r="AR1086" s="56"/>
      <c r="AS1086" s="56"/>
    </row>
    <row r="1087" spans="1:4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D1087" s="56"/>
      <c r="AE1087" s="56"/>
      <c r="AF1087" s="56"/>
      <c r="AG1087" s="56"/>
      <c r="AH1087" s="56"/>
      <c r="AI1087" s="56"/>
      <c r="AJ1087" s="56"/>
      <c r="AQ1087" s="56"/>
      <c r="AR1087" s="56"/>
      <c r="AS1087" s="56"/>
    </row>
    <row r="1088" spans="1:4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D1088" s="56"/>
      <c r="AE1088" s="56"/>
      <c r="AF1088" s="56"/>
      <c r="AG1088" s="56"/>
      <c r="AH1088" s="56"/>
      <c r="AI1088" s="56"/>
      <c r="AJ1088" s="56"/>
      <c r="AQ1088" s="56"/>
      <c r="AR1088" s="56"/>
      <c r="AS1088" s="56"/>
    </row>
    <row r="1089" spans="1:4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D1089" s="56"/>
      <c r="AE1089" s="56"/>
      <c r="AF1089" s="56"/>
      <c r="AG1089" s="56"/>
      <c r="AH1089" s="56"/>
      <c r="AI1089" s="56"/>
      <c r="AJ1089" s="56"/>
      <c r="AQ1089" s="56"/>
      <c r="AR1089" s="56"/>
      <c r="AS1089" s="56"/>
    </row>
    <row r="1090" spans="1:4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D1090" s="56"/>
      <c r="AE1090" s="56"/>
      <c r="AF1090" s="56"/>
      <c r="AG1090" s="56"/>
      <c r="AH1090" s="56"/>
      <c r="AI1090" s="56"/>
      <c r="AJ1090" s="56"/>
      <c r="AQ1090" s="56"/>
      <c r="AR1090" s="56"/>
      <c r="AS1090" s="56"/>
    </row>
    <row r="1091" spans="1:4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D1091" s="56"/>
      <c r="AE1091" s="56"/>
      <c r="AF1091" s="56"/>
      <c r="AG1091" s="56"/>
      <c r="AH1091" s="56"/>
      <c r="AI1091" s="56"/>
      <c r="AJ1091" s="56"/>
      <c r="AQ1091" s="56"/>
      <c r="AR1091" s="56"/>
      <c r="AS1091" s="56"/>
    </row>
    <row r="1092" spans="1:4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D1092" s="56"/>
      <c r="AE1092" s="56"/>
      <c r="AF1092" s="56"/>
      <c r="AG1092" s="56"/>
      <c r="AH1092" s="56"/>
      <c r="AI1092" s="56"/>
      <c r="AJ1092" s="56"/>
      <c r="AQ1092" s="56"/>
      <c r="AR1092" s="56"/>
      <c r="AS1092" s="56"/>
    </row>
    <row r="1093" spans="1:4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D1093" s="56"/>
      <c r="AE1093" s="56"/>
      <c r="AF1093" s="56"/>
      <c r="AG1093" s="56"/>
      <c r="AH1093" s="56"/>
      <c r="AI1093" s="56"/>
      <c r="AJ1093" s="56"/>
      <c r="AQ1093" s="56"/>
      <c r="AR1093" s="56"/>
      <c r="AS1093" s="56"/>
    </row>
    <row r="1094" spans="1:4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D1094" s="56"/>
      <c r="AE1094" s="56"/>
      <c r="AF1094" s="56"/>
      <c r="AG1094" s="56"/>
      <c r="AH1094" s="56"/>
      <c r="AI1094" s="56"/>
      <c r="AJ1094" s="56"/>
      <c r="AQ1094" s="56"/>
      <c r="AR1094" s="56"/>
      <c r="AS1094" s="56"/>
    </row>
    <row r="1095" spans="1:4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D1095" s="56"/>
      <c r="AE1095" s="56"/>
      <c r="AF1095" s="56"/>
      <c r="AG1095" s="56"/>
      <c r="AH1095" s="56"/>
      <c r="AI1095" s="56"/>
      <c r="AJ1095" s="56"/>
      <c r="AQ1095" s="56"/>
      <c r="AR1095" s="56"/>
      <c r="AS1095" s="56"/>
    </row>
    <row r="1096" spans="1:4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D1096" s="56"/>
      <c r="AE1096" s="56"/>
      <c r="AF1096" s="56"/>
      <c r="AG1096" s="56"/>
      <c r="AH1096" s="56"/>
      <c r="AI1096" s="56"/>
      <c r="AJ1096" s="56"/>
      <c r="AQ1096" s="56"/>
      <c r="AR1096" s="56"/>
      <c r="AS1096" s="56"/>
    </row>
    <row r="1097" spans="1:4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D1097" s="56"/>
      <c r="AE1097" s="56"/>
      <c r="AF1097" s="56"/>
      <c r="AG1097" s="56"/>
      <c r="AH1097" s="56"/>
      <c r="AI1097" s="56"/>
      <c r="AJ1097" s="56"/>
      <c r="AQ1097" s="56"/>
      <c r="AR1097" s="56"/>
      <c r="AS1097" s="56"/>
    </row>
    <row r="1098" spans="1:4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D1098" s="56"/>
      <c r="AE1098" s="56"/>
      <c r="AF1098" s="56"/>
      <c r="AG1098" s="56"/>
      <c r="AH1098" s="56"/>
      <c r="AI1098" s="56"/>
      <c r="AJ1098" s="56"/>
      <c r="AQ1098" s="56"/>
      <c r="AR1098" s="56"/>
      <c r="AS1098" s="56"/>
    </row>
    <row r="1099" spans="1:4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D1099" s="56"/>
      <c r="AE1099" s="56"/>
      <c r="AF1099" s="56"/>
      <c r="AG1099" s="56"/>
      <c r="AH1099" s="56"/>
      <c r="AI1099" s="56"/>
      <c r="AJ1099" s="56"/>
      <c r="AQ1099" s="56"/>
      <c r="AR1099" s="56"/>
      <c r="AS1099" s="56"/>
    </row>
    <row r="1100" spans="1:4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D1100" s="56"/>
      <c r="AE1100" s="56"/>
      <c r="AF1100" s="56"/>
      <c r="AG1100" s="56"/>
      <c r="AH1100" s="56"/>
      <c r="AI1100" s="56"/>
      <c r="AJ1100" s="56"/>
      <c r="AQ1100" s="56"/>
      <c r="AR1100" s="56"/>
      <c r="AS1100" s="56"/>
    </row>
    <row r="1101" spans="1:4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D1101" s="56"/>
      <c r="AE1101" s="56"/>
      <c r="AF1101" s="56"/>
      <c r="AG1101" s="56"/>
      <c r="AH1101" s="56"/>
      <c r="AI1101" s="56"/>
      <c r="AJ1101" s="56"/>
      <c r="AQ1101" s="56"/>
      <c r="AR1101" s="56"/>
      <c r="AS1101" s="56"/>
    </row>
    <row r="1102" spans="1:4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D1102" s="56"/>
      <c r="AE1102" s="56"/>
      <c r="AF1102" s="56"/>
      <c r="AG1102" s="56"/>
      <c r="AH1102" s="56"/>
      <c r="AI1102" s="56"/>
      <c r="AJ1102" s="56"/>
      <c r="AQ1102" s="56"/>
      <c r="AR1102" s="56"/>
      <c r="AS1102" s="56"/>
    </row>
    <row r="1103" spans="1:4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D1103" s="56"/>
      <c r="AE1103" s="56"/>
      <c r="AF1103" s="56"/>
      <c r="AG1103" s="56"/>
      <c r="AH1103" s="56"/>
      <c r="AI1103" s="56"/>
      <c r="AJ1103" s="56"/>
      <c r="AQ1103" s="56"/>
      <c r="AR1103" s="56"/>
      <c r="AS1103" s="56"/>
    </row>
    <row r="1104" spans="1:4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D1104" s="56"/>
      <c r="AE1104" s="56"/>
      <c r="AF1104" s="56"/>
      <c r="AG1104" s="56"/>
      <c r="AH1104" s="56"/>
      <c r="AI1104" s="56"/>
      <c r="AJ1104" s="56"/>
      <c r="AQ1104" s="56"/>
      <c r="AR1104" s="56"/>
      <c r="AS1104" s="56"/>
    </row>
    <row r="1105" spans="1:4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D1105" s="56"/>
      <c r="AE1105" s="56"/>
      <c r="AF1105" s="56"/>
      <c r="AG1105" s="56"/>
      <c r="AH1105" s="56"/>
      <c r="AI1105" s="56"/>
      <c r="AJ1105" s="56"/>
      <c r="AQ1105" s="56"/>
      <c r="AR1105" s="56"/>
      <c r="AS1105" s="56"/>
    </row>
    <row r="1106" spans="1:4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D1106" s="56"/>
      <c r="AE1106" s="56"/>
      <c r="AF1106" s="56"/>
      <c r="AG1106" s="56"/>
      <c r="AH1106" s="56"/>
      <c r="AI1106" s="56"/>
      <c r="AJ1106" s="56"/>
      <c r="AQ1106" s="56"/>
      <c r="AR1106" s="56"/>
      <c r="AS1106" s="56"/>
    </row>
    <row r="1107" spans="1:4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D1107" s="56"/>
      <c r="AE1107" s="56"/>
      <c r="AF1107" s="56"/>
      <c r="AG1107" s="56"/>
      <c r="AH1107" s="56"/>
      <c r="AI1107" s="56"/>
      <c r="AJ1107" s="56"/>
      <c r="AQ1107" s="56"/>
      <c r="AR1107" s="56"/>
      <c r="AS1107" s="56"/>
    </row>
    <row r="1108" spans="1:4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D1108" s="56"/>
      <c r="AE1108" s="56"/>
      <c r="AF1108" s="56"/>
      <c r="AG1108" s="56"/>
      <c r="AH1108" s="56"/>
      <c r="AI1108" s="56"/>
      <c r="AJ1108" s="56"/>
      <c r="AQ1108" s="56"/>
      <c r="AR1108" s="56"/>
      <c r="AS1108" s="56"/>
    </row>
    <row r="1109" spans="1:4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D1109" s="56"/>
      <c r="AE1109" s="56"/>
      <c r="AF1109" s="56"/>
      <c r="AG1109" s="56"/>
      <c r="AH1109" s="56"/>
      <c r="AI1109" s="56"/>
      <c r="AJ1109" s="56"/>
      <c r="AQ1109" s="56"/>
      <c r="AR1109" s="56"/>
      <c r="AS1109" s="56"/>
    </row>
    <row r="1110" spans="1:4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D1110" s="56"/>
      <c r="AE1110" s="56"/>
      <c r="AF1110" s="56"/>
      <c r="AG1110" s="56"/>
      <c r="AH1110" s="56"/>
      <c r="AI1110" s="56"/>
      <c r="AJ1110" s="56"/>
      <c r="AQ1110" s="56"/>
      <c r="AR1110" s="56"/>
      <c r="AS1110" s="56"/>
    </row>
    <row r="1111" spans="1:4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D1111" s="56"/>
      <c r="AE1111" s="56"/>
      <c r="AF1111" s="56"/>
      <c r="AG1111" s="56"/>
      <c r="AH1111" s="56"/>
      <c r="AI1111" s="56"/>
      <c r="AJ1111" s="56"/>
      <c r="AQ1111" s="56"/>
      <c r="AR1111" s="56"/>
      <c r="AS1111" s="56"/>
    </row>
    <row r="1112" spans="1:4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D1112" s="56"/>
      <c r="AE1112" s="56"/>
      <c r="AF1112" s="56"/>
      <c r="AG1112" s="56"/>
      <c r="AH1112" s="56"/>
      <c r="AI1112" s="56"/>
      <c r="AJ1112" s="56"/>
      <c r="AQ1112" s="56"/>
      <c r="AR1112" s="56"/>
      <c r="AS1112" s="56"/>
    </row>
    <row r="1113" spans="1:4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D1113" s="56"/>
      <c r="AE1113" s="56"/>
      <c r="AF1113" s="56"/>
      <c r="AG1113" s="56"/>
      <c r="AH1113" s="56"/>
      <c r="AI1113" s="56"/>
      <c r="AJ1113" s="56"/>
      <c r="AQ1113" s="56"/>
      <c r="AR1113" s="56"/>
      <c r="AS1113" s="56"/>
    </row>
    <row r="1114" spans="1:4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D1114" s="56"/>
      <c r="AE1114" s="56"/>
      <c r="AF1114" s="56"/>
      <c r="AG1114" s="56"/>
      <c r="AH1114" s="56"/>
      <c r="AI1114" s="56"/>
      <c r="AJ1114" s="56"/>
      <c r="AQ1114" s="56"/>
      <c r="AR1114" s="56"/>
      <c r="AS1114" s="56"/>
    </row>
    <row r="1115" spans="1:4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D1115" s="56"/>
      <c r="AE1115" s="56"/>
      <c r="AF1115" s="56"/>
      <c r="AG1115" s="56"/>
      <c r="AH1115" s="56"/>
      <c r="AI1115" s="56"/>
      <c r="AJ1115" s="56"/>
      <c r="AQ1115" s="56"/>
      <c r="AR1115" s="56"/>
      <c r="AS1115" s="56"/>
    </row>
    <row r="1116" spans="1:4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D1116" s="56"/>
      <c r="AE1116" s="56"/>
      <c r="AF1116" s="56"/>
      <c r="AG1116" s="56"/>
      <c r="AH1116" s="56"/>
      <c r="AI1116" s="56"/>
      <c r="AJ1116" s="56"/>
      <c r="AQ1116" s="56"/>
      <c r="AR1116" s="56"/>
      <c r="AS1116" s="56"/>
    </row>
    <row r="1117" spans="1:4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D1117" s="56"/>
      <c r="AE1117" s="56"/>
      <c r="AF1117" s="56"/>
      <c r="AG1117" s="56"/>
      <c r="AH1117" s="56"/>
      <c r="AI1117" s="56"/>
      <c r="AJ1117" s="56"/>
      <c r="AQ1117" s="56"/>
      <c r="AR1117" s="56"/>
      <c r="AS1117" s="56"/>
    </row>
    <row r="1118" spans="1:4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D1118" s="56"/>
      <c r="AE1118" s="56"/>
      <c r="AF1118" s="56"/>
      <c r="AG1118" s="56"/>
      <c r="AH1118" s="56"/>
      <c r="AI1118" s="56"/>
      <c r="AJ1118" s="56"/>
      <c r="AQ1118" s="56"/>
      <c r="AR1118" s="56"/>
      <c r="AS1118" s="56"/>
    </row>
    <row r="1119" spans="1:4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D1119" s="56"/>
      <c r="AE1119" s="56"/>
      <c r="AF1119" s="56"/>
      <c r="AG1119" s="56"/>
      <c r="AH1119" s="56"/>
      <c r="AI1119" s="56"/>
      <c r="AJ1119" s="56"/>
      <c r="AQ1119" s="56"/>
      <c r="AR1119" s="56"/>
      <c r="AS1119" s="56"/>
    </row>
    <row r="1120" spans="1:4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D1120" s="56"/>
      <c r="AE1120" s="56"/>
      <c r="AF1120" s="56"/>
      <c r="AG1120" s="56"/>
      <c r="AH1120" s="56"/>
      <c r="AI1120" s="56"/>
      <c r="AJ1120" s="56"/>
      <c r="AQ1120" s="56"/>
      <c r="AR1120" s="56"/>
      <c r="AS1120" s="56"/>
    </row>
    <row r="1121" spans="1:4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D1121" s="56"/>
      <c r="AE1121" s="56"/>
      <c r="AF1121" s="56"/>
      <c r="AG1121" s="56"/>
      <c r="AH1121" s="56"/>
      <c r="AI1121" s="56"/>
      <c r="AJ1121" s="56"/>
      <c r="AQ1121" s="56"/>
      <c r="AR1121" s="56"/>
      <c r="AS1121" s="56"/>
    </row>
    <row r="1122" spans="1:4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D1122" s="56"/>
      <c r="AE1122" s="56"/>
      <c r="AF1122" s="56"/>
      <c r="AG1122" s="56"/>
      <c r="AH1122" s="56"/>
      <c r="AI1122" s="56"/>
      <c r="AJ1122" s="56"/>
      <c r="AQ1122" s="56"/>
      <c r="AR1122" s="56"/>
      <c r="AS1122" s="56"/>
    </row>
    <row r="1123" spans="1:4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D1123" s="56"/>
      <c r="AE1123" s="56"/>
      <c r="AF1123" s="56"/>
      <c r="AG1123" s="56"/>
      <c r="AH1123" s="56"/>
      <c r="AI1123" s="56"/>
      <c r="AJ1123" s="56"/>
      <c r="AQ1123" s="56"/>
      <c r="AR1123" s="56"/>
      <c r="AS1123" s="56"/>
    </row>
    <row r="1124" spans="1:4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D1124" s="56"/>
      <c r="AE1124" s="56"/>
      <c r="AF1124" s="56"/>
      <c r="AG1124" s="56"/>
      <c r="AH1124" s="56"/>
      <c r="AI1124" s="56"/>
      <c r="AJ1124" s="56"/>
      <c r="AQ1124" s="56"/>
      <c r="AR1124" s="56"/>
      <c r="AS1124" s="56"/>
    </row>
    <row r="1125" spans="1:4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D1125" s="56"/>
      <c r="AE1125" s="56"/>
      <c r="AF1125" s="56"/>
      <c r="AG1125" s="56"/>
      <c r="AH1125" s="56"/>
      <c r="AI1125" s="56"/>
      <c r="AJ1125" s="56"/>
      <c r="AQ1125" s="56"/>
      <c r="AR1125" s="56"/>
      <c r="AS1125" s="56"/>
    </row>
    <row r="1126" spans="1:4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D1126" s="56"/>
      <c r="AE1126" s="56"/>
      <c r="AF1126" s="56"/>
      <c r="AG1126" s="56"/>
      <c r="AH1126" s="56"/>
      <c r="AI1126" s="56"/>
      <c r="AJ1126" s="56"/>
      <c r="AQ1126" s="56"/>
      <c r="AR1126" s="56"/>
      <c r="AS1126" s="56"/>
    </row>
    <row r="1127" spans="1:4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D1127" s="56"/>
      <c r="AE1127" s="56"/>
      <c r="AF1127" s="56"/>
      <c r="AG1127" s="56"/>
      <c r="AH1127" s="56"/>
      <c r="AI1127" s="56"/>
      <c r="AJ1127" s="56"/>
      <c r="AQ1127" s="56"/>
      <c r="AR1127" s="56"/>
      <c r="AS1127" s="56"/>
    </row>
    <row r="1128" spans="1:4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D1128" s="56"/>
      <c r="AE1128" s="56"/>
      <c r="AF1128" s="56"/>
      <c r="AG1128" s="56"/>
      <c r="AH1128" s="56"/>
      <c r="AI1128" s="56"/>
      <c r="AJ1128" s="56"/>
      <c r="AQ1128" s="56"/>
      <c r="AR1128" s="56"/>
      <c r="AS1128" s="56"/>
    </row>
    <row r="1129" spans="1:4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D1129" s="56"/>
      <c r="AE1129" s="56"/>
      <c r="AF1129" s="56"/>
      <c r="AG1129" s="56"/>
      <c r="AH1129" s="56"/>
      <c r="AI1129" s="56"/>
      <c r="AJ1129" s="56"/>
      <c r="AQ1129" s="56"/>
      <c r="AR1129" s="56"/>
      <c r="AS1129" s="56"/>
    </row>
    <row r="1130" spans="1:4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D1130" s="56"/>
      <c r="AE1130" s="56"/>
      <c r="AF1130" s="56"/>
      <c r="AG1130" s="56"/>
      <c r="AH1130" s="56"/>
      <c r="AI1130" s="56"/>
      <c r="AJ1130" s="56"/>
      <c r="AQ1130" s="56"/>
      <c r="AR1130" s="56"/>
      <c r="AS1130" s="56"/>
    </row>
    <row r="1131" spans="1:4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D1131" s="56"/>
      <c r="AE1131" s="56"/>
      <c r="AF1131" s="56"/>
      <c r="AG1131" s="56"/>
      <c r="AH1131" s="56"/>
      <c r="AI1131" s="56"/>
      <c r="AJ1131" s="56"/>
      <c r="AQ1131" s="56"/>
      <c r="AR1131" s="56"/>
      <c r="AS1131" s="56"/>
    </row>
    <row r="1132" spans="1:4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D1132" s="56"/>
      <c r="AE1132" s="56"/>
      <c r="AF1132" s="56"/>
      <c r="AG1132" s="56"/>
      <c r="AH1132" s="56"/>
      <c r="AI1132" s="56"/>
      <c r="AJ1132" s="56"/>
      <c r="AQ1132" s="56"/>
      <c r="AR1132" s="56"/>
      <c r="AS1132" s="56"/>
    </row>
    <row r="1133" spans="1:4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D1133" s="56"/>
      <c r="AE1133" s="56"/>
      <c r="AF1133" s="56"/>
      <c r="AG1133" s="56"/>
      <c r="AH1133" s="56"/>
      <c r="AI1133" s="56"/>
      <c r="AJ1133" s="56"/>
      <c r="AQ1133" s="56"/>
      <c r="AR1133" s="56"/>
      <c r="AS1133" s="56"/>
    </row>
    <row r="1134" spans="1:4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D1134" s="56"/>
      <c r="AE1134" s="56"/>
      <c r="AF1134" s="56"/>
      <c r="AG1134" s="56"/>
      <c r="AH1134" s="56"/>
      <c r="AI1134" s="56"/>
      <c r="AJ1134" s="56"/>
      <c r="AQ1134" s="56"/>
      <c r="AR1134" s="56"/>
      <c r="AS1134" s="56"/>
    </row>
    <row r="1135" spans="1:4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D1135" s="56"/>
      <c r="AE1135" s="56"/>
      <c r="AF1135" s="56"/>
      <c r="AG1135" s="56"/>
      <c r="AH1135" s="56"/>
      <c r="AI1135" s="56"/>
      <c r="AJ1135" s="56"/>
      <c r="AQ1135" s="56"/>
      <c r="AR1135" s="56"/>
      <c r="AS1135" s="56"/>
    </row>
    <row r="1136" spans="1:4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D1136" s="56"/>
      <c r="AE1136" s="56"/>
      <c r="AF1136" s="56"/>
      <c r="AG1136" s="56"/>
      <c r="AH1136" s="56"/>
      <c r="AI1136" s="56"/>
      <c r="AJ1136" s="56"/>
      <c r="AQ1136" s="56"/>
      <c r="AR1136" s="56"/>
      <c r="AS1136" s="56"/>
    </row>
    <row r="1137" spans="1:4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D1137" s="56"/>
      <c r="AE1137" s="56"/>
      <c r="AF1137" s="56"/>
      <c r="AG1137" s="56"/>
      <c r="AH1137" s="56"/>
      <c r="AI1137" s="56"/>
      <c r="AJ1137" s="56"/>
      <c r="AQ1137" s="56"/>
      <c r="AR1137" s="56"/>
      <c r="AS1137" s="56"/>
    </row>
    <row r="1138" spans="1:4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D1138" s="56"/>
      <c r="AE1138" s="56"/>
      <c r="AF1138" s="56"/>
      <c r="AG1138" s="56"/>
      <c r="AH1138" s="56"/>
      <c r="AI1138" s="56"/>
      <c r="AJ1138" s="56"/>
      <c r="AQ1138" s="56"/>
      <c r="AR1138" s="56"/>
      <c r="AS1138" s="56"/>
    </row>
    <row r="1139" spans="1:4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D1139" s="56"/>
      <c r="AE1139" s="56"/>
      <c r="AF1139" s="56"/>
      <c r="AG1139" s="56"/>
      <c r="AH1139" s="56"/>
      <c r="AI1139" s="56"/>
      <c r="AJ1139" s="56"/>
      <c r="AQ1139" s="56"/>
      <c r="AR1139" s="56"/>
      <c r="AS1139" s="56"/>
    </row>
    <row r="1140" spans="1:4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D1140" s="56"/>
      <c r="AE1140" s="56"/>
      <c r="AF1140" s="56"/>
      <c r="AG1140" s="56"/>
      <c r="AH1140" s="56"/>
      <c r="AI1140" s="56"/>
      <c r="AJ1140" s="56"/>
      <c r="AQ1140" s="56"/>
      <c r="AR1140" s="56"/>
      <c r="AS1140" s="56"/>
    </row>
    <row r="1141" spans="1:4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D1141" s="56"/>
      <c r="AE1141" s="56"/>
      <c r="AF1141" s="56"/>
      <c r="AG1141" s="56"/>
      <c r="AH1141" s="56"/>
      <c r="AI1141" s="56"/>
      <c r="AJ1141" s="56"/>
      <c r="AQ1141" s="56"/>
      <c r="AR1141" s="56"/>
      <c r="AS1141" s="56"/>
    </row>
    <row r="1142" spans="1:4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D1142" s="56"/>
      <c r="AE1142" s="56"/>
      <c r="AF1142" s="56"/>
      <c r="AG1142" s="56"/>
      <c r="AH1142" s="56"/>
      <c r="AI1142" s="56"/>
      <c r="AJ1142" s="56"/>
      <c r="AQ1142" s="56"/>
      <c r="AR1142" s="56"/>
      <c r="AS1142" s="56"/>
    </row>
    <row r="1143" spans="1:4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D1143" s="56"/>
      <c r="AE1143" s="56"/>
      <c r="AF1143" s="56"/>
      <c r="AG1143" s="56"/>
      <c r="AH1143" s="56"/>
      <c r="AI1143" s="56"/>
      <c r="AJ1143" s="56"/>
      <c r="AQ1143" s="56"/>
      <c r="AR1143" s="56"/>
      <c r="AS1143" s="56"/>
    </row>
    <row r="1144" spans="1:4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D1144" s="56"/>
      <c r="AE1144" s="56"/>
      <c r="AF1144" s="56"/>
      <c r="AG1144" s="56"/>
      <c r="AH1144" s="56"/>
      <c r="AI1144" s="56"/>
      <c r="AJ1144" s="56"/>
      <c r="AQ1144" s="56"/>
      <c r="AR1144" s="56"/>
      <c r="AS1144" s="56"/>
    </row>
    <row r="1145" spans="1:4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D1145" s="56"/>
      <c r="AE1145" s="56"/>
      <c r="AF1145" s="56"/>
      <c r="AG1145" s="56"/>
      <c r="AH1145" s="56"/>
      <c r="AI1145" s="56"/>
      <c r="AJ1145" s="56"/>
      <c r="AQ1145" s="56"/>
      <c r="AR1145" s="56"/>
      <c r="AS1145" s="56"/>
    </row>
    <row r="1146" spans="1:4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D1146" s="56"/>
      <c r="AE1146" s="56"/>
      <c r="AF1146" s="56"/>
      <c r="AG1146" s="56"/>
      <c r="AH1146" s="56"/>
      <c r="AI1146" s="56"/>
      <c r="AJ1146" s="56"/>
      <c r="AQ1146" s="56"/>
      <c r="AR1146" s="56"/>
      <c r="AS1146" s="56"/>
    </row>
    <row r="1147" spans="1:4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D1147" s="56"/>
      <c r="AE1147" s="56"/>
      <c r="AF1147" s="56"/>
      <c r="AG1147" s="56"/>
      <c r="AH1147" s="56"/>
      <c r="AI1147" s="56"/>
      <c r="AJ1147" s="56"/>
      <c r="AQ1147" s="56"/>
      <c r="AR1147" s="56"/>
      <c r="AS1147" s="56"/>
    </row>
    <row r="1148" spans="1:4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D1148" s="56"/>
      <c r="AE1148" s="56"/>
      <c r="AF1148" s="56"/>
      <c r="AG1148" s="56"/>
      <c r="AH1148" s="56"/>
      <c r="AI1148" s="56"/>
      <c r="AJ1148" s="56"/>
      <c r="AQ1148" s="56"/>
      <c r="AR1148" s="56"/>
      <c r="AS1148" s="56"/>
    </row>
    <row r="1149" spans="1:4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D1149" s="56"/>
      <c r="AE1149" s="56"/>
      <c r="AF1149" s="56"/>
      <c r="AG1149" s="56"/>
      <c r="AH1149" s="56"/>
      <c r="AI1149" s="56"/>
      <c r="AJ1149" s="56"/>
      <c r="AQ1149" s="56"/>
      <c r="AR1149" s="56"/>
      <c r="AS1149" s="56"/>
    </row>
    <row r="1150" spans="1:4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D1150" s="56"/>
      <c r="AE1150" s="56"/>
      <c r="AF1150" s="56"/>
      <c r="AG1150" s="56"/>
      <c r="AH1150" s="56"/>
      <c r="AI1150" s="56"/>
      <c r="AJ1150" s="56"/>
      <c r="AQ1150" s="56"/>
      <c r="AR1150" s="56"/>
      <c r="AS1150" s="56"/>
    </row>
    <row r="1151" spans="1:4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D1151" s="56"/>
      <c r="AE1151" s="56"/>
      <c r="AF1151" s="56"/>
      <c r="AG1151" s="56"/>
      <c r="AH1151" s="56"/>
      <c r="AI1151" s="56"/>
      <c r="AJ1151" s="56"/>
      <c r="AQ1151" s="56"/>
      <c r="AR1151" s="56"/>
      <c r="AS1151" s="56"/>
    </row>
    <row r="1152" spans="1:4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D1152" s="56"/>
      <c r="AE1152" s="56"/>
      <c r="AF1152" s="56"/>
      <c r="AG1152" s="56"/>
      <c r="AH1152" s="56"/>
      <c r="AI1152" s="56"/>
      <c r="AJ1152" s="56"/>
      <c r="AQ1152" s="56"/>
      <c r="AR1152" s="56"/>
      <c r="AS1152" s="56"/>
    </row>
    <row r="1153" spans="3:4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D1153" s="56"/>
      <c r="AE1153" s="56"/>
      <c r="AF1153" s="56"/>
      <c r="AG1153" s="56"/>
      <c r="AH1153" s="56"/>
      <c r="AI1153" s="56"/>
      <c r="AJ1153" s="56"/>
      <c r="AQ1153" s="56"/>
      <c r="AR1153" s="56"/>
      <c r="AS1153" s="56"/>
    </row>
    <row r="1154" spans="3:4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D1154" s="56"/>
      <c r="AE1154" s="56"/>
      <c r="AF1154" s="56"/>
      <c r="AG1154" s="56"/>
      <c r="AH1154" s="56"/>
      <c r="AI1154" s="56"/>
      <c r="AJ1154" s="56"/>
      <c r="AQ1154" s="56"/>
      <c r="AR1154" s="56"/>
      <c r="AS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H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46" max="52" width="11.5703125" style="1" customWidth="1"/>
    <col min="53" max="58" width="13" style="1" customWidth="1"/>
    <col min="59" max="60" width="11.5703125" style="56" customWidth="1"/>
    <col min="61" max="61" width="12.42578125" style="56" customWidth="1"/>
    <col min="62" max="62" width="12.5703125" style="56" customWidth="1"/>
    <col min="63" max="63" width="12.140625" style="56" customWidth="1"/>
    <col min="64" max="66" width="13" style="56" customWidth="1"/>
    <col min="67" max="70" width="11.5703125" style="1" customWidth="1"/>
    <col min="85" max="96" width="13" style="56" customWidth="1"/>
    <col min="97" max="101" width="11.5703125" style="56" customWidth="1"/>
    <col min="102" max="112" width="13" style="56" customWidth="1"/>
    <col min="113" max="16384" width="9.140625" style="56"/>
  </cols>
  <sheetData>
    <row r="1" spans="1:112" s="1" customFormat="1" ht="23.25" x14ac:dyDescent="0.35">
      <c r="A1" s="83"/>
      <c r="C1" s="70" t="s">
        <v>1315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4" t="s">
        <v>447</v>
      </c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</row>
    <row r="2" spans="1:112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</row>
    <row r="3" spans="1:112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1488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64" t="s">
        <v>506</v>
      </c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6"/>
      <c r="BO3" s="64" t="s">
        <v>507</v>
      </c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6"/>
    </row>
    <row r="4" spans="1:112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13" t="s">
        <v>83</v>
      </c>
      <c r="N4" s="13" t="s">
        <v>84</v>
      </c>
      <c r="O4" s="13" t="s">
        <v>85</v>
      </c>
      <c r="P4" s="13" t="s">
        <v>87</v>
      </c>
      <c r="Q4" s="13" t="s">
        <v>88</v>
      </c>
      <c r="R4" s="13" t="s">
        <v>89</v>
      </c>
      <c r="S4" s="13" t="s">
        <v>90</v>
      </c>
      <c r="T4" s="13" t="s">
        <v>91</v>
      </c>
      <c r="U4" s="13" t="s">
        <v>92</v>
      </c>
      <c r="V4" s="13" t="s">
        <v>93</v>
      </c>
      <c r="W4" s="13" t="s">
        <v>94</v>
      </c>
      <c r="X4" s="13" t="s">
        <v>95</v>
      </c>
      <c r="Y4" s="13" t="s">
        <v>96</v>
      </c>
      <c r="Z4" s="13" t="s">
        <v>97</v>
      </c>
      <c r="AA4" s="13" t="s">
        <v>98</v>
      </c>
      <c r="AB4" s="8" t="s">
        <v>510</v>
      </c>
      <c r="AC4" s="13" t="s">
        <v>511</v>
      </c>
      <c r="AD4" s="13" t="s">
        <v>512</v>
      </c>
      <c r="AE4" s="13" t="s">
        <v>513</v>
      </c>
      <c r="AF4" s="13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405</v>
      </c>
      <c r="AU4" s="11" t="s">
        <v>423</v>
      </c>
      <c r="AV4" s="11" t="s">
        <v>424</v>
      </c>
      <c r="AW4" s="67" t="s">
        <v>81</v>
      </c>
      <c r="AX4" s="68" t="s">
        <v>86</v>
      </c>
      <c r="AY4" s="68" t="s">
        <v>82</v>
      </c>
      <c r="AZ4" s="68" t="s">
        <v>83</v>
      </c>
      <c r="BA4" s="68" t="s">
        <v>84</v>
      </c>
      <c r="BB4" s="68" t="s">
        <v>85</v>
      </c>
      <c r="BC4" s="68" t="s">
        <v>87</v>
      </c>
      <c r="BD4" s="68" t="s">
        <v>88</v>
      </c>
      <c r="BE4" s="68" t="s">
        <v>89</v>
      </c>
      <c r="BF4" s="68" t="s">
        <v>90</v>
      </c>
      <c r="BG4" s="68" t="s">
        <v>91</v>
      </c>
      <c r="BH4" s="68" t="s">
        <v>92</v>
      </c>
      <c r="BI4" s="68" t="s">
        <v>93</v>
      </c>
      <c r="BJ4" s="68" t="s">
        <v>94</v>
      </c>
      <c r="BK4" s="68" t="s">
        <v>95</v>
      </c>
      <c r="BL4" s="68" t="s">
        <v>96</v>
      </c>
      <c r="BM4" s="68" t="s">
        <v>97</v>
      </c>
      <c r="BN4" s="69" t="s">
        <v>98</v>
      </c>
      <c r="BO4" s="67" t="s">
        <v>510</v>
      </c>
      <c r="BP4" s="68" t="s">
        <v>511</v>
      </c>
      <c r="BQ4" s="68" t="s">
        <v>512</v>
      </c>
      <c r="BR4" s="68" t="s">
        <v>513</v>
      </c>
      <c r="BS4" s="68" t="s">
        <v>514</v>
      </c>
      <c r="BT4" s="68" t="s">
        <v>515</v>
      </c>
      <c r="BU4" s="68" t="s">
        <v>516</v>
      </c>
      <c r="BV4" s="68" t="s">
        <v>517</v>
      </c>
      <c r="BW4" s="68" t="s">
        <v>518</v>
      </c>
      <c r="BX4" s="68" t="s">
        <v>519</v>
      </c>
      <c r="BY4" s="68" t="s">
        <v>520</v>
      </c>
      <c r="BZ4" s="68" t="s">
        <v>521</v>
      </c>
      <c r="CA4" s="68" t="s">
        <v>522</v>
      </c>
      <c r="CB4" s="68" t="s">
        <v>523</v>
      </c>
      <c r="CC4" s="68" t="s">
        <v>524</v>
      </c>
      <c r="CD4" s="68" t="s">
        <v>525</v>
      </c>
      <c r="CE4" s="68" t="s">
        <v>526</v>
      </c>
      <c r="CF4" s="69" t="s">
        <v>527</v>
      </c>
    </row>
    <row r="5" spans="1:112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W5" s="47">
        <f>SUBTOTAL(109,tbclinic_T[hts_tst_tbclinic_u1_unk_pos])</f>
        <v>0</v>
      </c>
      <c r="AX5" s="47">
        <f>SUBTOTAL(109,tbclinic_T[hts_tst_tbclinic_0109_unk_pos])</f>
        <v>0</v>
      </c>
      <c r="AY5" s="47">
        <f>SUBTOTAL(109,tbclinic_T[hts_tst_tbclinic_1014_f_pos])</f>
        <v>0</v>
      </c>
      <c r="AZ5" s="47">
        <f>SUBTOTAL(109,tbclinic_T[hts_tst_tbclinic_1014_m_pos])</f>
        <v>0</v>
      </c>
      <c r="BA5" s="47">
        <f>SUBTOTAL(109,tbclinic_T[hts_tst_tbclinic_1519_f_pos])</f>
        <v>0</v>
      </c>
      <c r="BB5" s="47">
        <f>SUBTOTAL(109,tbclinic_T[hts_tst_tbclinic_1519_m_pos])</f>
        <v>0</v>
      </c>
      <c r="BC5" s="47">
        <f>SUBTOTAL(109,tbclinic_T[hts_tst_tbclinic_2024_f_pos])</f>
        <v>0</v>
      </c>
      <c r="BD5" s="47">
        <f>SUBTOTAL(109,tbclinic_T[hts_tst_tbclinic_2024_m_pos])</f>
        <v>0</v>
      </c>
      <c r="BE5" s="47">
        <f>SUBTOTAL(109,tbclinic_T[hts_tst_tbclinic_2529_f_pos])</f>
        <v>0</v>
      </c>
      <c r="BF5" s="47">
        <f>SUBTOTAL(109,tbclinic_T[hts_tst_tbclinic_2529_m_pos])</f>
        <v>0</v>
      </c>
      <c r="BG5" s="47">
        <f>SUBTOTAL(109,tbclinic_T[hts_tst_tbclinic_3034_f_pos])</f>
        <v>0</v>
      </c>
      <c r="BH5" s="47">
        <f>SUBTOTAL(109,tbclinic_T[hts_tst_tbclinic_3034_m_pos])</f>
        <v>0</v>
      </c>
      <c r="BI5" s="47">
        <f>SUBTOTAL(109,tbclinic_T[hts_tst_tbclinic_3539_f_pos])</f>
        <v>0</v>
      </c>
      <c r="BJ5" s="47">
        <f>SUBTOTAL(109,tbclinic_T[hts_tst_tbclinic_3539_m_pos])</f>
        <v>0</v>
      </c>
      <c r="BK5" s="47">
        <f>SUBTOTAL(109,tbclinic_T[hts_tst_tbclinic_4049_f_pos])</f>
        <v>0</v>
      </c>
      <c r="BL5" s="47">
        <f>SUBTOTAL(109,tbclinic_T[hts_tst_tbclinic_4049_m_pos])</f>
        <v>0</v>
      </c>
      <c r="BM5" s="47">
        <f>SUBTOTAL(109,tbclinic_T[hts_tst_tbclinic_o50_f_pos])</f>
        <v>0</v>
      </c>
      <c r="BN5" s="47">
        <f>SUBTOTAL(109,tbclinic_T[hts_tst_tbclinic_o50_m_pos])</f>
        <v>0</v>
      </c>
      <c r="BO5" s="47">
        <f>SUBTOTAL(109,tbclinic_T[hts_tst_tbclinic_u1_unk_neg])</f>
        <v>0</v>
      </c>
      <c r="BP5" s="47">
        <f>SUBTOTAL(109,tbclinic_T[hts_tst_tbclinic_0109_unk_neg])</f>
        <v>0</v>
      </c>
      <c r="BQ5" s="47">
        <f>SUBTOTAL(109,tbclinic_T[hts_tst_tbclinic_1014_f_neg])</f>
        <v>0</v>
      </c>
      <c r="BR5" s="47">
        <f>SUBTOTAL(109,tbclinic_T[hts_tst_tbclinic_1014_m_neg])</f>
        <v>0</v>
      </c>
      <c r="BS5" s="47">
        <f>SUBTOTAL(109,tbclinic_T[hts_tst_tbclinic_1519_f_neg])</f>
        <v>0</v>
      </c>
      <c r="BT5" s="47">
        <f>SUBTOTAL(109,tbclinic_T[hts_tst_tbclinic_1519_m_neg])</f>
        <v>0</v>
      </c>
      <c r="BU5" s="47">
        <f>SUBTOTAL(109,tbclinic_T[hts_tst_tbclinic_2024_f_neg])</f>
        <v>0</v>
      </c>
      <c r="BV5" s="47">
        <f>SUBTOTAL(109,tbclinic_T[hts_tst_tbclinic_2024_m_neg])</f>
        <v>0</v>
      </c>
      <c r="BW5" s="47">
        <f>SUBTOTAL(109,tbclinic_T[hts_tst_tbclinic_2529_f_neg])</f>
        <v>0</v>
      </c>
      <c r="BX5" s="47">
        <f>SUBTOTAL(109,tbclinic_T[hts_tst_tbclinic_2529_m_neg])</f>
        <v>0</v>
      </c>
      <c r="BY5" s="47">
        <f>SUBTOTAL(109,tbclinic_T[hts_tst_tbclinic_3034_f_neg])</f>
        <v>0</v>
      </c>
      <c r="BZ5" s="47">
        <f>SUBTOTAL(109,tbclinic_T[hts_tst_tbclinic_3034_m_neg])</f>
        <v>0</v>
      </c>
      <c r="CA5" s="47">
        <f>SUBTOTAL(109,tbclinic_T[hts_tst_tbclinic_3539_f_neg])</f>
        <v>0</v>
      </c>
      <c r="CB5" s="47">
        <f>SUBTOTAL(109,tbclinic_T[hts_tst_tbclinic_3539_m_neg])</f>
        <v>0</v>
      </c>
      <c r="CC5" s="47">
        <f>SUBTOTAL(109,tbclinic_T[hts_tst_tbclinic_4049_f_neg])</f>
        <v>0</v>
      </c>
      <c r="CD5" s="47">
        <f>SUBTOTAL(109,tbclinic_T[hts_tst_tbclinic_4049_m_neg])</f>
        <v>0</v>
      </c>
      <c r="CE5" s="47">
        <f>SUBTOTAL(109,tbclinic_T[hts_tst_tbclinic_o50_f_neg])</f>
        <v>0</v>
      </c>
      <c r="CF5" s="47">
        <f>SUBTOTAL(109,tbclinic_T[hts_tst_tbclinic_o50_m_neg])</f>
        <v>0</v>
      </c>
    </row>
    <row r="6" spans="1:112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1316</v>
      </c>
      <c r="K6" s="25" t="s">
        <v>1317</v>
      </c>
      <c r="L6" s="25" t="s">
        <v>1318</v>
      </c>
      <c r="M6" s="25" t="s">
        <v>1319</v>
      </c>
      <c r="N6" s="25" t="s">
        <v>1324</v>
      </c>
      <c r="O6" s="25" t="s">
        <v>1325</v>
      </c>
      <c r="P6" s="25" t="s">
        <v>1326</v>
      </c>
      <c r="Q6" s="25" t="s">
        <v>1327</v>
      </c>
      <c r="R6" s="25" t="s">
        <v>1328</v>
      </c>
      <c r="S6" s="25" t="s">
        <v>1329</v>
      </c>
      <c r="T6" s="25" t="s">
        <v>1330</v>
      </c>
      <c r="U6" s="25" t="s">
        <v>1331</v>
      </c>
      <c r="V6" s="25" t="s">
        <v>1332</v>
      </c>
      <c r="W6" s="25" t="s">
        <v>1333</v>
      </c>
      <c r="X6" s="25" t="s">
        <v>1334</v>
      </c>
      <c r="Y6" s="25" t="s">
        <v>1335</v>
      </c>
      <c r="Z6" s="25" t="s">
        <v>1336</v>
      </c>
      <c r="AA6" s="25" t="s">
        <v>1337</v>
      </c>
      <c r="AB6" s="25" t="s">
        <v>1320</v>
      </c>
      <c r="AC6" s="25" t="s">
        <v>1321</v>
      </c>
      <c r="AD6" s="25" t="s">
        <v>1322</v>
      </c>
      <c r="AE6" s="25" t="s">
        <v>1323</v>
      </c>
      <c r="AF6" s="25" t="s">
        <v>1338</v>
      </c>
      <c r="AG6" s="25" t="s">
        <v>1339</v>
      </c>
      <c r="AH6" s="25" t="s">
        <v>1340</v>
      </c>
      <c r="AI6" s="25" t="s">
        <v>1341</v>
      </c>
      <c r="AJ6" s="25" t="s">
        <v>1342</v>
      </c>
      <c r="AK6" s="25" t="s">
        <v>1343</v>
      </c>
      <c r="AL6" s="25" t="s">
        <v>1344</v>
      </c>
      <c r="AM6" s="25" t="s">
        <v>1345</v>
      </c>
      <c r="AN6" s="25" t="s">
        <v>1346</v>
      </c>
      <c r="AO6" s="25" t="s">
        <v>1347</v>
      </c>
      <c r="AP6" s="25" t="s">
        <v>1348</v>
      </c>
      <c r="AQ6" s="25" t="s">
        <v>1349</v>
      </c>
      <c r="AR6" s="25" t="s">
        <v>1350</v>
      </c>
      <c r="AS6" s="25" t="s">
        <v>1351</v>
      </c>
      <c r="AT6" s="25" t="s">
        <v>418</v>
      </c>
      <c r="AU6" s="25" t="s">
        <v>436</v>
      </c>
      <c r="AV6" s="25" t="s">
        <v>437</v>
      </c>
      <c r="AW6" s="25" t="s">
        <v>1352</v>
      </c>
      <c r="AX6" s="25" t="s">
        <v>1353</v>
      </c>
      <c r="AY6" s="25" t="s">
        <v>1354</v>
      </c>
      <c r="AZ6" s="25" t="s">
        <v>1355</v>
      </c>
      <c r="BA6" s="25" t="s">
        <v>1360</v>
      </c>
      <c r="BB6" s="25" t="s">
        <v>1361</v>
      </c>
      <c r="BC6" s="25" t="s">
        <v>1362</v>
      </c>
      <c r="BD6" s="25" t="s">
        <v>1363</v>
      </c>
      <c r="BE6" s="25" t="s">
        <v>1364</v>
      </c>
      <c r="BF6" s="25" t="s">
        <v>1365</v>
      </c>
      <c r="BG6" s="25" t="s">
        <v>1366</v>
      </c>
      <c r="BH6" s="25" t="s">
        <v>1367</v>
      </c>
      <c r="BI6" s="25" t="s">
        <v>1368</v>
      </c>
      <c r="BJ6" s="25" t="s">
        <v>1369</v>
      </c>
      <c r="BK6" s="25" t="s">
        <v>1370</v>
      </c>
      <c r="BL6" s="25" t="s">
        <v>1371</v>
      </c>
      <c r="BM6" s="25" t="s">
        <v>1372</v>
      </c>
      <c r="BN6" s="25" t="s">
        <v>1373</v>
      </c>
      <c r="BO6" s="25" t="s">
        <v>1356</v>
      </c>
      <c r="BP6" s="25" t="s">
        <v>1357</v>
      </c>
      <c r="BQ6" s="25" t="s">
        <v>1358</v>
      </c>
      <c r="BR6" s="25" t="s">
        <v>1359</v>
      </c>
      <c r="BS6" s="25" t="s">
        <v>1374</v>
      </c>
      <c r="BT6" s="25" t="s">
        <v>1375</v>
      </c>
      <c r="BU6" s="25" t="s">
        <v>1376</v>
      </c>
      <c r="BV6" s="25" t="s">
        <v>1377</v>
      </c>
      <c r="BW6" s="25" t="s">
        <v>1378</v>
      </c>
      <c r="BX6" s="25" t="s">
        <v>1379</v>
      </c>
      <c r="BY6" s="25" t="s">
        <v>1380</v>
      </c>
      <c r="BZ6" s="25" t="s">
        <v>1381</v>
      </c>
      <c r="CA6" s="25" t="s">
        <v>1382</v>
      </c>
      <c r="CB6" s="25" t="s">
        <v>1383</v>
      </c>
      <c r="CC6" s="25" t="s">
        <v>1384</v>
      </c>
      <c r="CD6" s="25" t="s">
        <v>1385</v>
      </c>
      <c r="CE6" s="25" t="s">
        <v>1386</v>
      </c>
      <c r="CF6" s="25" t="s">
        <v>1387</v>
      </c>
    </row>
    <row r="7" spans="1:112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>
        <f>tbclinic_T[[D_tb_stat_newpos_fy19]:[D_tb_stat_newpos_fy19]]*tbclinic_T[A_hts_tst_tbclinic_u1_unk_pos]</f>
        <v>0</v>
      </c>
      <c r="AX7" s="41">
        <f>tbclinic_T[[D_tb_stat_newpos_fy19]:[D_tb_stat_newpos_fy19]]*tbclinic_T[A_hts_tst_tbclinic_0109_unk_pos]</f>
        <v>0</v>
      </c>
      <c r="AY7" s="41">
        <f>tbclinic_T[[D_tb_stat_newpos_fy19]:[D_tb_stat_newpos_fy19]]*tbclinic_T[A_hts_tst_tbclinic_1014_f_pos]</f>
        <v>0</v>
      </c>
      <c r="AZ7" s="41">
        <f>tbclinic_T[[D_tb_stat_newpos_fy19]:[D_tb_stat_newpos_fy19]]*tbclinic_T[A_hts_tst_tbclinic_1014_m_pos]</f>
        <v>0</v>
      </c>
      <c r="BA7" s="41">
        <f>tbclinic_T[[D_tb_stat_newpos_fy19]:[D_tb_stat_newpos_fy19]]*tbclinic_T[A_hts_tst_tbclinic_1519_f_pos]</f>
        <v>0</v>
      </c>
      <c r="BB7" s="41">
        <f>tbclinic_T[[D_tb_stat_newpos_fy19]:[D_tb_stat_newpos_fy19]]*tbclinic_T[A_hts_tst_tbclinic_1519_m_pos]</f>
        <v>0</v>
      </c>
      <c r="BC7" s="41">
        <f>tbclinic_T[[D_tb_stat_newpos_fy19]:[D_tb_stat_newpos_fy19]]*tbclinic_T[A_hts_tst_tbclinic_2024_f_pos]</f>
        <v>0</v>
      </c>
      <c r="BD7" s="41">
        <f>tbclinic_T[[D_tb_stat_newpos_fy19]:[D_tb_stat_newpos_fy19]]*tbclinic_T[A_hts_tst_tbclinic_2024_m_pos]</f>
        <v>0</v>
      </c>
      <c r="BE7" s="41">
        <f>tbclinic_T[[D_tb_stat_newpos_fy19]:[D_tb_stat_newpos_fy19]]*tbclinic_T[A_hts_tst_tbclinic_2529_f_pos]</f>
        <v>0</v>
      </c>
      <c r="BF7" s="41">
        <f>tbclinic_T[[D_tb_stat_newpos_fy19]:[D_tb_stat_newpos_fy19]]*tbclinic_T[A_hts_tst_tbclinic_2529_m_pos]</f>
        <v>0</v>
      </c>
      <c r="BG7" s="41">
        <f>tbclinic_T[[D_tb_stat_newpos_fy19]:[D_tb_stat_newpos_fy19]]*tbclinic_T[A_hts_tst_tbclinic_3034_f_pos]</f>
        <v>0</v>
      </c>
      <c r="BH7" s="41">
        <f>tbclinic_T[[D_tb_stat_newpos_fy19]:[D_tb_stat_newpos_fy19]]*tbclinic_T[A_hts_tst_tbclinic_3034_m__pos]</f>
        <v>0</v>
      </c>
      <c r="BI7" s="41">
        <f>tbclinic_T[[D_tb_stat_newpos_fy19]:[D_tb_stat_newpos_fy19]]*tbclinic_T[A_hts_tst_tbclinic_3539_f_pos]</f>
        <v>0</v>
      </c>
      <c r="BJ7" s="41">
        <f>tbclinic_T[[D_tb_stat_newpos_fy19]:[D_tb_stat_newpos_fy19]]*tbclinic_T[A_hts_tst_tbclinic_3539_m__pos]</f>
        <v>0</v>
      </c>
      <c r="BK7" s="41">
        <f>tbclinic_T[[D_tb_stat_newpos_fy19]:[D_tb_stat_newpos_fy19]]*tbclinic_T[A_hts_tst_tbclinic_4049_f_pos]</f>
        <v>0</v>
      </c>
      <c r="BL7" s="41">
        <f>tbclinic_T[[D_tb_stat_newpos_fy19]:[D_tb_stat_newpos_fy19]]*tbclinic_T[A_hts_tst_tbclinic_4049_m_pos]</f>
        <v>0</v>
      </c>
      <c r="BM7" s="41">
        <f>tbclinic_T[[D_tb_stat_newpos_fy19]:[D_tb_stat_newpos_fy19]]*tbclinic_T[A_hts_tst_tbclinic_o50_f_pos]</f>
        <v>0</v>
      </c>
      <c r="BN7" s="41">
        <f>tbclinic_T[[D_tb_stat_newpos_fy19]:[D_tb_stat_newpos_fy19]]*tbclinic_T[A_hts_tst_tbclinic_o50_m_pos]</f>
        <v>0</v>
      </c>
      <c r="BO7" s="41">
        <f>tbclinic_T[[D_tb_stat_newneg_fy19]:[D_tb_stat_newneg_fy19]]*tbclinic_T[A_hts_tst_tbclinic_u1_unk_neg]</f>
        <v>0</v>
      </c>
      <c r="BP7" s="41">
        <f>tbclinic_T[[D_tb_stat_newneg_fy19]:[D_tb_stat_newneg_fy19]]*tbclinic_T[A_hts_tst_tbclinic_0109_unk_neg]</f>
        <v>0</v>
      </c>
      <c r="BQ7" s="41">
        <f>tbclinic_T[[D_tb_stat_newneg_fy19]:[D_tb_stat_newneg_fy19]]*tbclinic_T[A_hts_tst_tbclinic_1014_f_neg]</f>
        <v>0</v>
      </c>
      <c r="BR7" s="41">
        <f>tbclinic_T[[D_tb_stat_newneg_fy19]:[D_tb_stat_newneg_fy19]]*tbclinic_T[A_hts_tst_tbclinic_1014_m_neg]</f>
        <v>0</v>
      </c>
      <c r="BS7" s="41">
        <f>tbclinic_T[[D_tb_stat_newneg_fy19]:[D_tb_stat_newneg_fy19]]*tbclinic_T[A_hts_tst_tbclinic_1519_f_neg]</f>
        <v>0</v>
      </c>
      <c r="BT7" s="41">
        <f>tbclinic_T[[D_tb_stat_newneg_fy19]:[D_tb_stat_newneg_fy19]]*tbclinic_T[A_hts_tst_tbclinic_1519_m_neg]</f>
        <v>0</v>
      </c>
      <c r="BU7" s="41">
        <f>tbclinic_T[[D_tb_stat_newneg_fy19]:[D_tb_stat_newneg_fy19]]*tbclinic_T[A_hts_tst_tbclinic_2024_f_neg]</f>
        <v>0</v>
      </c>
      <c r="BV7" s="41">
        <f>tbclinic_T[[D_tb_stat_newneg_fy19]:[D_tb_stat_newneg_fy19]]*tbclinic_T[A_hts_tst_tbclinic_2024_m_neg]</f>
        <v>0</v>
      </c>
      <c r="BW7" s="41">
        <f>tbclinic_T[[D_tb_stat_newneg_fy19]:[D_tb_stat_newneg_fy19]]*tbclinic_T[A_hts_tst_tbclinic_2529_f_neg]</f>
        <v>0</v>
      </c>
      <c r="BX7" s="41">
        <f>tbclinic_T[[D_tb_stat_newneg_fy19]:[D_tb_stat_newneg_fy19]]*tbclinic_T[A_hts_tst_tbclinic_2529_m_neg]</f>
        <v>0</v>
      </c>
      <c r="BY7" s="41">
        <f>tbclinic_T[[D_tb_stat_newneg_fy19]:[D_tb_stat_newneg_fy19]]*tbclinic_T[A_hts_tst_tbclinic_3034_f_neg]</f>
        <v>0</v>
      </c>
      <c r="BZ7" s="41">
        <f>tbclinic_T[[D_tb_stat_newneg_fy19]:[D_tb_stat_newneg_fy19]]*tbclinic_T[A_hts_tst_tbclinic_3034_m_neg]</f>
        <v>0</v>
      </c>
      <c r="CA7" s="41">
        <f>tbclinic_T[[D_tb_stat_newneg_fy19]:[D_tb_stat_newneg_fy19]]*tbclinic_T[A_hts_tst_tbclinic_3539_f_neg]</f>
        <v>0</v>
      </c>
      <c r="CB7" s="41">
        <f>tbclinic_T[[D_tb_stat_newneg_fy19]:[D_tb_stat_newneg_fy19]]*tbclinic_T[A_hts_tst_tbclinic_3539_m_neg]</f>
        <v>0</v>
      </c>
      <c r="CC7" s="41">
        <f>tbclinic_T[[D_tb_stat_newneg_fy19]:[D_tb_stat_newneg_fy19]]*tbclinic_T[A_hts_tst_tbclinic_4049_f_neg]</f>
        <v>0</v>
      </c>
      <c r="CD7" s="41">
        <f>tbclinic_T[[D_tb_stat_newneg_fy19]:[D_tb_stat_newneg_fy19]]*tbclinic_T[A_hts_tst_tbclinic_4049_m_neg]</f>
        <v>0</v>
      </c>
      <c r="CE7" s="41">
        <f>tbclinic_T[[D_tb_stat_newneg_fy19]:[D_tb_stat_newneg_fy19]]*tbclinic_T[A_hts_tst_tbclinic_o50_f_neg]</f>
        <v>0</v>
      </c>
      <c r="CF7" s="41">
        <f>tbclinic_T[[D_tb_stat_newneg_fy19]:[D_tb_stat_newneg_fy19]]*tbclinic_T[A_hts_tst_tbclinic_o50_m_neg]</f>
        <v>0</v>
      </c>
    </row>
    <row r="8" spans="1:11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</row>
    <row r="9" spans="1:11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</row>
    <row r="10" spans="1:112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O10" s="19"/>
      <c r="BP10" s="19"/>
      <c r="BQ10" s="19"/>
      <c r="BR10" s="19"/>
    </row>
    <row r="11" spans="1:112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</row>
    <row r="12" spans="1:112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O12" s="56"/>
      <c r="BP12" s="56"/>
      <c r="BQ12" s="56"/>
      <c r="BR12" s="56"/>
    </row>
    <row r="13" spans="1:112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O13" s="56"/>
      <c r="BP13" s="56"/>
      <c r="BQ13" s="56"/>
      <c r="BR13" s="56"/>
    </row>
    <row r="14" spans="1:112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O14" s="56"/>
      <c r="BP14" s="56"/>
      <c r="BQ14" s="56"/>
      <c r="BR14" s="56"/>
    </row>
    <row r="15" spans="1:112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O15" s="56"/>
      <c r="BP15" s="56"/>
      <c r="BQ15" s="56"/>
      <c r="BR15" s="56"/>
    </row>
    <row r="16" spans="1:112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O16" s="56"/>
      <c r="BP16" s="56"/>
      <c r="BQ16" s="56"/>
      <c r="BR16" s="56"/>
    </row>
    <row r="17" spans="1:7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O17" s="56"/>
      <c r="BP17" s="56"/>
      <c r="BQ17" s="56"/>
      <c r="BR17" s="56"/>
    </row>
    <row r="18" spans="1:7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O18" s="56"/>
      <c r="BP18" s="56"/>
      <c r="BQ18" s="56"/>
      <c r="BR18" s="56"/>
    </row>
    <row r="19" spans="1:7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O19" s="56"/>
      <c r="BP19" s="56"/>
      <c r="BQ19" s="56"/>
      <c r="BR19" s="56"/>
    </row>
    <row r="20" spans="1:7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O20" s="56"/>
      <c r="BP20" s="56"/>
      <c r="BQ20" s="56"/>
      <c r="BR20" s="56"/>
    </row>
    <row r="21" spans="1:7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O21" s="56"/>
      <c r="BP21" s="56"/>
      <c r="BQ21" s="56"/>
      <c r="BR21" s="56"/>
    </row>
    <row r="22" spans="1:7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O22" s="56"/>
      <c r="BP22" s="56"/>
      <c r="BQ22" s="56"/>
      <c r="BR22" s="56"/>
    </row>
    <row r="23" spans="1:7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O23" s="56"/>
      <c r="BP23" s="56"/>
      <c r="BQ23" s="56"/>
      <c r="BR23" s="56"/>
    </row>
    <row r="24" spans="1:7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O24" s="56"/>
      <c r="BP24" s="56"/>
      <c r="BQ24" s="56"/>
      <c r="BR24" s="56"/>
    </row>
    <row r="25" spans="1:7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O25" s="56"/>
      <c r="BP25" s="56"/>
      <c r="BQ25" s="56"/>
      <c r="BR25" s="56"/>
    </row>
    <row r="26" spans="1:7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O26" s="56"/>
      <c r="BP26" s="56"/>
      <c r="BQ26" s="56"/>
      <c r="BR26" s="56"/>
    </row>
    <row r="27" spans="1:7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O27" s="56"/>
      <c r="BP27" s="56"/>
      <c r="BQ27" s="56"/>
      <c r="BR27" s="56"/>
    </row>
    <row r="28" spans="1:7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O28" s="56"/>
      <c r="BP28" s="56"/>
      <c r="BQ28" s="56"/>
      <c r="BR28" s="56"/>
    </row>
    <row r="29" spans="1:7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O29" s="56"/>
      <c r="BP29" s="56"/>
      <c r="BQ29" s="56"/>
      <c r="BR29" s="56"/>
    </row>
    <row r="30" spans="1:7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O30" s="56"/>
      <c r="BP30" s="56"/>
      <c r="BQ30" s="56"/>
      <c r="BR30" s="56"/>
    </row>
    <row r="31" spans="1:7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O31" s="56"/>
      <c r="BP31" s="56"/>
      <c r="BQ31" s="56"/>
      <c r="BR31" s="56"/>
    </row>
    <row r="32" spans="1:7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O32" s="56"/>
      <c r="BP32" s="56"/>
      <c r="BQ32" s="56"/>
      <c r="BR32" s="56"/>
    </row>
    <row r="33" spans="1:7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O33" s="56"/>
      <c r="BP33" s="56"/>
      <c r="BQ33" s="56"/>
      <c r="BR33" s="56"/>
    </row>
    <row r="34" spans="1:7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O34" s="56"/>
      <c r="BP34" s="56"/>
      <c r="BQ34" s="56"/>
      <c r="BR34" s="56"/>
    </row>
    <row r="35" spans="1:7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O35" s="56"/>
      <c r="BP35" s="56"/>
      <c r="BQ35" s="56"/>
      <c r="BR35" s="56"/>
    </row>
    <row r="36" spans="1:7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O36" s="56"/>
      <c r="BP36" s="56"/>
      <c r="BQ36" s="56"/>
      <c r="BR36" s="56"/>
    </row>
    <row r="37" spans="1:7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O37" s="56"/>
      <c r="BP37" s="56"/>
      <c r="BQ37" s="56"/>
      <c r="BR37" s="56"/>
    </row>
    <row r="38" spans="1:7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O38" s="56"/>
      <c r="BP38" s="56"/>
      <c r="BQ38" s="56"/>
      <c r="BR38" s="56"/>
    </row>
    <row r="39" spans="1:7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O39" s="56"/>
      <c r="BP39" s="56"/>
      <c r="BQ39" s="56"/>
      <c r="BR39" s="56"/>
    </row>
    <row r="40" spans="1:7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O40" s="56"/>
      <c r="BP40" s="56"/>
      <c r="BQ40" s="56"/>
      <c r="BR40" s="56"/>
    </row>
    <row r="41" spans="1:7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O41" s="56"/>
      <c r="BP41" s="56"/>
      <c r="BQ41" s="56"/>
      <c r="BR41" s="56"/>
    </row>
    <row r="42" spans="1:7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O42" s="56"/>
      <c r="BP42" s="56"/>
      <c r="BQ42" s="56"/>
      <c r="BR42" s="56"/>
    </row>
    <row r="43" spans="1:7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O43" s="56"/>
      <c r="BP43" s="56"/>
      <c r="BQ43" s="56"/>
      <c r="BR43" s="56"/>
    </row>
    <row r="44" spans="1:7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O44" s="56"/>
      <c r="BP44" s="56"/>
      <c r="BQ44" s="56"/>
      <c r="BR44" s="56"/>
    </row>
    <row r="45" spans="1:7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O45" s="56"/>
      <c r="BP45" s="56"/>
      <c r="BQ45" s="56"/>
      <c r="BR45" s="56"/>
    </row>
    <row r="46" spans="1:7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O46" s="56"/>
      <c r="BP46" s="56"/>
      <c r="BQ46" s="56"/>
      <c r="BR46" s="56"/>
    </row>
    <row r="47" spans="1:7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O47" s="56"/>
      <c r="BP47" s="56"/>
      <c r="BQ47" s="56"/>
      <c r="BR47" s="56"/>
    </row>
    <row r="48" spans="1:7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O48" s="56"/>
      <c r="BP48" s="56"/>
      <c r="BQ48" s="56"/>
      <c r="BR48" s="56"/>
    </row>
    <row r="49" spans="1:7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O49" s="56"/>
      <c r="BP49" s="56"/>
      <c r="BQ49" s="56"/>
      <c r="BR49" s="56"/>
    </row>
    <row r="50" spans="1:7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O50" s="56"/>
      <c r="BP50" s="56"/>
      <c r="BQ50" s="56"/>
      <c r="BR50" s="56"/>
    </row>
    <row r="51" spans="1:7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O51" s="56"/>
      <c r="BP51" s="56"/>
      <c r="BQ51" s="56"/>
      <c r="BR51" s="56"/>
    </row>
    <row r="52" spans="1:7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O52" s="56"/>
      <c r="BP52" s="56"/>
      <c r="BQ52" s="56"/>
      <c r="BR52" s="56"/>
    </row>
    <row r="53" spans="1:7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O53" s="56"/>
      <c r="BP53" s="56"/>
      <c r="BQ53" s="56"/>
      <c r="BR53" s="56"/>
    </row>
    <row r="54" spans="1:7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O54" s="56"/>
      <c r="BP54" s="56"/>
      <c r="BQ54" s="56"/>
      <c r="BR54" s="56"/>
    </row>
    <row r="55" spans="1:7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O55" s="56"/>
      <c r="BP55" s="56"/>
      <c r="BQ55" s="56"/>
      <c r="BR55" s="56"/>
    </row>
    <row r="56" spans="1:7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O56" s="56"/>
      <c r="BP56" s="56"/>
      <c r="BQ56" s="56"/>
      <c r="BR56" s="56"/>
    </row>
    <row r="57" spans="1:7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O57" s="56"/>
      <c r="BP57" s="56"/>
      <c r="BQ57" s="56"/>
      <c r="BR57" s="56"/>
    </row>
    <row r="58" spans="1:7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O58" s="56"/>
      <c r="BP58" s="56"/>
      <c r="BQ58" s="56"/>
      <c r="BR58" s="56"/>
    </row>
    <row r="59" spans="1:7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O59" s="56"/>
      <c r="BP59" s="56"/>
      <c r="BQ59" s="56"/>
      <c r="BR59" s="56"/>
    </row>
    <row r="60" spans="1:7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O60" s="56"/>
      <c r="BP60" s="56"/>
      <c r="BQ60" s="56"/>
      <c r="BR60" s="56"/>
    </row>
    <row r="61" spans="1:7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O61" s="56"/>
      <c r="BP61" s="56"/>
      <c r="BQ61" s="56"/>
      <c r="BR61" s="56"/>
    </row>
    <row r="62" spans="1:7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O62" s="56"/>
      <c r="BP62" s="56"/>
      <c r="BQ62" s="56"/>
      <c r="BR62" s="56"/>
    </row>
    <row r="63" spans="1:7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O63" s="56"/>
      <c r="BP63" s="56"/>
      <c r="BQ63" s="56"/>
      <c r="BR63" s="56"/>
    </row>
    <row r="64" spans="1:7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O64" s="56"/>
      <c r="BP64" s="56"/>
      <c r="BQ64" s="56"/>
      <c r="BR64" s="56"/>
    </row>
    <row r="65" spans="1:7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O65" s="56"/>
      <c r="BP65" s="56"/>
      <c r="BQ65" s="56"/>
      <c r="BR65" s="56"/>
    </row>
    <row r="66" spans="1:7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O66" s="56"/>
      <c r="BP66" s="56"/>
      <c r="BQ66" s="56"/>
      <c r="BR66" s="56"/>
    </row>
    <row r="67" spans="1:7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O67" s="56"/>
      <c r="BP67" s="56"/>
      <c r="BQ67" s="56"/>
      <c r="BR67" s="56"/>
    </row>
    <row r="68" spans="1:7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O68" s="56"/>
      <c r="BP68" s="56"/>
      <c r="BQ68" s="56"/>
      <c r="BR68" s="56"/>
    </row>
    <row r="69" spans="1:7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O69" s="56"/>
      <c r="BP69" s="56"/>
      <c r="BQ69" s="56"/>
      <c r="BR69" s="56"/>
    </row>
    <row r="70" spans="1:7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O70" s="56"/>
      <c r="BP70" s="56"/>
      <c r="BQ70" s="56"/>
      <c r="BR70" s="56"/>
    </row>
    <row r="71" spans="1:7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O71" s="56"/>
      <c r="BP71" s="56"/>
      <c r="BQ71" s="56"/>
      <c r="BR71" s="56"/>
    </row>
    <row r="72" spans="1:7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O72" s="56"/>
      <c r="BP72" s="56"/>
      <c r="BQ72" s="56"/>
      <c r="BR72" s="56"/>
    </row>
    <row r="73" spans="1:7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O73" s="56"/>
      <c r="BP73" s="56"/>
      <c r="BQ73" s="56"/>
      <c r="BR73" s="56"/>
    </row>
    <row r="74" spans="1:7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O74" s="56"/>
      <c r="BP74" s="56"/>
      <c r="BQ74" s="56"/>
      <c r="BR74" s="56"/>
    </row>
    <row r="75" spans="1:7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O75" s="56"/>
      <c r="BP75" s="56"/>
      <c r="BQ75" s="56"/>
      <c r="BR75" s="56"/>
    </row>
    <row r="76" spans="1:7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O76" s="56"/>
      <c r="BP76" s="56"/>
      <c r="BQ76" s="56"/>
      <c r="BR76" s="56"/>
    </row>
    <row r="77" spans="1:7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O77" s="56"/>
      <c r="BP77" s="56"/>
      <c r="BQ77" s="56"/>
      <c r="BR77" s="56"/>
    </row>
    <row r="78" spans="1:7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O78" s="56"/>
      <c r="BP78" s="56"/>
      <c r="BQ78" s="56"/>
      <c r="BR78" s="56"/>
    </row>
    <row r="79" spans="1:7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O79" s="56"/>
      <c r="BP79" s="56"/>
      <c r="BQ79" s="56"/>
      <c r="BR79" s="56"/>
    </row>
    <row r="80" spans="1:7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O80" s="56"/>
      <c r="BP80" s="56"/>
      <c r="BQ80" s="56"/>
      <c r="BR80" s="56"/>
    </row>
    <row r="81" spans="1:7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O81" s="56"/>
      <c r="BP81" s="56"/>
      <c r="BQ81" s="56"/>
      <c r="BR81" s="56"/>
    </row>
    <row r="82" spans="1:7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O82" s="56"/>
      <c r="BP82" s="56"/>
      <c r="BQ82" s="56"/>
      <c r="BR82" s="56"/>
    </row>
    <row r="83" spans="1:7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O83" s="56"/>
      <c r="BP83" s="56"/>
      <c r="BQ83" s="56"/>
      <c r="BR83" s="56"/>
    </row>
    <row r="84" spans="1:7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O84" s="56"/>
      <c r="BP84" s="56"/>
      <c r="BQ84" s="56"/>
      <c r="BR84" s="56"/>
    </row>
    <row r="85" spans="1:7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O85" s="56"/>
      <c r="BP85" s="56"/>
      <c r="BQ85" s="56"/>
      <c r="BR85" s="56"/>
    </row>
    <row r="86" spans="1:7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O86" s="56"/>
      <c r="BP86" s="56"/>
      <c r="BQ86" s="56"/>
      <c r="BR86" s="56"/>
    </row>
    <row r="87" spans="1:7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O87" s="56"/>
      <c r="BP87" s="56"/>
      <c r="BQ87" s="56"/>
      <c r="BR87" s="56"/>
    </row>
    <row r="88" spans="1:7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O88" s="56"/>
      <c r="BP88" s="56"/>
      <c r="BQ88" s="56"/>
      <c r="BR88" s="56"/>
    </row>
    <row r="89" spans="1:7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O89" s="56"/>
      <c r="BP89" s="56"/>
      <c r="BQ89" s="56"/>
      <c r="BR89" s="56"/>
    </row>
    <row r="90" spans="1:7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O90" s="56"/>
      <c r="BP90" s="56"/>
      <c r="BQ90" s="56"/>
      <c r="BR90" s="56"/>
    </row>
    <row r="91" spans="1:7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O91" s="56"/>
      <c r="BP91" s="56"/>
      <c r="BQ91" s="56"/>
      <c r="BR91" s="56"/>
    </row>
    <row r="92" spans="1:7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O92" s="56"/>
      <c r="BP92" s="56"/>
      <c r="BQ92" s="56"/>
      <c r="BR92" s="56"/>
    </row>
    <row r="93" spans="1:7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O93" s="56"/>
      <c r="BP93" s="56"/>
      <c r="BQ93" s="56"/>
      <c r="BR93" s="56"/>
    </row>
    <row r="94" spans="1:7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O94" s="56"/>
      <c r="BP94" s="56"/>
      <c r="BQ94" s="56"/>
      <c r="BR94" s="56"/>
    </row>
    <row r="95" spans="1:7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O95" s="56"/>
      <c r="BP95" s="56"/>
      <c r="BQ95" s="56"/>
      <c r="BR95" s="56"/>
    </row>
    <row r="96" spans="1:7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O96" s="56"/>
      <c r="BP96" s="56"/>
      <c r="BQ96" s="56"/>
      <c r="BR96" s="56"/>
    </row>
    <row r="97" spans="1:7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O97" s="56"/>
      <c r="BP97" s="56"/>
      <c r="BQ97" s="56"/>
      <c r="BR97" s="56"/>
    </row>
    <row r="98" spans="1:7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O98" s="56"/>
      <c r="BP98" s="56"/>
      <c r="BQ98" s="56"/>
      <c r="BR98" s="56"/>
    </row>
    <row r="99" spans="1:7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O99" s="56"/>
      <c r="BP99" s="56"/>
      <c r="BQ99" s="56"/>
      <c r="BR99" s="56"/>
    </row>
    <row r="100" spans="1:7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O100" s="56"/>
      <c r="BP100" s="56"/>
      <c r="BQ100" s="56"/>
      <c r="BR100" s="56"/>
    </row>
    <row r="101" spans="1:7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O101" s="56"/>
      <c r="BP101" s="56"/>
      <c r="BQ101" s="56"/>
      <c r="BR101" s="56"/>
    </row>
    <row r="102" spans="1:7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O102" s="56"/>
      <c r="BP102" s="56"/>
      <c r="BQ102" s="56"/>
      <c r="BR102" s="56"/>
    </row>
    <row r="103" spans="1:7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O103" s="56"/>
      <c r="BP103" s="56"/>
      <c r="BQ103" s="56"/>
      <c r="BR103" s="56"/>
    </row>
    <row r="104" spans="1:7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O104" s="56"/>
      <c r="BP104" s="56"/>
      <c r="BQ104" s="56"/>
      <c r="BR104" s="56"/>
    </row>
    <row r="105" spans="1:7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O105" s="56"/>
      <c r="BP105" s="56"/>
      <c r="BQ105" s="56"/>
      <c r="BR105" s="56"/>
    </row>
    <row r="106" spans="1:7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O106" s="56"/>
      <c r="BP106" s="56"/>
      <c r="BQ106" s="56"/>
      <c r="BR106" s="56"/>
    </row>
    <row r="107" spans="1:7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O107" s="56"/>
      <c r="BP107" s="56"/>
      <c r="BQ107" s="56"/>
      <c r="BR107" s="56"/>
    </row>
    <row r="108" spans="1:7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O108" s="56"/>
      <c r="BP108" s="56"/>
      <c r="BQ108" s="56"/>
      <c r="BR108" s="56"/>
    </row>
    <row r="109" spans="1:7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O109" s="56"/>
      <c r="BP109" s="56"/>
      <c r="BQ109" s="56"/>
      <c r="BR109" s="56"/>
    </row>
    <row r="110" spans="1:7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O110" s="56"/>
      <c r="BP110" s="56"/>
      <c r="BQ110" s="56"/>
      <c r="BR110" s="56"/>
    </row>
    <row r="111" spans="1:7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O111" s="56"/>
      <c r="BP111" s="56"/>
      <c r="BQ111" s="56"/>
      <c r="BR111" s="56"/>
    </row>
    <row r="112" spans="1:7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O112" s="56"/>
      <c r="BP112" s="56"/>
      <c r="BQ112" s="56"/>
      <c r="BR112" s="56"/>
    </row>
    <row r="113" spans="1:7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O113" s="56"/>
      <c r="BP113" s="56"/>
      <c r="BQ113" s="56"/>
      <c r="BR113" s="56"/>
    </row>
    <row r="114" spans="1:7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O114" s="56"/>
      <c r="BP114" s="56"/>
      <c r="BQ114" s="56"/>
      <c r="BR114" s="56"/>
    </row>
    <row r="115" spans="1:7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O115" s="56"/>
      <c r="BP115" s="56"/>
      <c r="BQ115" s="56"/>
      <c r="BR115" s="56"/>
    </row>
    <row r="116" spans="1:7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O116" s="56"/>
      <c r="BP116" s="56"/>
      <c r="BQ116" s="56"/>
      <c r="BR116" s="56"/>
    </row>
    <row r="117" spans="1:7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O117" s="56"/>
      <c r="BP117" s="56"/>
      <c r="BQ117" s="56"/>
      <c r="BR117" s="56"/>
    </row>
    <row r="118" spans="1:7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O118" s="56"/>
      <c r="BP118" s="56"/>
      <c r="BQ118" s="56"/>
      <c r="BR118" s="56"/>
    </row>
    <row r="119" spans="1:7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O119" s="56"/>
      <c r="BP119" s="56"/>
      <c r="BQ119" s="56"/>
      <c r="BR119" s="56"/>
    </row>
    <row r="120" spans="1:7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O120" s="56"/>
      <c r="BP120" s="56"/>
      <c r="BQ120" s="56"/>
      <c r="BR120" s="56"/>
    </row>
    <row r="121" spans="1:7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O121" s="56"/>
      <c r="BP121" s="56"/>
      <c r="BQ121" s="56"/>
      <c r="BR121" s="56"/>
    </row>
    <row r="122" spans="1:7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O122" s="56"/>
      <c r="BP122" s="56"/>
      <c r="BQ122" s="56"/>
      <c r="BR122" s="56"/>
    </row>
    <row r="123" spans="1:7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O123" s="56"/>
      <c r="BP123" s="56"/>
      <c r="BQ123" s="56"/>
      <c r="BR123" s="56"/>
    </row>
    <row r="124" spans="1:7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O124" s="56"/>
      <c r="BP124" s="56"/>
      <c r="BQ124" s="56"/>
      <c r="BR124" s="56"/>
    </row>
    <row r="125" spans="1:7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O125" s="56"/>
      <c r="BP125" s="56"/>
      <c r="BQ125" s="56"/>
      <c r="BR125" s="56"/>
    </row>
    <row r="126" spans="1:7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O126" s="56"/>
      <c r="BP126" s="56"/>
      <c r="BQ126" s="56"/>
      <c r="BR126" s="56"/>
    </row>
    <row r="127" spans="1:7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O127" s="56"/>
      <c r="BP127" s="56"/>
      <c r="BQ127" s="56"/>
      <c r="BR127" s="56"/>
    </row>
    <row r="128" spans="1:7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O128" s="56"/>
      <c r="BP128" s="56"/>
      <c r="BQ128" s="56"/>
      <c r="BR128" s="56"/>
    </row>
    <row r="129" spans="1:7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O129" s="56"/>
      <c r="BP129" s="56"/>
      <c r="BQ129" s="56"/>
      <c r="BR129" s="56"/>
    </row>
    <row r="130" spans="1:7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O130" s="56"/>
      <c r="BP130" s="56"/>
      <c r="BQ130" s="56"/>
      <c r="BR130" s="56"/>
    </row>
    <row r="131" spans="1:7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O131" s="56"/>
      <c r="BP131" s="56"/>
      <c r="BQ131" s="56"/>
      <c r="BR131" s="56"/>
    </row>
    <row r="132" spans="1:7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O132" s="56"/>
      <c r="BP132" s="56"/>
      <c r="BQ132" s="56"/>
      <c r="BR132" s="56"/>
    </row>
    <row r="133" spans="1:7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O133" s="56"/>
      <c r="BP133" s="56"/>
      <c r="BQ133" s="56"/>
      <c r="BR133" s="56"/>
    </row>
    <row r="134" spans="1:7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O134" s="56"/>
      <c r="BP134" s="56"/>
      <c r="BQ134" s="56"/>
      <c r="BR134" s="56"/>
    </row>
    <row r="135" spans="1:7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O135" s="56"/>
      <c r="BP135" s="56"/>
      <c r="BQ135" s="56"/>
      <c r="BR135" s="56"/>
    </row>
    <row r="136" spans="1:7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O136" s="56"/>
      <c r="BP136" s="56"/>
      <c r="BQ136" s="56"/>
      <c r="BR136" s="56"/>
    </row>
    <row r="137" spans="1:7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O137" s="56"/>
      <c r="BP137" s="56"/>
      <c r="BQ137" s="56"/>
      <c r="BR137" s="56"/>
    </row>
    <row r="138" spans="1:7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O138" s="56"/>
      <c r="BP138" s="56"/>
      <c r="BQ138" s="56"/>
      <c r="BR138" s="56"/>
    </row>
    <row r="139" spans="1:7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O139" s="56"/>
      <c r="BP139" s="56"/>
      <c r="BQ139" s="56"/>
      <c r="BR139" s="56"/>
    </row>
    <row r="140" spans="1:7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O140" s="56"/>
      <c r="BP140" s="56"/>
      <c r="BQ140" s="56"/>
      <c r="BR140" s="56"/>
    </row>
    <row r="141" spans="1:7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O141" s="56"/>
      <c r="BP141" s="56"/>
      <c r="BQ141" s="56"/>
      <c r="BR141" s="56"/>
    </row>
    <row r="142" spans="1:7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O142" s="56"/>
      <c r="BP142" s="56"/>
      <c r="BQ142" s="56"/>
      <c r="BR142" s="56"/>
    </row>
    <row r="143" spans="1:7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O143" s="56"/>
      <c r="BP143" s="56"/>
      <c r="BQ143" s="56"/>
      <c r="BR143" s="56"/>
    </row>
    <row r="144" spans="1:7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O144" s="56"/>
      <c r="BP144" s="56"/>
      <c r="BQ144" s="56"/>
      <c r="BR144" s="56"/>
    </row>
    <row r="145" spans="1:7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O145" s="56"/>
      <c r="BP145" s="56"/>
      <c r="BQ145" s="56"/>
      <c r="BR145" s="56"/>
    </row>
    <row r="146" spans="1:7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O146" s="56"/>
      <c r="BP146" s="56"/>
      <c r="BQ146" s="56"/>
      <c r="BR146" s="56"/>
    </row>
    <row r="147" spans="1:7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O147" s="56"/>
      <c r="BP147" s="56"/>
      <c r="BQ147" s="56"/>
      <c r="BR147" s="56"/>
    </row>
    <row r="148" spans="1:7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O148" s="56"/>
      <c r="BP148" s="56"/>
      <c r="BQ148" s="56"/>
      <c r="BR148" s="56"/>
    </row>
    <row r="149" spans="1:7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O149" s="56"/>
      <c r="BP149" s="56"/>
      <c r="BQ149" s="56"/>
      <c r="BR149" s="56"/>
    </row>
    <row r="150" spans="1:7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O150" s="56"/>
      <c r="BP150" s="56"/>
      <c r="BQ150" s="56"/>
      <c r="BR150" s="56"/>
    </row>
    <row r="151" spans="1:7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O151" s="56"/>
      <c r="BP151" s="56"/>
      <c r="BQ151" s="56"/>
      <c r="BR151" s="56"/>
    </row>
    <row r="152" spans="1:7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O152" s="56"/>
      <c r="BP152" s="56"/>
      <c r="BQ152" s="56"/>
      <c r="BR152" s="56"/>
    </row>
    <row r="153" spans="1:7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O153" s="56"/>
      <c r="BP153" s="56"/>
      <c r="BQ153" s="56"/>
      <c r="BR153" s="56"/>
    </row>
    <row r="154" spans="1:7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O154" s="56"/>
      <c r="BP154" s="56"/>
      <c r="BQ154" s="56"/>
      <c r="BR154" s="56"/>
    </row>
    <row r="155" spans="1:7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O155" s="56"/>
      <c r="BP155" s="56"/>
      <c r="BQ155" s="56"/>
      <c r="BR155" s="56"/>
    </row>
    <row r="156" spans="1:7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O156" s="56"/>
      <c r="BP156" s="56"/>
      <c r="BQ156" s="56"/>
      <c r="BR156" s="56"/>
    </row>
    <row r="157" spans="1:7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O157" s="56"/>
      <c r="BP157" s="56"/>
      <c r="BQ157" s="56"/>
      <c r="BR157" s="56"/>
    </row>
    <row r="158" spans="1:7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O158" s="56"/>
      <c r="BP158" s="56"/>
      <c r="BQ158" s="56"/>
      <c r="BR158" s="56"/>
    </row>
    <row r="159" spans="1:7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O159" s="56"/>
      <c r="BP159" s="56"/>
      <c r="BQ159" s="56"/>
      <c r="BR159" s="56"/>
    </row>
    <row r="160" spans="1:7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O160" s="56"/>
      <c r="BP160" s="56"/>
      <c r="BQ160" s="56"/>
      <c r="BR160" s="56"/>
    </row>
    <row r="161" spans="1:7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O161" s="56"/>
      <c r="BP161" s="56"/>
      <c r="BQ161" s="56"/>
      <c r="BR161" s="56"/>
    </row>
    <row r="162" spans="1:7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O162" s="56"/>
      <c r="BP162" s="56"/>
      <c r="BQ162" s="56"/>
      <c r="BR162" s="56"/>
    </row>
    <row r="163" spans="1:7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O163" s="56"/>
      <c r="BP163" s="56"/>
      <c r="BQ163" s="56"/>
      <c r="BR163" s="56"/>
    </row>
    <row r="164" spans="1:7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O164" s="56"/>
      <c r="BP164" s="56"/>
      <c r="BQ164" s="56"/>
      <c r="BR164" s="56"/>
    </row>
    <row r="165" spans="1:7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O165" s="56"/>
      <c r="BP165" s="56"/>
      <c r="BQ165" s="56"/>
      <c r="BR165" s="56"/>
    </row>
    <row r="166" spans="1:7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O166" s="56"/>
      <c r="BP166" s="56"/>
      <c r="BQ166" s="56"/>
      <c r="BR166" s="56"/>
    </row>
    <row r="167" spans="1:7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O167" s="56"/>
      <c r="BP167" s="56"/>
      <c r="BQ167" s="56"/>
      <c r="BR167" s="56"/>
    </row>
    <row r="168" spans="1:7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O168" s="56"/>
      <c r="BP168" s="56"/>
      <c r="BQ168" s="56"/>
      <c r="BR168" s="56"/>
    </row>
    <row r="169" spans="1:7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O169" s="56"/>
      <c r="BP169" s="56"/>
      <c r="BQ169" s="56"/>
      <c r="BR169" s="56"/>
    </row>
    <row r="170" spans="1:7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O170" s="56"/>
      <c r="BP170" s="56"/>
      <c r="BQ170" s="56"/>
      <c r="BR170" s="56"/>
    </row>
    <row r="171" spans="1:7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O171" s="56"/>
      <c r="BP171" s="56"/>
      <c r="BQ171" s="56"/>
      <c r="BR171" s="56"/>
    </row>
    <row r="172" spans="1:7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O172" s="56"/>
      <c r="BP172" s="56"/>
      <c r="BQ172" s="56"/>
      <c r="BR172" s="56"/>
    </row>
    <row r="173" spans="1:7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O173" s="56"/>
      <c r="BP173" s="56"/>
      <c r="BQ173" s="56"/>
      <c r="BR173" s="56"/>
    </row>
    <row r="174" spans="1:7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O174" s="56"/>
      <c r="BP174" s="56"/>
      <c r="BQ174" s="56"/>
      <c r="BR174" s="56"/>
    </row>
    <row r="175" spans="1:7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O175" s="56"/>
      <c r="BP175" s="56"/>
      <c r="BQ175" s="56"/>
      <c r="BR175" s="56"/>
    </row>
    <row r="176" spans="1:7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O176" s="56"/>
      <c r="BP176" s="56"/>
      <c r="BQ176" s="56"/>
      <c r="BR176" s="56"/>
    </row>
    <row r="177" spans="1:7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O177" s="56"/>
      <c r="BP177" s="56"/>
      <c r="BQ177" s="56"/>
      <c r="BR177" s="56"/>
    </row>
    <row r="178" spans="1:7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O178" s="56"/>
      <c r="BP178" s="56"/>
      <c r="BQ178" s="56"/>
      <c r="BR178" s="56"/>
    </row>
    <row r="179" spans="1:7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O179" s="56"/>
      <c r="BP179" s="56"/>
      <c r="BQ179" s="56"/>
      <c r="BR179" s="56"/>
    </row>
    <row r="180" spans="1:7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O180" s="56"/>
      <c r="BP180" s="56"/>
      <c r="BQ180" s="56"/>
      <c r="BR180" s="56"/>
    </row>
    <row r="181" spans="1:7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O181" s="56"/>
      <c r="BP181" s="56"/>
      <c r="BQ181" s="56"/>
      <c r="BR181" s="56"/>
    </row>
    <row r="182" spans="1:7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O182" s="56"/>
      <c r="BP182" s="56"/>
      <c r="BQ182" s="56"/>
      <c r="BR182" s="56"/>
    </row>
    <row r="183" spans="1:7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O183" s="56"/>
      <c r="BP183" s="56"/>
      <c r="BQ183" s="56"/>
      <c r="BR183" s="56"/>
    </row>
    <row r="184" spans="1:7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O184" s="56"/>
      <c r="BP184" s="56"/>
      <c r="BQ184" s="56"/>
      <c r="BR184" s="56"/>
    </row>
    <row r="185" spans="1:7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O185" s="56"/>
      <c r="BP185" s="56"/>
      <c r="BQ185" s="56"/>
      <c r="BR185" s="56"/>
    </row>
    <row r="186" spans="1:7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O186" s="56"/>
      <c r="BP186" s="56"/>
      <c r="BQ186" s="56"/>
      <c r="BR186" s="56"/>
    </row>
    <row r="187" spans="1:7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O187" s="56"/>
      <c r="BP187" s="56"/>
      <c r="BQ187" s="56"/>
      <c r="BR187" s="56"/>
    </row>
    <row r="188" spans="1:7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O188" s="56"/>
      <c r="BP188" s="56"/>
      <c r="BQ188" s="56"/>
      <c r="BR188" s="56"/>
    </row>
    <row r="189" spans="1:7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O189" s="56"/>
      <c r="BP189" s="56"/>
      <c r="BQ189" s="56"/>
      <c r="BR189" s="56"/>
    </row>
    <row r="190" spans="1:7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O190" s="56"/>
      <c r="BP190" s="56"/>
      <c r="BQ190" s="56"/>
      <c r="BR190" s="56"/>
    </row>
    <row r="191" spans="1:7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O191" s="56"/>
      <c r="BP191" s="56"/>
      <c r="BQ191" s="56"/>
      <c r="BR191" s="56"/>
    </row>
    <row r="192" spans="1:7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O192" s="56"/>
      <c r="BP192" s="56"/>
      <c r="BQ192" s="56"/>
      <c r="BR192" s="56"/>
    </row>
    <row r="193" spans="1:7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O193" s="56"/>
      <c r="BP193" s="56"/>
      <c r="BQ193" s="56"/>
      <c r="BR193" s="56"/>
    </row>
    <row r="194" spans="1:7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O194" s="56"/>
      <c r="BP194" s="56"/>
      <c r="BQ194" s="56"/>
      <c r="BR194" s="56"/>
    </row>
    <row r="195" spans="1:7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O195" s="56"/>
      <c r="BP195" s="56"/>
      <c r="BQ195" s="56"/>
      <c r="BR195" s="56"/>
    </row>
    <row r="196" spans="1:7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O196" s="56"/>
      <c r="BP196" s="56"/>
      <c r="BQ196" s="56"/>
      <c r="BR196" s="56"/>
    </row>
    <row r="197" spans="1:7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O197" s="56"/>
      <c r="BP197" s="56"/>
      <c r="BQ197" s="56"/>
      <c r="BR197" s="56"/>
    </row>
    <row r="198" spans="1:7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O198" s="56"/>
      <c r="BP198" s="56"/>
      <c r="BQ198" s="56"/>
      <c r="BR198" s="56"/>
    </row>
    <row r="199" spans="1:7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O199" s="56"/>
      <c r="BP199" s="56"/>
      <c r="BQ199" s="56"/>
      <c r="BR199" s="56"/>
    </row>
    <row r="200" spans="1:7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O200" s="56"/>
      <c r="BP200" s="56"/>
      <c r="BQ200" s="56"/>
      <c r="BR200" s="56"/>
    </row>
    <row r="201" spans="1:7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O201" s="56"/>
      <c r="BP201" s="56"/>
      <c r="BQ201" s="56"/>
      <c r="BR201" s="56"/>
    </row>
    <row r="202" spans="1:7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O202" s="56"/>
      <c r="BP202" s="56"/>
      <c r="BQ202" s="56"/>
      <c r="BR202" s="56"/>
    </row>
    <row r="203" spans="1:7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O203" s="56"/>
      <c r="BP203" s="56"/>
      <c r="BQ203" s="56"/>
      <c r="BR203" s="56"/>
    </row>
    <row r="204" spans="1:7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O204" s="56"/>
      <c r="BP204" s="56"/>
      <c r="BQ204" s="56"/>
      <c r="BR204" s="56"/>
    </row>
    <row r="205" spans="1:7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O205" s="56"/>
      <c r="BP205" s="56"/>
      <c r="BQ205" s="56"/>
      <c r="BR205" s="56"/>
    </row>
    <row r="206" spans="1:7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O206" s="56"/>
      <c r="BP206" s="56"/>
      <c r="BQ206" s="56"/>
      <c r="BR206" s="56"/>
    </row>
    <row r="207" spans="1:7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O207" s="56"/>
      <c r="BP207" s="56"/>
      <c r="BQ207" s="56"/>
      <c r="BR207" s="56"/>
    </row>
    <row r="208" spans="1:7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O208" s="56"/>
      <c r="BP208" s="56"/>
      <c r="BQ208" s="56"/>
      <c r="BR208" s="56"/>
    </row>
    <row r="209" spans="1:7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O209" s="56"/>
      <c r="BP209" s="56"/>
      <c r="BQ209" s="56"/>
      <c r="BR209" s="56"/>
    </row>
    <row r="210" spans="1:7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O210" s="56"/>
      <c r="BP210" s="56"/>
      <c r="BQ210" s="56"/>
      <c r="BR210" s="56"/>
    </row>
    <row r="211" spans="1:7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O211" s="56"/>
      <c r="BP211" s="56"/>
      <c r="BQ211" s="56"/>
      <c r="BR211" s="56"/>
    </row>
    <row r="212" spans="1:7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O212" s="56"/>
      <c r="BP212" s="56"/>
      <c r="BQ212" s="56"/>
      <c r="BR212" s="56"/>
    </row>
    <row r="213" spans="1:7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O213" s="56"/>
      <c r="BP213" s="56"/>
      <c r="BQ213" s="56"/>
      <c r="BR213" s="56"/>
    </row>
    <row r="214" spans="1:7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O214" s="56"/>
      <c r="BP214" s="56"/>
      <c r="BQ214" s="56"/>
      <c r="BR214" s="56"/>
    </row>
    <row r="215" spans="1:7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O215" s="56"/>
      <c r="BP215" s="56"/>
      <c r="BQ215" s="56"/>
      <c r="BR215" s="56"/>
    </row>
    <row r="216" spans="1:7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O216" s="56"/>
      <c r="BP216" s="56"/>
      <c r="BQ216" s="56"/>
      <c r="BR216" s="56"/>
    </row>
    <row r="217" spans="1:7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O217" s="56"/>
      <c r="BP217" s="56"/>
      <c r="BQ217" s="56"/>
      <c r="BR217" s="56"/>
    </row>
    <row r="218" spans="1:7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O218" s="56"/>
      <c r="BP218" s="56"/>
      <c r="BQ218" s="56"/>
      <c r="BR218" s="56"/>
    </row>
    <row r="219" spans="1:7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O219" s="56"/>
      <c r="BP219" s="56"/>
      <c r="BQ219" s="56"/>
      <c r="BR219" s="56"/>
    </row>
    <row r="220" spans="1:7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O220" s="56"/>
      <c r="BP220" s="56"/>
      <c r="BQ220" s="56"/>
      <c r="BR220" s="56"/>
    </row>
    <row r="221" spans="1:7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O221" s="56"/>
      <c r="BP221" s="56"/>
      <c r="BQ221" s="56"/>
      <c r="BR221" s="56"/>
    </row>
    <row r="222" spans="1:7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O222" s="56"/>
      <c r="BP222" s="56"/>
      <c r="BQ222" s="56"/>
      <c r="BR222" s="56"/>
    </row>
    <row r="223" spans="1:7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O223" s="56"/>
      <c r="BP223" s="56"/>
      <c r="BQ223" s="56"/>
      <c r="BR223" s="56"/>
    </row>
    <row r="224" spans="1:7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O224" s="56"/>
      <c r="BP224" s="56"/>
      <c r="BQ224" s="56"/>
      <c r="BR224" s="56"/>
    </row>
    <row r="225" spans="1:7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O225" s="56"/>
      <c r="BP225" s="56"/>
      <c r="BQ225" s="56"/>
      <c r="BR225" s="56"/>
    </row>
    <row r="226" spans="1:7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O226" s="56"/>
      <c r="BP226" s="56"/>
      <c r="BQ226" s="56"/>
      <c r="BR226" s="56"/>
    </row>
    <row r="227" spans="1:7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O227" s="56"/>
      <c r="BP227" s="56"/>
      <c r="BQ227" s="56"/>
      <c r="BR227" s="56"/>
    </row>
    <row r="228" spans="1:7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O228" s="56"/>
      <c r="BP228" s="56"/>
      <c r="BQ228" s="56"/>
      <c r="BR228" s="56"/>
    </row>
    <row r="229" spans="1:7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O229" s="56"/>
      <c r="BP229" s="56"/>
      <c r="BQ229" s="56"/>
      <c r="BR229" s="56"/>
    </row>
    <row r="230" spans="1:7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O230" s="56"/>
      <c r="BP230" s="56"/>
      <c r="BQ230" s="56"/>
      <c r="BR230" s="56"/>
    </row>
    <row r="231" spans="1:7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O231" s="56"/>
      <c r="BP231" s="56"/>
      <c r="BQ231" s="56"/>
      <c r="BR231" s="56"/>
    </row>
    <row r="232" spans="1:7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O232" s="56"/>
      <c r="BP232" s="56"/>
      <c r="BQ232" s="56"/>
      <c r="BR232" s="56"/>
    </row>
    <row r="233" spans="1:7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O233" s="56"/>
      <c r="BP233" s="56"/>
      <c r="BQ233" s="56"/>
      <c r="BR233" s="56"/>
    </row>
    <row r="234" spans="1:7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O234" s="56"/>
      <c r="BP234" s="56"/>
      <c r="BQ234" s="56"/>
      <c r="BR234" s="56"/>
    </row>
    <row r="235" spans="1:7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O235" s="56"/>
      <c r="BP235" s="56"/>
      <c r="BQ235" s="56"/>
      <c r="BR235" s="56"/>
    </row>
    <row r="236" spans="1:7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O236" s="56"/>
      <c r="BP236" s="56"/>
      <c r="BQ236" s="56"/>
      <c r="BR236" s="56"/>
    </row>
    <row r="237" spans="1:7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O237" s="56"/>
      <c r="BP237" s="56"/>
      <c r="BQ237" s="56"/>
      <c r="BR237" s="56"/>
    </row>
    <row r="238" spans="1:7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O238" s="56"/>
      <c r="BP238" s="56"/>
      <c r="BQ238" s="56"/>
      <c r="BR238" s="56"/>
    </row>
    <row r="239" spans="1:7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O239" s="56"/>
      <c r="BP239" s="56"/>
      <c r="BQ239" s="56"/>
      <c r="BR239" s="56"/>
    </row>
    <row r="240" spans="1:7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O240" s="56"/>
      <c r="BP240" s="56"/>
      <c r="BQ240" s="56"/>
      <c r="BR240" s="56"/>
    </row>
    <row r="241" spans="1:7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O241" s="56"/>
      <c r="BP241" s="56"/>
      <c r="BQ241" s="56"/>
      <c r="BR241" s="56"/>
    </row>
    <row r="242" spans="1:7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O242" s="56"/>
      <c r="BP242" s="56"/>
      <c r="BQ242" s="56"/>
      <c r="BR242" s="56"/>
    </row>
    <row r="243" spans="1:7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O243" s="56"/>
      <c r="BP243" s="56"/>
      <c r="BQ243" s="56"/>
      <c r="BR243" s="56"/>
    </row>
    <row r="244" spans="1:7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O244" s="56"/>
      <c r="BP244" s="56"/>
      <c r="BQ244" s="56"/>
      <c r="BR244" s="56"/>
    </row>
    <row r="245" spans="1:7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O245" s="56"/>
      <c r="BP245" s="56"/>
      <c r="BQ245" s="56"/>
      <c r="BR245" s="56"/>
    </row>
    <row r="246" spans="1:7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O246" s="56"/>
      <c r="BP246" s="56"/>
      <c r="BQ246" s="56"/>
      <c r="BR246" s="56"/>
    </row>
    <row r="247" spans="1:7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O247" s="56"/>
      <c r="BP247" s="56"/>
      <c r="BQ247" s="56"/>
      <c r="BR247" s="56"/>
    </row>
    <row r="248" spans="1:7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O248" s="56"/>
      <c r="BP248" s="56"/>
      <c r="BQ248" s="56"/>
      <c r="BR248" s="56"/>
    </row>
    <row r="249" spans="1:7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O249" s="56"/>
      <c r="BP249" s="56"/>
      <c r="BQ249" s="56"/>
      <c r="BR249" s="56"/>
    </row>
    <row r="250" spans="1:7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O250" s="56"/>
      <c r="BP250" s="56"/>
      <c r="BQ250" s="56"/>
      <c r="BR250" s="56"/>
    </row>
    <row r="251" spans="1:7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O251" s="56"/>
      <c r="BP251" s="56"/>
      <c r="BQ251" s="56"/>
      <c r="BR251" s="56"/>
    </row>
    <row r="252" spans="1:7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O252" s="56"/>
      <c r="BP252" s="56"/>
      <c r="BQ252" s="56"/>
      <c r="BR252" s="56"/>
    </row>
    <row r="253" spans="1:7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O253" s="56"/>
      <c r="BP253" s="56"/>
      <c r="BQ253" s="56"/>
      <c r="BR253" s="56"/>
    </row>
    <row r="254" spans="1:7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O254" s="56"/>
      <c r="BP254" s="56"/>
      <c r="BQ254" s="56"/>
      <c r="BR254" s="56"/>
    </row>
    <row r="255" spans="1:7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O255" s="56"/>
      <c r="BP255" s="56"/>
      <c r="BQ255" s="56"/>
      <c r="BR255" s="56"/>
    </row>
    <row r="256" spans="1:7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O256" s="56"/>
      <c r="BP256" s="56"/>
      <c r="BQ256" s="56"/>
      <c r="BR256" s="56"/>
    </row>
    <row r="257" spans="1:7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O257" s="56"/>
      <c r="BP257" s="56"/>
      <c r="BQ257" s="56"/>
      <c r="BR257" s="56"/>
    </row>
    <row r="258" spans="1:7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O258" s="56"/>
      <c r="BP258" s="56"/>
      <c r="BQ258" s="56"/>
      <c r="BR258" s="56"/>
    </row>
    <row r="259" spans="1:7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O259" s="56"/>
      <c r="BP259" s="56"/>
      <c r="BQ259" s="56"/>
      <c r="BR259" s="56"/>
    </row>
    <row r="260" spans="1:7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O260" s="56"/>
      <c r="BP260" s="56"/>
      <c r="BQ260" s="56"/>
      <c r="BR260" s="56"/>
    </row>
    <row r="261" spans="1:7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O261" s="56"/>
      <c r="BP261" s="56"/>
      <c r="BQ261" s="56"/>
      <c r="BR261" s="56"/>
    </row>
    <row r="262" spans="1:7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O262" s="56"/>
      <c r="BP262" s="56"/>
      <c r="BQ262" s="56"/>
      <c r="BR262" s="56"/>
    </row>
    <row r="263" spans="1:7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O263" s="56"/>
      <c r="BP263" s="56"/>
      <c r="BQ263" s="56"/>
      <c r="BR263" s="56"/>
    </row>
    <row r="264" spans="1:7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O264" s="56"/>
      <c r="BP264" s="56"/>
      <c r="BQ264" s="56"/>
      <c r="BR264" s="56"/>
    </row>
    <row r="265" spans="1:7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O265" s="56"/>
      <c r="BP265" s="56"/>
      <c r="BQ265" s="56"/>
      <c r="BR265" s="56"/>
    </row>
    <row r="266" spans="1:7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O266" s="56"/>
      <c r="BP266" s="56"/>
      <c r="BQ266" s="56"/>
      <c r="BR266" s="56"/>
    </row>
    <row r="267" spans="1:7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O267" s="56"/>
      <c r="BP267" s="56"/>
      <c r="BQ267" s="56"/>
      <c r="BR267" s="56"/>
    </row>
    <row r="268" spans="1:7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O268" s="56"/>
      <c r="BP268" s="56"/>
      <c r="BQ268" s="56"/>
      <c r="BR268" s="56"/>
    </row>
    <row r="269" spans="1:7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O269" s="56"/>
      <c r="BP269" s="56"/>
      <c r="BQ269" s="56"/>
      <c r="BR269" s="56"/>
    </row>
    <row r="270" spans="1:7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O270" s="56"/>
      <c r="BP270" s="56"/>
      <c r="BQ270" s="56"/>
      <c r="BR270" s="56"/>
    </row>
    <row r="271" spans="1:7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O271" s="56"/>
      <c r="BP271" s="56"/>
      <c r="BQ271" s="56"/>
      <c r="BR271" s="56"/>
    </row>
    <row r="272" spans="1:7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O272" s="56"/>
      <c r="BP272" s="56"/>
      <c r="BQ272" s="56"/>
      <c r="BR272" s="56"/>
    </row>
    <row r="273" spans="1:7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O273" s="56"/>
      <c r="BP273" s="56"/>
      <c r="BQ273" s="56"/>
      <c r="BR273" s="56"/>
    </row>
    <row r="274" spans="1:7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O274" s="56"/>
      <c r="BP274" s="56"/>
      <c r="BQ274" s="56"/>
      <c r="BR274" s="56"/>
    </row>
    <row r="275" spans="1:7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O275" s="56"/>
      <c r="BP275" s="56"/>
      <c r="BQ275" s="56"/>
      <c r="BR275" s="56"/>
    </row>
    <row r="276" spans="1:7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O276" s="56"/>
      <c r="BP276" s="56"/>
      <c r="BQ276" s="56"/>
      <c r="BR276" s="56"/>
    </row>
    <row r="277" spans="1:7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O277" s="56"/>
      <c r="BP277" s="56"/>
      <c r="BQ277" s="56"/>
      <c r="BR277" s="56"/>
    </row>
    <row r="278" spans="1:7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O278" s="56"/>
      <c r="BP278" s="56"/>
      <c r="BQ278" s="56"/>
      <c r="BR278" s="56"/>
    </row>
    <row r="279" spans="1:7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O279" s="56"/>
      <c r="BP279" s="56"/>
      <c r="BQ279" s="56"/>
      <c r="BR279" s="56"/>
    </row>
    <row r="280" spans="1:7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O280" s="56"/>
      <c r="BP280" s="56"/>
      <c r="BQ280" s="56"/>
      <c r="BR280" s="56"/>
    </row>
    <row r="281" spans="1:7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O281" s="56"/>
      <c r="BP281" s="56"/>
      <c r="BQ281" s="56"/>
      <c r="BR281" s="56"/>
    </row>
    <row r="282" spans="1:7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O282" s="56"/>
      <c r="BP282" s="56"/>
      <c r="BQ282" s="56"/>
      <c r="BR282" s="56"/>
    </row>
    <row r="283" spans="1:7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O283" s="56"/>
      <c r="BP283" s="56"/>
      <c r="BQ283" s="56"/>
      <c r="BR283" s="56"/>
    </row>
    <row r="284" spans="1:7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O284" s="56"/>
      <c r="BP284" s="56"/>
      <c r="BQ284" s="56"/>
      <c r="BR284" s="56"/>
    </row>
    <row r="285" spans="1:7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O285" s="56"/>
      <c r="BP285" s="56"/>
      <c r="BQ285" s="56"/>
      <c r="BR285" s="56"/>
    </row>
    <row r="286" spans="1:7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O286" s="56"/>
      <c r="BP286" s="56"/>
      <c r="BQ286" s="56"/>
      <c r="BR286" s="56"/>
    </row>
    <row r="287" spans="1:7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O287" s="56"/>
      <c r="BP287" s="56"/>
      <c r="BQ287" s="56"/>
      <c r="BR287" s="56"/>
    </row>
    <row r="288" spans="1:7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O288" s="56"/>
      <c r="BP288" s="56"/>
      <c r="BQ288" s="56"/>
      <c r="BR288" s="56"/>
    </row>
    <row r="289" spans="1:7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O289" s="56"/>
      <c r="BP289" s="56"/>
      <c r="BQ289" s="56"/>
      <c r="BR289" s="56"/>
    </row>
    <row r="290" spans="1:7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O290" s="56"/>
      <c r="BP290" s="56"/>
      <c r="BQ290" s="56"/>
      <c r="BR290" s="56"/>
    </row>
    <row r="291" spans="1:7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O291" s="56"/>
      <c r="BP291" s="56"/>
      <c r="BQ291" s="56"/>
      <c r="BR291" s="56"/>
    </row>
    <row r="292" spans="1:7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O292" s="56"/>
      <c r="BP292" s="56"/>
      <c r="BQ292" s="56"/>
      <c r="BR292" s="56"/>
    </row>
    <row r="293" spans="1:7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O293" s="56"/>
      <c r="BP293" s="56"/>
      <c r="BQ293" s="56"/>
      <c r="BR293" s="56"/>
    </row>
    <row r="294" spans="1:7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O294" s="56"/>
      <c r="BP294" s="56"/>
      <c r="BQ294" s="56"/>
      <c r="BR294" s="56"/>
    </row>
    <row r="295" spans="1:7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O295" s="56"/>
      <c r="BP295" s="56"/>
      <c r="BQ295" s="56"/>
      <c r="BR295" s="56"/>
    </row>
    <row r="296" spans="1:7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O296" s="56"/>
      <c r="BP296" s="56"/>
      <c r="BQ296" s="56"/>
      <c r="BR296" s="56"/>
    </row>
    <row r="297" spans="1:7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O297" s="56"/>
      <c r="BP297" s="56"/>
      <c r="BQ297" s="56"/>
      <c r="BR297" s="56"/>
    </row>
    <row r="298" spans="1:7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O298" s="56"/>
      <c r="BP298" s="56"/>
      <c r="BQ298" s="56"/>
      <c r="BR298" s="56"/>
    </row>
    <row r="299" spans="1:7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O299" s="56"/>
      <c r="BP299" s="56"/>
      <c r="BQ299" s="56"/>
      <c r="BR299" s="56"/>
    </row>
    <row r="300" spans="1:7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O300" s="56"/>
      <c r="BP300" s="56"/>
      <c r="BQ300" s="56"/>
      <c r="BR300" s="56"/>
    </row>
    <row r="301" spans="1:7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O301" s="56"/>
      <c r="BP301" s="56"/>
      <c r="BQ301" s="56"/>
      <c r="BR301" s="56"/>
    </row>
    <row r="302" spans="1:7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O302" s="56"/>
      <c r="BP302" s="56"/>
      <c r="BQ302" s="56"/>
      <c r="BR302" s="56"/>
    </row>
    <row r="303" spans="1:7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O303" s="56"/>
      <c r="BP303" s="56"/>
      <c r="BQ303" s="56"/>
      <c r="BR303" s="56"/>
    </row>
    <row r="304" spans="1:7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O304" s="56"/>
      <c r="BP304" s="56"/>
      <c r="BQ304" s="56"/>
      <c r="BR304" s="56"/>
    </row>
    <row r="305" spans="1:7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O305" s="56"/>
      <c r="BP305" s="56"/>
      <c r="BQ305" s="56"/>
      <c r="BR305" s="56"/>
    </row>
    <row r="306" spans="1:7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O306" s="56"/>
      <c r="BP306" s="56"/>
      <c r="BQ306" s="56"/>
      <c r="BR306" s="56"/>
    </row>
    <row r="307" spans="1:7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O307" s="56"/>
      <c r="BP307" s="56"/>
      <c r="BQ307" s="56"/>
      <c r="BR307" s="56"/>
    </row>
    <row r="308" spans="1:7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O308" s="56"/>
      <c r="BP308" s="56"/>
      <c r="BQ308" s="56"/>
      <c r="BR308" s="56"/>
    </row>
    <row r="309" spans="1:7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O309" s="56"/>
      <c r="BP309" s="56"/>
      <c r="BQ309" s="56"/>
      <c r="BR309" s="56"/>
    </row>
    <row r="310" spans="1:7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O310" s="56"/>
      <c r="BP310" s="56"/>
      <c r="BQ310" s="56"/>
      <c r="BR310" s="56"/>
    </row>
    <row r="311" spans="1:7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O311" s="56"/>
      <c r="BP311" s="56"/>
      <c r="BQ311" s="56"/>
      <c r="BR311" s="56"/>
    </row>
    <row r="312" spans="1:7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O312" s="56"/>
      <c r="BP312" s="56"/>
      <c r="BQ312" s="56"/>
      <c r="BR312" s="56"/>
    </row>
    <row r="313" spans="1:7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O313" s="56"/>
      <c r="BP313" s="56"/>
      <c r="BQ313" s="56"/>
      <c r="BR313" s="56"/>
    </row>
    <row r="314" spans="1:7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O314" s="56"/>
      <c r="BP314" s="56"/>
      <c r="BQ314" s="56"/>
      <c r="BR314" s="56"/>
    </row>
    <row r="315" spans="1:7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O315" s="56"/>
      <c r="BP315" s="56"/>
      <c r="BQ315" s="56"/>
      <c r="BR315" s="56"/>
    </row>
    <row r="316" spans="1:7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O316" s="56"/>
      <c r="BP316" s="56"/>
      <c r="BQ316" s="56"/>
      <c r="BR316" s="56"/>
    </row>
    <row r="317" spans="1:7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O317" s="56"/>
      <c r="BP317" s="56"/>
      <c r="BQ317" s="56"/>
      <c r="BR317" s="56"/>
    </row>
    <row r="318" spans="1:7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O318" s="56"/>
      <c r="BP318" s="56"/>
      <c r="BQ318" s="56"/>
      <c r="BR318" s="56"/>
    </row>
    <row r="319" spans="1:7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O319" s="56"/>
      <c r="BP319" s="56"/>
      <c r="BQ319" s="56"/>
      <c r="BR319" s="56"/>
    </row>
    <row r="320" spans="1:7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O320" s="56"/>
      <c r="BP320" s="56"/>
      <c r="BQ320" s="56"/>
      <c r="BR320" s="56"/>
    </row>
    <row r="321" spans="1:7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O321" s="56"/>
      <c r="BP321" s="56"/>
      <c r="BQ321" s="56"/>
      <c r="BR321" s="56"/>
    </row>
    <row r="322" spans="1:7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O322" s="56"/>
      <c r="BP322" s="56"/>
      <c r="BQ322" s="56"/>
      <c r="BR322" s="56"/>
    </row>
    <row r="323" spans="1:7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O323" s="56"/>
      <c r="BP323" s="56"/>
      <c r="BQ323" s="56"/>
      <c r="BR323" s="56"/>
    </row>
    <row r="324" spans="1:7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O324" s="56"/>
      <c r="BP324" s="56"/>
      <c r="BQ324" s="56"/>
      <c r="BR324" s="56"/>
    </row>
    <row r="325" spans="1:7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O325" s="56"/>
      <c r="BP325" s="56"/>
      <c r="BQ325" s="56"/>
      <c r="BR325" s="56"/>
    </row>
    <row r="326" spans="1:7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O326" s="56"/>
      <c r="BP326" s="56"/>
      <c r="BQ326" s="56"/>
      <c r="BR326" s="56"/>
    </row>
    <row r="327" spans="1:7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O327" s="56"/>
      <c r="BP327" s="56"/>
      <c r="BQ327" s="56"/>
      <c r="BR327" s="56"/>
    </row>
    <row r="328" spans="1:7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O328" s="56"/>
      <c r="BP328" s="56"/>
      <c r="BQ328" s="56"/>
      <c r="BR328" s="56"/>
    </row>
    <row r="329" spans="1:7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O329" s="56"/>
      <c r="BP329" s="56"/>
      <c r="BQ329" s="56"/>
      <c r="BR329" s="56"/>
    </row>
    <row r="330" spans="1:7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O330" s="56"/>
      <c r="BP330" s="56"/>
      <c r="BQ330" s="56"/>
      <c r="BR330" s="56"/>
    </row>
    <row r="331" spans="1:7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O331" s="56"/>
      <c r="BP331" s="56"/>
      <c r="BQ331" s="56"/>
      <c r="BR331" s="56"/>
    </row>
    <row r="332" spans="1:7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O332" s="56"/>
      <c r="BP332" s="56"/>
      <c r="BQ332" s="56"/>
      <c r="BR332" s="56"/>
    </row>
    <row r="333" spans="1:7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O333" s="56"/>
      <c r="BP333" s="56"/>
      <c r="BQ333" s="56"/>
      <c r="BR333" s="56"/>
    </row>
    <row r="334" spans="1:7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O334" s="56"/>
      <c r="BP334" s="56"/>
      <c r="BQ334" s="56"/>
      <c r="BR334" s="56"/>
    </row>
    <row r="335" spans="1:7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O335" s="56"/>
      <c r="BP335" s="56"/>
      <c r="BQ335" s="56"/>
      <c r="BR335" s="56"/>
    </row>
    <row r="336" spans="1:7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O336" s="56"/>
      <c r="BP336" s="56"/>
      <c r="BQ336" s="56"/>
      <c r="BR336" s="56"/>
    </row>
    <row r="337" spans="1:7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O337" s="56"/>
      <c r="BP337" s="56"/>
      <c r="BQ337" s="56"/>
      <c r="BR337" s="56"/>
    </row>
    <row r="338" spans="1:7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O338" s="56"/>
      <c r="BP338" s="56"/>
      <c r="BQ338" s="56"/>
      <c r="BR338" s="56"/>
    </row>
    <row r="339" spans="1:7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O339" s="56"/>
      <c r="BP339" s="56"/>
      <c r="BQ339" s="56"/>
      <c r="BR339" s="56"/>
    </row>
    <row r="340" spans="1:7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O340" s="56"/>
      <c r="BP340" s="56"/>
      <c r="BQ340" s="56"/>
      <c r="BR340" s="56"/>
    </row>
    <row r="341" spans="1:7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O341" s="56"/>
      <c r="BP341" s="56"/>
      <c r="BQ341" s="56"/>
      <c r="BR341" s="56"/>
    </row>
    <row r="342" spans="1:7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O342" s="56"/>
      <c r="BP342" s="56"/>
      <c r="BQ342" s="56"/>
      <c r="BR342" s="56"/>
    </row>
    <row r="343" spans="1:7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O343" s="56"/>
      <c r="BP343" s="56"/>
      <c r="BQ343" s="56"/>
      <c r="BR343" s="56"/>
    </row>
    <row r="344" spans="1:7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O344" s="56"/>
      <c r="BP344" s="56"/>
      <c r="BQ344" s="56"/>
      <c r="BR344" s="56"/>
    </row>
    <row r="345" spans="1:7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O345" s="56"/>
      <c r="BP345" s="56"/>
      <c r="BQ345" s="56"/>
      <c r="BR345" s="56"/>
    </row>
    <row r="346" spans="1:7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O346" s="56"/>
      <c r="BP346" s="56"/>
      <c r="BQ346" s="56"/>
      <c r="BR346" s="56"/>
    </row>
    <row r="347" spans="1:7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O347" s="56"/>
      <c r="BP347" s="56"/>
      <c r="BQ347" s="56"/>
      <c r="BR347" s="56"/>
    </row>
    <row r="348" spans="1:7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O348" s="56"/>
      <c r="BP348" s="56"/>
      <c r="BQ348" s="56"/>
      <c r="BR348" s="56"/>
    </row>
    <row r="349" spans="1:7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O349" s="56"/>
      <c r="BP349" s="56"/>
      <c r="BQ349" s="56"/>
      <c r="BR349" s="56"/>
    </row>
    <row r="350" spans="1:7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O350" s="56"/>
      <c r="BP350" s="56"/>
      <c r="BQ350" s="56"/>
      <c r="BR350" s="56"/>
    </row>
    <row r="351" spans="1:7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O351" s="56"/>
      <c r="BP351" s="56"/>
      <c r="BQ351" s="56"/>
      <c r="BR351" s="56"/>
    </row>
    <row r="352" spans="1:7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O352" s="56"/>
      <c r="BP352" s="56"/>
      <c r="BQ352" s="56"/>
      <c r="BR352" s="56"/>
    </row>
    <row r="353" spans="1:7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O353" s="56"/>
      <c r="BP353" s="56"/>
      <c r="BQ353" s="56"/>
      <c r="BR353" s="56"/>
    </row>
    <row r="354" spans="1:7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O354" s="56"/>
      <c r="BP354" s="56"/>
      <c r="BQ354" s="56"/>
      <c r="BR354" s="56"/>
    </row>
    <row r="355" spans="1:7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O355" s="56"/>
      <c r="BP355" s="56"/>
      <c r="BQ355" s="56"/>
      <c r="BR355" s="56"/>
    </row>
    <row r="356" spans="1:7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O356" s="56"/>
      <c r="BP356" s="56"/>
      <c r="BQ356" s="56"/>
      <c r="BR356" s="56"/>
    </row>
    <row r="357" spans="1:7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O357" s="56"/>
      <c r="BP357" s="56"/>
      <c r="BQ357" s="56"/>
      <c r="BR357" s="56"/>
    </row>
    <row r="358" spans="1:7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O358" s="56"/>
      <c r="BP358" s="56"/>
      <c r="BQ358" s="56"/>
      <c r="BR358" s="56"/>
    </row>
    <row r="359" spans="1:7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O359" s="56"/>
      <c r="BP359" s="56"/>
      <c r="BQ359" s="56"/>
      <c r="BR359" s="56"/>
    </row>
    <row r="360" spans="1:7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O360" s="56"/>
      <c r="BP360" s="56"/>
      <c r="BQ360" s="56"/>
      <c r="BR360" s="56"/>
    </row>
    <row r="361" spans="1:7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O361" s="56"/>
      <c r="BP361" s="56"/>
      <c r="BQ361" s="56"/>
      <c r="BR361" s="56"/>
    </row>
    <row r="362" spans="1:7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O362" s="56"/>
      <c r="BP362" s="56"/>
      <c r="BQ362" s="56"/>
      <c r="BR362" s="56"/>
    </row>
    <row r="363" spans="1:7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O363" s="56"/>
      <c r="BP363" s="56"/>
      <c r="BQ363" s="56"/>
      <c r="BR363" s="56"/>
    </row>
    <row r="364" spans="1:7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O364" s="56"/>
      <c r="BP364" s="56"/>
      <c r="BQ364" s="56"/>
      <c r="BR364" s="56"/>
    </row>
    <row r="365" spans="1:7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O365" s="56"/>
      <c r="BP365" s="56"/>
      <c r="BQ365" s="56"/>
      <c r="BR365" s="56"/>
    </row>
    <row r="366" spans="1:7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O366" s="56"/>
      <c r="BP366" s="56"/>
      <c r="BQ366" s="56"/>
      <c r="BR366" s="56"/>
    </row>
    <row r="367" spans="1:7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O367" s="56"/>
      <c r="BP367" s="56"/>
      <c r="BQ367" s="56"/>
      <c r="BR367" s="56"/>
    </row>
    <row r="368" spans="1:7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O368" s="56"/>
      <c r="BP368" s="56"/>
      <c r="BQ368" s="56"/>
      <c r="BR368" s="56"/>
    </row>
    <row r="369" spans="1:7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O369" s="56"/>
      <c r="BP369" s="56"/>
      <c r="BQ369" s="56"/>
      <c r="BR369" s="56"/>
    </row>
    <row r="370" spans="1:7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O370" s="56"/>
      <c r="BP370" s="56"/>
      <c r="BQ370" s="56"/>
      <c r="BR370" s="56"/>
    </row>
    <row r="371" spans="1:7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O371" s="56"/>
      <c r="BP371" s="56"/>
      <c r="BQ371" s="56"/>
      <c r="BR371" s="56"/>
    </row>
    <row r="372" spans="1:7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O372" s="56"/>
      <c r="BP372" s="56"/>
      <c r="BQ372" s="56"/>
      <c r="BR372" s="56"/>
    </row>
    <row r="373" spans="1:7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O373" s="56"/>
      <c r="BP373" s="56"/>
      <c r="BQ373" s="56"/>
      <c r="BR373" s="56"/>
    </row>
    <row r="374" spans="1:7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O374" s="56"/>
      <c r="BP374" s="56"/>
      <c r="BQ374" s="56"/>
      <c r="BR374" s="56"/>
    </row>
    <row r="375" spans="1:7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O375" s="56"/>
      <c r="BP375" s="56"/>
      <c r="BQ375" s="56"/>
      <c r="BR375" s="56"/>
    </row>
    <row r="376" spans="1:7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O376" s="56"/>
      <c r="BP376" s="56"/>
      <c r="BQ376" s="56"/>
      <c r="BR376" s="56"/>
    </row>
    <row r="377" spans="1:7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O377" s="56"/>
      <c r="BP377" s="56"/>
      <c r="BQ377" s="56"/>
      <c r="BR377" s="56"/>
    </row>
    <row r="378" spans="1:7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O378" s="56"/>
      <c r="BP378" s="56"/>
      <c r="BQ378" s="56"/>
      <c r="BR378" s="56"/>
    </row>
    <row r="379" spans="1:7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O379" s="56"/>
      <c r="BP379" s="56"/>
      <c r="BQ379" s="56"/>
      <c r="BR379" s="56"/>
    </row>
    <row r="380" spans="1:7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O380" s="56"/>
      <c r="BP380" s="56"/>
      <c r="BQ380" s="56"/>
      <c r="BR380" s="56"/>
    </row>
    <row r="381" spans="1:7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O381" s="56"/>
      <c r="BP381" s="56"/>
      <c r="BQ381" s="56"/>
      <c r="BR381" s="56"/>
    </row>
    <row r="382" spans="1:7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O382" s="56"/>
      <c r="BP382" s="56"/>
      <c r="BQ382" s="56"/>
      <c r="BR382" s="56"/>
    </row>
    <row r="383" spans="1:7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O383" s="56"/>
      <c r="BP383" s="56"/>
      <c r="BQ383" s="56"/>
      <c r="BR383" s="56"/>
    </row>
    <row r="384" spans="1:7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O384" s="56"/>
      <c r="BP384" s="56"/>
      <c r="BQ384" s="56"/>
      <c r="BR384" s="56"/>
    </row>
    <row r="385" spans="1:7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O385" s="56"/>
      <c r="BP385" s="56"/>
      <c r="BQ385" s="56"/>
      <c r="BR385" s="56"/>
    </row>
    <row r="386" spans="1:7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O386" s="56"/>
      <c r="BP386" s="56"/>
      <c r="BQ386" s="56"/>
      <c r="BR386" s="56"/>
    </row>
    <row r="387" spans="1:7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O387" s="56"/>
      <c r="BP387" s="56"/>
      <c r="BQ387" s="56"/>
      <c r="BR387" s="56"/>
    </row>
    <row r="388" spans="1:7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O388" s="56"/>
      <c r="BP388" s="56"/>
      <c r="BQ388" s="56"/>
      <c r="BR388" s="56"/>
    </row>
    <row r="389" spans="1:7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O389" s="56"/>
      <c r="BP389" s="56"/>
      <c r="BQ389" s="56"/>
      <c r="BR389" s="56"/>
    </row>
    <row r="390" spans="1:7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O390" s="56"/>
      <c r="BP390" s="56"/>
      <c r="BQ390" s="56"/>
      <c r="BR390" s="56"/>
    </row>
    <row r="391" spans="1:7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O391" s="56"/>
      <c r="BP391" s="56"/>
      <c r="BQ391" s="56"/>
      <c r="BR391" s="56"/>
    </row>
    <row r="392" spans="1:7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O392" s="56"/>
      <c r="BP392" s="56"/>
      <c r="BQ392" s="56"/>
      <c r="BR392" s="56"/>
    </row>
    <row r="393" spans="1:7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O393" s="56"/>
      <c r="BP393" s="56"/>
      <c r="BQ393" s="56"/>
      <c r="BR393" s="56"/>
    </row>
    <row r="394" spans="1:7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O394" s="56"/>
      <c r="BP394" s="56"/>
      <c r="BQ394" s="56"/>
      <c r="BR394" s="56"/>
    </row>
    <row r="395" spans="1:7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O395" s="56"/>
      <c r="BP395" s="56"/>
      <c r="BQ395" s="56"/>
      <c r="BR395" s="56"/>
    </row>
    <row r="396" spans="1:7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O396" s="56"/>
      <c r="BP396" s="56"/>
      <c r="BQ396" s="56"/>
      <c r="BR396" s="56"/>
    </row>
    <row r="397" spans="1:7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O397" s="56"/>
      <c r="BP397" s="56"/>
      <c r="BQ397" s="56"/>
      <c r="BR397" s="56"/>
    </row>
    <row r="398" spans="1:7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O398" s="56"/>
      <c r="BP398" s="56"/>
      <c r="BQ398" s="56"/>
      <c r="BR398" s="56"/>
    </row>
    <row r="399" spans="1:7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O399" s="56"/>
      <c r="BP399" s="56"/>
      <c r="BQ399" s="56"/>
      <c r="BR399" s="56"/>
    </row>
    <row r="400" spans="1:7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O400" s="56"/>
      <c r="BP400" s="56"/>
      <c r="BQ400" s="56"/>
      <c r="BR400" s="56"/>
    </row>
    <row r="401" spans="1:7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O401" s="56"/>
      <c r="BP401" s="56"/>
      <c r="BQ401" s="56"/>
      <c r="BR401" s="56"/>
    </row>
    <row r="402" spans="1:7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O402" s="56"/>
      <c r="BP402" s="56"/>
      <c r="BQ402" s="56"/>
      <c r="BR402" s="56"/>
    </row>
    <row r="403" spans="1:7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O403" s="56"/>
      <c r="BP403" s="56"/>
      <c r="BQ403" s="56"/>
      <c r="BR403" s="56"/>
    </row>
    <row r="404" spans="1:7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O404" s="56"/>
      <c r="BP404" s="56"/>
      <c r="BQ404" s="56"/>
      <c r="BR404" s="56"/>
    </row>
    <row r="405" spans="1:7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O405" s="56"/>
      <c r="BP405" s="56"/>
      <c r="BQ405" s="56"/>
      <c r="BR405" s="56"/>
    </row>
    <row r="406" spans="1:7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O406" s="56"/>
      <c r="BP406" s="56"/>
      <c r="BQ406" s="56"/>
      <c r="BR406" s="56"/>
    </row>
    <row r="407" spans="1:7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O407" s="56"/>
      <c r="BP407" s="56"/>
      <c r="BQ407" s="56"/>
      <c r="BR407" s="56"/>
    </row>
    <row r="408" spans="1:7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O408" s="56"/>
      <c r="BP408" s="56"/>
      <c r="BQ408" s="56"/>
      <c r="BR408" s="56"/>
    </row>
    <row r="409" spans="1:7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O409" s="56"/>
      <c r="BP409" s="56"/>
      <c r="BQ409" s="56"/>
      <c r="BR409" s="56"/>
    </row>
    <row r="410" spans="1:7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O410" s="56"/>
      <c r="BP410" s="56"/>
      <c r="BQ410" s="56"/>
      <c r="BR410" s="56"/>
    </row>
    <row r="411" spans="1:7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O411" s="56"/>
      <c r="BP411" s="56"/>
      <c r="BQ411" s="56"/>
      <c r="BR411" s="56"/>
    </row>
    <row r="412" spans="1:7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O412" s="56"/>
      <c r="BP412" s="56"/>
      <c r="BQ412" s="56"/>
      <c r="BR412" s="56"/>
    </row>
    <row r="413" spans="1:7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O413" s="56"/>
      <c r="BP413" s="56"/>
      <c r="BQ413" s="56"/>
      <c r="BR413" s="56"/>
    </row>
    <row r="414" spans="1:7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O414" s="56"/>
      <c r="BP414" s="56"/>
      <c r="BQ414" s="56"/>
      <c r="BR414" s="56"/>
    </row>
    <row r="415" spans="1:7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O415" s="56"/>
      <c r="BP415" s="56"/>
      <c r="BQ415" s="56"/>
      <c r="BR415" s="56"/>
    </row>
    <row r="416" spans="1:7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O416" s="56"/>
      <c r="BP416" s="56"/>
      <c r="BQ416" s="56"/>
      <c r="BR416" s="56"/>
    </row>
    <row r="417" spans="1:7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O417" s="56"/>
      <c r="BP417" s="56"/>
      <c r="BQ417" s="56"/>
      <c r="BR417" s="56"/>
    </row>
    <row r="418" spans="1:7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O418" s="56"/>
      <c r="BP418" s="56"/>
      <c r="BQ418" s="56"/>
      <c r="BR418" s="56"/>
    </row>
    <row r="419" spans="1:7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O419" s="56"/>
      <c r="BP419" s="56"/>
      <c r="BQ419" s="56"/>
      <c r="BR419" s="56"/>
    </row>
    <row r="420" spans="1:7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O420" s="56"/>
      <c r="BP420" s="56"/>
      <c r="BQ420" s="56"/>
      <c r="BR420" s="56"/>
    </row>
    <row r="421" spans="1:7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O421" s="56"/>
      <c r="BP421" s="56"/>
      <c r="BQ421" s="56"/>
      <c r="BR421" s="56"/>
    </row>
    <row r="422" spans="1:7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O422" s="56"/>
      <c r="BP422" s="56"/>
      <c r="BQ422" s="56"/>
      <c r="BR422" s="56"/>
    </row>
    <row r="423" spans="1:7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O423" s="56"/>
      <c r="BP423" s="56"/>
      <c r="BQ423" s="56"/>
      <c r="BR423" s="56"/>
    </row>
    <row r="424" spans="1:7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O424" s="56"/>
      <c r="BP424" s="56"/>
      <c r="BQ424" s="56"/>
      <c r="BR424" s="56"/>
    </row>
    <row r="425" spans="1:7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O425" s="56"/>
      <c r="BP425" s="56"/>
      <c r="BQ425" s="56"/>
      <c r="BR425" s="56"/>
    </row>
    <row r="426" spans="1:7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O426" s="56"/>
      <c r="BP426" s="56"/>
      <c r="BQ426" s="56"/>
      <c r="BR426" s="56"/>
    </row>
    <row r="427" spans="1:7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O427" s="56"/>
      <c r="BP427" s="56"/>
      <c r="BQ427" s="56"/>
      <c r="BR427" s="56"/>
    </row>
    <row r="428" spans="1:7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O428" s="56"/>
      <c r="BP428" s="56"/>
      <c r="BQ428" s="56"/>
      <c r="BR428" s="56"/>
    </row>
    <row r="429" spans="1:7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O429" s="56"/>
      <c r="BP429" s="56"/>
      <c r="BQ429" s="56"/>
      <c r="BR429" s="56"/>
    </row>
    <row r="430" spans="1:7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O430" s="56"/>
      <c r="BP430" s="56"/>
      <c r="BQ430" s="56"/>
      <c r="BR430" s="56"/>
    </row>
    <row r="431" spans="1:7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O431" s="56"/>
      <c r="BP431" s="56"/>
      <c r="BQ431" s="56"/>
      <c r="BR431" s="56"/>
    </row>
    <row r="432" spans="1:7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O432" s="56"/>
      <c r="BP432" s="56"/>
      <c r="BQ432" s="56"/>
      <c r="BR432" s="56"/>
    </row>
    <row r="433" spans="1:7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O433" s="56"/>
      <c r="BP433" s="56"/>
      <c r="BQ433" s="56"/>
      <c r="BR433" s="56"/>
    </row>
    <row r="434" spans="1:7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O434" s="56"/>
      <c r="BP434" s="56"/>
      <c r="BQ434" s="56"/>
      <c r="BR434" s="56"/>
    </row>
    <row r="435" spans="1:7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O435" s="56"/>
      <c r="BP435" s="56"/>
      <c r="BQ435" s="56"/>
      <c r="BR435" s="56"/>
    </row>
    <row r="436" spans="1:7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O436" s="56"/>
      <c r="BP436" s="56"/>
      <c r="BQ436" s="56"/>
      <c r="BR436" s="56"/>
    </row>
    <row r="437" spans="1:7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O437" s="56"/>
      <c r="BP437" s="56"/>
      <c r="BQ437" s="56"/>
      <c r="BR437" s="56"/>
    </row>
    <row r="438" spans="1:7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O438" s="56"/>
      <c r="BP438" s="56"/>
      <c r="BQ438" s="56"/>
      <c r="BR438" s="56"/>
    </row>
    <row r="439" spans="1:7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O439" s="56"/>
      <c r="BP439" s="56"/>
      <c r="BQ439" s="56"/>
      <c r="BR439" s="56"/>
    </row>
    <row r="440" spans="1:7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O440" s="56"/>
      <c r="BP440" s="56"/>
      <c r="BQ440" s="56"/>
      <c r="BR440" s="56"/>
    </row>
    <row r="441" spans="1:7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O441" s="56"/>
      <c r="BP441" s="56"/>
      <c r="BQ441" s="56"/>
      <c r="BR441" s="56"/>
    </row>
    <row r="442" spans="1:7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O442" s="56"/>
      <c r="BP442" s="56"/>
      <c r="BQ442" s="56"/>
      <c r="BR442" s="56"/>
    </row>
    <row r="443" spans="1:7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O443" s="56"/>
      <c r="BP443" s="56"/>
      <c r="BQ443" s="56"/>
      <c r="BR443" s="56"/>
    </row>
    <row r="444" spans="1:7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O444" s="56"/>
      <c r="BP444" s="56"/>
      <c r="BQ444" s="56"/>
      <c r="BR444" s="56"/>
    </row>
    <row r="445" spans="1:7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O445" s="56"/>
      <c r="BP445" s="56"/>
      <c r="BQ445" s="56"/>
      <c r="BR445" s="56"/>
    </row>
    <row r="446" spans="1:7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O446" s="56"/>
      <c r="BP446" s="56"/>
      <c r="BQ446" s="56"/>
      <c r="BR446" s="56"/>
    </row>
    <row r="447" spans="1:7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O447" s="56"/>
      <c r="BP447" s="56"/>
      <c r="BQ447" s="56"/>
      <c r="BR447" s="56"/>
    </row>
    <row r="448" spans="1:7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O448" s="56"/>
      <c r="BP448" s="56"/>
      <c r="BQ448" s="56"/>
      <c r="BR448" s="56"/>
    </row>
    <row r="449" spans="1:7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O449" s="56"/>
      <c r="BP449" s="56"/>
      <c r="BQ449" s="56"/>
      <c r="BR449" s="56"/>
    </row>
    <row r="450" spans="1:7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O450" s="56"/>
      <c r="BP450" s="56"/>
      <c r="BQ450" s="56"/>
      <c r="BR450" s="56"/>
    </row>
    <row r="451" spans="1:7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O451" s="56"/>
      <c r="BP451" s="56"/>
      <c r="BQ451" s="56"/>
      <c r="BR451" s="56"/>
    </row>
    <row r="452" spans="1:7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O452" s="56"/>
      <c r="BP452" s="56"/>
      <c r="BQ452" s="56"/>
      <c r="BR452" s="56"/>
    </row>
    <row r="453" spans="1:7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O453" s="56"/>
      <c r="BP453" s="56"/>
      <c r="BQ453" s="56"/>
      <c r="BR453" s="56"/>
    </row>
    <row r="454" spans="1:7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O454" s="56"/>
      <c r="BP454" s="56"/>
      <c r="BQ454" s="56"/>
      <c r="BR454" s="56"/>
    </row>
    <row r="455" spans="1:7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O455" s="56"/>
      <c r="BP455" s="56"/>
      <c r="BQ455" s="56"/>
      <c r="BR455" s="56"/>
    </row>
    <row r="456" spans="1:7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O456" s="56"/>
      <c r="BP456" s="56"/>
      <c r="BQ456" s="56"/>
      <c r="BR456" s="56"/>
    </row>
    <row r="457" spans="1:7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O457" s="56"/>
      <c r="BP457" s="56"/>
      <c r="BQ457" s="56"/>
      <c r="BR457" s="56"/>
    </row>
    <row r="458" spans="1:7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O458" s="56"/>
      <c r="BP458" s="56"/>
      <c r="BQ458" s="56"/>
      <c r="BR458" s="56"/>
    </row>
    <row r="459" spans="1:7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O459" s="56"/>
      <c r="BP459" s="56"/>
      <c r="BQ459" s="56"/>
      <c r="BR459" s="56"/>
    </row>
    <row r="460" spans="1:7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O460" s="56"/>
      <c r="BP460" s="56"/>
      <c r="BQ460" s="56"/>
      <c r="BR460" s="56"/>
    </row>
    <row r="461" spans="1:7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O461" s="56"/>
      <c r="BP461" s="56"/>
      <c r="BQ461" s="56"/>
      <c r="BR461" s="56"/>
    </row>
    <row r="462" spans="1:7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O462" s="56"/>
      <c r="BP462" s="56"/>
      <c r="BQ462" s="56"/>
      <c r="BR462" s="56"/>
    </row>
    <row r="463" spans="1:7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O463" s="56"/>
      <c r="BP463" s="56"/>
      <c r="BQ463" s="56"/>
      <c r="BR463" s="56"/>
    </row>
    <row r="464" spans="1:7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O464" s="56"/>
      <c r="BP464" s="56"/>
      <c r="BQ464" s="56"/>
      <c r="BR464" s="56"/>
    </row>
    <row r="465" spans="1:7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O465" s="56"/>
      <c r="BP465" s="56"/>
      <c r="BQ465" s="56"/>
      <c r="BR465" s="56"/>
    </row>
    <row r="466" spans="1:7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O466" s="56"/>
      <c r="BP466" s="56"/>
      <c r="BQ466" s="56"/>
      <c r="BR466" s="56"/>
    </row>
    <row r="467" spans="1:7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O467" s="56"/>
      <c r="BP467" s="56"/>
      <c r="BQ467" s="56"/>
      <c r="BR467" s="56"/>
    </row>
    <row r="468" spans="1:7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O468" s="56"/>
      <c r="BP468" s="56"/>
      <c r="BQ468" s="56"/>
      <c r="BR468" s="56"/>
    </row>
    <row r="469" spans="1:7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O469" s="56"/>
      <c r="BP469" s="56"/>
      <c r="BQ469" s="56"/>
      <c r="BR469" s="56"/>
    </row>
    <row r="470" spans="1:7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O470" s="56"/>
      <c r="BP470" s="56"/>
      <c r="BQ470" s="56"/>
      <c r="BR470" s="56"/>
    </row>
    <row r="471" spans="1:7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O471" s="56"/>
      <c r="BP471" s="56"/>
      <c r="BQ471" s="56"/>
      <c r="BR471" s="56"/>
    </row>
    <row r="472" spans="1:7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O472" s="56"/>
      <c r="BP472" s="56"/>
      <c r="BQ472" s="56"/>
      <c r="BR472" s="56"/>
    </row>
    <row r="473" spans="1:7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O473" s="56"/>
      <c r="BP473" s="56"/>
      <c r="BQ473" s="56"/>
      <c r="BR473" s="56"/>
    </row>
    <row r="474" spans="1:7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O474" s="56"/>
      <c r="BP474" s="56"/>
      <c r="BQ474" s="56"/>
      <c r="BR474" s="56"/>
    </row>
    <row r="475" spans="1:7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O475" s="56"/>
      <c r="BP475" s="56"/>
      <c r="BQ475" s="56"/>
      <c r="BR475" s="56"/>
    </row>
    <row r="476" spans="1:7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O476" s="56"/>
      <c r="BP476" s="56"/>
      <c r="BQ476" s="56"/>
      <c r="BR476" s="56"/>
    </row>
    <row r="477" spans="1:7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O477" s="56"/>
      <c r="BP477" s="56"/>
      <c r="BQ477" s="56"/>
      <c r="BR477" s="56"/>
    </row>
    <row r="478" spans="1:7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O478" s="56"/>
      <c r="BP478" s="56"/>
      <c r="BQ478" s="56"/>
      <c r="BR478" s="56"/>
    </row>
    <row r="479" spans="1:7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O479" s="56"/>
      <c r="BP479" s="56"/>
      <c r="BQ479" s="56"/>
      <c r="BR479" s="56"/>
    </row>
    <row r="480" spans="1:7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O480" s="56"/>
      <c r="BP480" s="56"/>
      <c r="BQ480" s="56"/>
      <c r="BR480" s="56"/>
    </row>
    <row r="481" spans="1:7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O481" s="56"/>
      <c r="BP481" s="56"/>
      <c r="BQ481" s="56"/>
      <c r="BR481" s="56"/>
    </row>
    <row r="482" spans="1:7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O482" s="56"/>
      <c r="BP482" s="56"/>
      <c r="BQ482" s="56"/>
      <c r="BR482" s="56"/>
    </row>
    <row r="483" spans="1:7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O483" s="56"/>
      <c r="BP483" s="56"/>
      <c r="BQ483" s="56"/>
      <c r="BR483" s="56"/>
    </row>
    <row r="484" spans="1:7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O484" s="56"/>
      <c r="BP484" s="56"/>
      <c r="BQ484" s="56"/>
      <c r="BR484" s="56"/>
    </row>
    <row r="485" spans="1:7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O485" s="56"/>
      <c r="BP485" s="56"/>
      <c r="BQ485" s="56"/>
      <c r="BR485" s="56"/>
    </row>
    <row r="486" spans="1:7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O486" s="56"/>
      <c r="BP486" s="56"/>
      <c r="BQ486" s="56"/>
      <c r="BR486" s="56"/>
    </row>
    <row r="487" spans="1:7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O487" s="56"/>
      <c r="BP487" s="56"/>
      <c r="BQ487" s="56"/>
      <c r="BR487" s="56"/>
    </row>
    <row r="488" spans="1:7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O488" s="56"/>
      <c r="BP488" s="56"/>
      <c r="BQ488" s="56"/>
      <c r="BR488" s="56"/>
    </row>
    <row r="489" spans="1:7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O489" s="56"/>
      <c r="BP489" s="56"/>
      <c r="BQ489" s="56"/>
      <c r="BR489" s="56"/>
    </row>
    <row r="490" spans="1:7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O490" s="56"/>
      <c r="BP490" s="56"/>
      <c r="BQ490" s="56"/>
      <c r="BR490" s="56"/>
    </row>
    <row r="491" spans="1:7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O491" s="56"/>
      <c r="BP491" s="56"/>
      <c r="BQ491" s="56"/>
      <c r="BR491" s="56"/>
    </row>
    <row r="492" spans="1:7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O492" s="56"/>
      <c r="BP492" s="56"/>
      <c r="BQ492" s="56"/>
      <c r="BR492" s="56"/>
    </row>
    <row r="493" spans="1:7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O493" s="56"/>
      <c r="BP493" s="56"/>
      <c r="BQ493" s="56"/>
      <c r="BR493" s="56"/>
    </row>
    <row r="494" spans="1:7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O494" s="56"/>
      <c r="BP494" s="56"/>
      <c r="BQ494" s="56"/>
      <c r="BR494" s="56"/>
    </row>
    <row r="495" spans="1:7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O495" s="56"/>
      <c r="BP495" s="56"/>
      <c r="BQ495" s="56"/>
      <c r="BR495" s="56"/>
    </row>
    <row r="496" spans="1:7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O496" s="56"/>
      <c r="BP496" s="56"/>
      <c r="BQ496" s="56"/>
      <c r="BR496" s="56"/>
    </row>
    <row r="497" spans="1:7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O497" s="56"/>
      <c r="BP497" s="56"/>
      <c r="BQ497" s="56"/>
      <c r="BR497" s="56"/>
    </row>
    <row r="498" spans="1:7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O498" s="56"/>
      <c r="BP498" s="56"/>
      <c r="BQ498" s="56"/>
      <c r="BR498" s="56"/>
    </row>
    <row r="499" spans="1:7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O499" s="56"/>
      <c r="BP499" s="56"/>
      <c r="BQ499" s="56"/>
      <c r="BR499" s="56"/>
    </row>
    <row r="500" spans="1:7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O500" s="56"/>
      <c r="BP500" s="56"/>
      <c r="BQ500" s="56"/>
      <c r="BR500" s="56"/>
    </row>
    <row r="501" spans="1:7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O501" s="56"/>
      <c r="BP501" s="56"/>
      <c r="BQ501" s="56"/>
      <c r="BR501" s="56"/>
    </row>
    <row r="502" spans="1:7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O502" s="56"/>
      <c r="BP502" s="56"/>
      <c r="BQ502" s="56"/>
      <c r="BR502" s="56"/>
    </row>
    <row r="503" spans="1:7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O503" s="56"/>
      <c r="BP503" s="56"/>
      <c r="BQ503" s="56"/>
      <c r="BR503" s="56"/>
    </row>
    <row r="504" spans="1:7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O504" s="56"/>
      <c r="BP504" s="56"/>
      <c r="BQ504" s="56"/>
      <c r="BR504" s="56"/>
    </row>
    <row r="505" spans="1:7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O505" s="56"/>
      <c r="BP505" s="56"/>
      <c r="BQ505" s="56"/>
      <c r="BR505" s="56"/>
    </row>
    <row r="506" spans="1:7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O506" s="56"/>
      <c r="BP506" s="56"/>
      <c r="BQ506" s="56"/>
      <c r="BR506" s="56"/>
    </row>
    <row r="507" spans="1:7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O507" s="56"/>
      <c r="BP507" s="56"/>
      <c r="BQ507" s="56"/>
      <c r="BR507" s="56"/>
    </row>
    <row r="508" spans="1:7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O508" s="56"/>
      <c r="BP508" s="56"/>
      <c r="BQ508" s="56"/>
      <c r="BR508" s="56"/>
    </row>
    <row r="509" spans="1:7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O509" s="56"/>
      <c r="BP509" s="56"/>
      <c r="BQ509" s="56"/>
      <c r="BR509" s="56"/>
    </row>
    <row r="510" spans="1:7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O510" s="56"/>
      <c r="BP510" s="56"/>
      <c r="BQ510" s="56"/>
      <c r="BR510" s="56"/>
    </row>
    <row r="511" spans="1:7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O511" s="56"/>
      <c r="BP511" s="56"/>
      <c r="BQ511" s="56"/>
      <c r="BR511" s="56"/>
    </row>
    <row r="512" spans="1:7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O512" s="56"/>
      <c r="BP512" s="56"/>
      <c r="BQ512" s="56"/>
      <c r="BR512" s="56"/>
    </row>
    <row r="513" spans="1:7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O513" s="56"/>
      <c r="BP513" s="56"/>
      <c r="BQ513" s="56"/>
      <c r="BR513" s="56"/>
    </row>
    <row r="514" spans="1:7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O514" s="56"/>
      <c r="BP514" s="56"/>
      <c r="BQ514" s="56"/>
      <c r="BR514" s="56"/>
    </row>
    <row r="515" spans="1:7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O515" s="56"/>
      <c r="BP515" s="56"/>
      <c r="BQ515" s="56"/>
      <c r="BR515" s="56"/>
    </row>
    <row r="516" spans="1:7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O516" s="56"/>
      <c r="BP516" s="56"/>
      <c r="BQ516" s="56"/>
      <c r="BR516" s="56"/>
    </row>
    <row r="517" spans="1:7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O517" s="56"/>
      <c r="BP517" s="56"/>
      <c r="BQ517" s="56"/>
      <c r="BR517" s="56"/>
    </row>
    <row r="518" spans="1:7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O518" s="56"/>
      <c r="BP518" s="56"/>
      <c r="BQ518" s="56"/>
      <c r="BR518" s="56"/>
    </row>
    <row r="519" spans="1:7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O519" s="56"/>
      <c r="BP519" s="56"/>
      <c r="BQ519" s="56"/>
      <c r="BR519" s="56"/>
    </row>
    <row r="520" spans="1:7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O520" s="56"/>
      <c r="BP520" s="56"/>
      <c r="BQ520" s="56"/>
      <c r="BR520" s="56"/>
    </row>
    <row r="521" spans="1:7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O521" s="56"/>
      <c r="BP521" s="56"/>
      <c r="BQ521" s="56"/>
      <c r="BR521" s="56"/>
    </row>
    <row r="522" spans="1:7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O522" s="56"/>
      <c r="BP522" s="56"/>
      <c r="BQ522" s="56"/>
      <c r="BR522" s="56"/>
    </row>
    <row r="523" spans="1:7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O523" s="56"/>
      <c r="BP523" s="56"/>
      <c r="BQ523" s="56"/>
      <c r="BR523" s="56"/>
    </row>
    <row r="524" spans="1:7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O524" s="56"/>
      <c r="BP524" s="56"/>
      <c r="BQ524" s="56"/>
      <c r="BR524" s="56"/>
    </row>
    <row r="525" spans="1:7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O525" s="56"/>
      <c r="BP525" s="56"/>
      <c r="BQ525" s="56"/>
      <c r="BR525" s="56"/>
    </row>
    <row r="526" spans="1:7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O526" s="56"/>
      <c r="BP526" s="56"/>
      <c r="BQ526" s="56"/>
      <c r="BR526" s="56"/>
    </row>
    <row r="527" spans="1:7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O527" s="56"/>
      <c r="BP527" s="56"/>
      <c r="BQ527" s="56"/>
      <c r="BR527" s="56"/>
    </row>
    <row r="528" spans="1:7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O528" s="56"/>
      <c r="BP528" s="56"/>
      <c r="BQ528" s="56"/>
      <c r="BR528" s="56"/>
    </row>
    <row r="529" spans="1:7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O529" s="56"/>
      <c r="BP529" s="56"/>
      <c r="BQ529" s="56"/>
      <c r="BR529" s="56"/>
    </row>
    <row r="530" spans="1:7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O530" s="56"/>
      <c r="BP530" s="56"/>
      <c r="BQ530" s="56"/>
      <c r="BR530" s="56"/>
    </row>
    <row r="531" spans="1:7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O531" s="56"/>
      <c r="BP531" s="56"/>
      <c r="BQ531" s="56"/>
      <c r="BR531" s="56"/>
    </row>
    <row r="532" spans="1:7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O532" s="56"/>
      <c r="BP532" s="56"/>
      <c r="BQ532" s="56"/>
      <c r="BR532" s="56"/>
    </row>
    <row r="533" spans="1:7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O533" s="56"/>
      <c r="BP533" s="56"/>
      <c r="BQ533" s="56"/>
      <c r="BR533" s="56"/>
    </row>
    <row r="534" spans="1:7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O534" s="56"/>
      <c r="BP534" s="56"/>
      <c r="BQ534" s="56"/>
      <c r="BR534" s="56"/>
    </row>
    <row r="535" spans="1:7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O535" s="56"/>
      <c r="BP535" s="56"/>
      <c r="BQ535" s="56"/>
      <c r="BR535" s="56"/>
    </row>
    <row r="536" spans="1:7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O536" s="56"/>
      <c r="BP536" s="56"/>
      <c r="BQ536" s="56"/>
      <c r="BR536" s="56"/>
    </row>
    <row r="537" spans="1:7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O537" s="56"/>
      <c r="BP537" s="56"/>
      <c r="BQ537" s="56"/>
      <c r="BR537" s="56"/>
    </row>
    <row r="538" spans="1:7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O538" s="56"/>
      <c r="BP538" s="56"/>
      <c r="BQ538" s="56"/>
      <c r="BR538" s="56"/>
    </row>
    <row r="539" spans="1:7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O539" s="56"/>
      <c r="BP539" s="56"/>
      <c r="BQ539" s="56"/>
      <c r="BR539" s="56"/>
    </row>
    <row r="540" spans="1:7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O540" s="56"/>
      <c r="BP540" s="56"/>
      <c r="BQ540" s="56"/>
      <c r="BR540" s="56"/>
    </row>
    <row r="541" spans="1:7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O541" s="56"/>
      <c r="BP541" s="56"/>
      <c r="BQ541" s="56"/>
      <c r="BR541" s="56"/>
    </row>
    <row r="542" spans="1:7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O542" s="56"/>
      <c r="BP542" s="56"/>
      <c r="BQ542" s="56"/>
      <c r="BR542" s="56"/>
    </row>
    <row r="543" spans="1:7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O543" s="56"/>
      <c r="BP543" s="56"/>
      <c r="BQ543" s="56"/>
      <c r="BR543" s="56"/>
    </row>
    <row r="544" spans="1:7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O544" s="56"/>
      <c r="BP544" s="56"/>
      <c r="BQ544" s="56"/>
      <c r="BR544" s="56"/>
    </row>
    <row r="545" spans="1:7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O545" s="56"/>
      <c r="BP545" s="56"/>
      <c r="BQ545" s="56"/>
      <c r="BR545" s="56"/>
    </row>
    <row r="546" spans="1:7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O546" s="56"/>
      <c r="BP546" s="56"/>
      <c r="BQ546" s="56"/>
      <c r="BR546" s="56"/>
    </row>
    <row r="547" spans="1:7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O547" s="56"/>
      <c r="BP547" s="56"/>
      <c r="BQ547" s="56"/>
      <c r="BR547" s="56"/>
    </row>
    <row r="548" spans="1:7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O548" s="56"/>
      <c r="BP548" s="56"/>
      <c r="BQ548" s="56"/>
      <c r="BR548" s="56"/>
    </row>
    <row r="549" spans="1:7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O549" s="56"/>
      <c r="BP549" s="56"/>
      <c r="BQ549" s="56"/>
      <c r="BR549" s="56"/>
    </row>
    <row r="550" spans="1:7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O550" s="56"/>
      <c r="BP550" s="56"/>
      <c r="BQ550" s="56"/>
      <c r="BR550" s="56"/>
    </row>
    <row r="551" spans="1:7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O551" s="56"/>
      <c r="BP551" s="56"/>
      <c r="BQ551" s="56"/>
      <c r="BR551" s="56"/>
    </row>
    <row r="552" spans="1:7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O552" s="56"/>
      <c r="BP552" s="56"/>
      <c r="BQ552" s="56"/>
      <c r="BR552" s="56"/>
    </row>
    <row r="553" spans="1:7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O553" s="56"/>
      <c r="BP553" s="56"/>
      <c r="BQ553" s="56"/>
      <c r="BR553" s="56"/>
    </row>
    <row r="554" spans="1:7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O554" s="56"/>
      <c r="BP554" s="56"/>
      <c r="BQ554" s="56"/>
      <c r="BR554" s="56"/>
    </row>
    <row r="555" spans="1:7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O555" s="56"/>
      <c r="BP555" s="56"/>
      <c r="BQ555" s="56"/>
      <c r="BR555" s="56"/>
    </row>
    <row r="556" spans="1:7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O556" s="56"/>
      <c r="BP556" s="56"/>
      <c r="BQ556" s="56"/>
      <c r="BR556" s="56"/>
    </row>
    <row r="557" spans="1:7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O557" s="56"/>
      <c r="BP557" s="56"/>
      <c r="BQ557" s="56"/>
      <c r="BR557" s="56"/>
    </row>
    <row r="558" spans="1:7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O558" s="56"/>
      <c r="BP558" s="56"/>
      <c r="BQ558" s="56"/>
      <c r="BR558" s="56"/>
    </row>
    <row r="559" spans="1:7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O559" s="56"/>
      <c r="BP559" s="56"/>
      <c r="BQ559" s="56"/>
      <c r="BR559" s="56"/>
    </row>
    <row r="560" spans="1:7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O560" s="56"/>
      <c r="BP560" s="56"/>
      <c r="BQ560" s="56"/>
      <c r="BR560" s="56"/>
    </row>
    <row r="561" spans="1:7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O561" s="56"/>
      <c r="BP561" s="56"/>
      <c r="BQ561" s="56"/>
      <c r="BR561" s="56"/>
    </row>
    <row r="562" spans="1:7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O562" s="56"/>
      <c r="BP562" s="56"/>
      <c r="BQ562" s="56"/>
      <c r="BR562" s="56"/>
    </row>
    <row r="563" spans="1:7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O563" s="56"/>
      <c r="BP563" s="56"/>
      <c r="BQ563" s="56"/>
      <c r="BR563" s="56"/>
    </row>
    <row r="564" spans="1:7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O564" s="56"/>
      <c r="BP564" s="56"/>
      <c r="BQ564" s="56"/>
      <c r="BR564" s="56"/>
    </row>
    <row r="565" spans="1:7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O565" s="56"/>
      <c r="BP565" s="56"/>
      <c r="BQ565" s="56"/>
      <c r="BR565" s="56"/>
    </row>
    <row r="566" spans="1:7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O566" s="56"/>
      <c r="BP566" s="56"/>
      <c r="BQ566" s="56"/>
      <c r="BR566" s="56"/>
    </row>
    <row r="567" spans="1:7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O567" s="56"/>
      <c r="BP567" s="56"/>
      <c r="BQ567" s="56"/>
      <c r="BR567" s="56"/>
    </row>
    <row r="568" spans="1:7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O568" s="56"/>
      <c r="BP568" s="56"/>
      <c r="BQ568" s="56"/>
      <c r="BR568" s="56"/>
    </row>
    <row r="569" spans="1:7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O569" s="56"/>
      <c r="BP569" s="56"/>
      <c r="BQ569" s="56"/>
      <c r="BR569" s="56"/>
    </row>
    <row r="570" spans="1:7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O570" s="56"/>
      <c r="BP570" s="56"/>
      <c r="BQ570" s="56"/>
      <c r="BR570" s="56"/>
    </row>
    <row r="571" spans="1:7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O571" s="56"/>
      <c r="BP571" s="56"/>
      <c r="BQ571" s="56"/>
      <c r="BR571" s="56"/>
    </row>
    <row r="572" spans="1:7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O572" s="56"/>
      <c r="BP572" s="56"/>
      <c r="BQ572" s="56"/>
      <c r="BR572" s="56"/>
    </row>
    <row r="573" spans="1:7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O573" s="56"/>
      <c r="BP573" s="56"/>
      <c r="BQ573" s="56"/>
      <c r="BR573" s="56"/>
    </row>
    <row r="574" spans="1:7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O574" s="56"/>
      <c r="BP574" s="56"/>
      <c r="BQ574" s="56"/>
      <c r="BR574" s="56"/>
    </row>
    <row r="575" spans="1:7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O575" s="56"/>
      <c r="BP575" s="56"/>
      <c r="BQ575" s="56"/>
      <c r="BR575" s="56"/>
    </row>
    <row r="576" spans="1:7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O576" s="56"/>
      <c r="BP576" s="56"/>
      <c r="BQ576" s="56"/>
      <c r="BR576" s="56"/>
    </row>
    <row r="577" spans="1:7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O577" s="56"/>
      <c r="BP577" s="56"/>
      <c r="BQ577" s="56"/>
      <c r="BR577" s="56"/>
    </row>
    <row r="578" spans="1:7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O578" s="56"/>
      <c r="BP578" s="56"/>
      <c r="BQ578" s="56"/>
      <c r="BR578" s="56"/>
    </row>
    <row r="579" spans="1:7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O579" s="56"/>
      <c r="BP579" s="56"/>
      <c r="BQ579" s="56"/>
      <c r="BR579" s="56"/>
    </row>
    <row r="580" spans="1:7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O580" s="56"/>
      <c r="BP580" s="56"/>
      <c r="BQ580" s="56"/>
      <c r="BR580" s="56"/>
    </row>
    <row r="581" spans="1:7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O581" s="56"/>
      <c r="BP581" s="56"/>
      <c r="BQ581" s="56"/>
      <c r="BR581" s="56"/>
    </row>
    <row r="582" spans="1:7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O582" s="56"/>
      <c r="BP582" s="56"/>
      <c r="BQ582" s="56"/>
      <c r="BR582" s="56"/>
    </row>
    <row r="583" spans="1:7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O583" s="56"/>
      <c r="BP583" s="56"/>
      <c r="BQ583" s="56"/>
      <c r="BR583" s="56"/>
    </row>
    <row r="584" spans="1:7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O584" s="56"/>
      <c r="BP584" s="56"/>
      <c r="BQ584" s="56"/>
      <c r="BR584" s="56"/>
    </row>
    <row r="585" spans="1:7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O585" s="56"/>
      <c r="BP585" s="56"/>
      <c r="BQ585" s="56"/>
      <c r="BR585" s="56"/>
    </row>
    <row r="586" spans="1:7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O586" s="56"/>
      <c r="BP586" s="56"/>
      <c r="BQ586" s="56"/>
      <c r="BR586" s="56"/>
    </row>
    <row r="587" spans="1:7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O587" s="56"/>
      <c r="BP587" s="56"/>
      <c r="BQ587" s="56"/>
      <c r="BR587" s="56"/>
    </row>
    <row r="588" spans="1:7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O588" s="56"/>
      <c r="BP588" s="56"/>
      <c r="BQ588" s="56"/>
      <c r="BR588" s="56"/>
    </row>
    <row r="589" spans="1:7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O589" s="56"/>
      <c r="BP589" s="56"/>
      <c r="BQ589" s="56"/>
      <c r="BR589" s="56"/>
    </row>
    <row r="590" spans="1:7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O590" s="56"/>
      <c r="BP590" s="56"/>
      <c r="BQ590" s="56"/>
      <c r="BR590" s="56"/>
    </row>
    <row r="591" spans="1:7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O591" s="56"/>
      <c r="BP591" s="56"/>
      <c r="BQ591" s="56"/>
      <c r="BR591" s="56"/>
    </row>
    <row r="592" spans="1:7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O592" s="56"/>
      <c r="BP592" s="56"/>
      <c r="BQ592" s="56"/>
      <c r="BR592" s="56"/>
    </row>
    <row r="593" spans="1:7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O593" s="56"/>
      <c r="BP593" s="56"/>
      <c r="BQ593" s="56"/>
      <c r="BR593" s="56"/>
    </row>
    <row r="594" spans="1:7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O594" s="56"/>
      <c r="BP594" s="56"/>
      <c r="BQ594" s="56"/>
      <c r="BR594" s="56"/>
    </row>
    <row r="595" spans="1:7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O595" s="56"/>
      <c r="BP595" s="56"/>
      <c r="BQ595" s="56"/>
      <c r="BR595" s="56"/>
    </row>
    <row r="596" spans="1:7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O596" s="56"/>
      <c r="BP596" s="56"/>
      <c r="BQ596" s="56"/>
      <c r="BR596" s="56"/>
    </row>
    <row r="597" spans="1:7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O597" s="56"/>
      <c r="BP597" s="56"/>
      <c r="BQ597" s="56"/>
      <c r="BR597" s="56"/>
    </row>
    <row r="598" spans="1:7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O598" s="56"/>
      <c r="BP598" s="56"/>
      <c r="BQ598" s="56"/>
      <c r="BR598" s="56"/>
    </row>
    <row r="599" spans="1:7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O599" s="56"/>
      <c r="BP599" s="56"/>
      <c r="BQ599" s="56"/>
      <c r="BR599" s="56"/>
    </row>
    <row r="600" spans="1:7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O600" s="56"/>
      <c r="BP600" s="56"/>
      <c r="BQ600" s="56"/>
      <c r="BR600" s="56"/>
    </row>
    <row r="601" spans="1:7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O601" s="56"/>
      <c r="BP601" s="56"/>
      <c r="BQ601" s="56"/>
      <c r="BR601" s="56"/>
    </row>
    <row r="602" spans="1:7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O602" s="56"/>
      <c r="BP602" s="56"/>
      <c r="BQ602" s="56"/>
      <c r="BR602" s="56"/>
    </row>
    <row r="603" spans="1:7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O603" s="56"/>
      <c r="BP603" s="56"/>
      <c r="BQ603" s="56"/>
      <c r="BR603" s="56"/>
    </row>
    <row r="604" spans="1:7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O604" s="56"/>
      <c r="BP604" s="56"/>
      <c r="BQ604" s="56"/>
      <c r="BR604" s="56"/>
    </row>
    <row r="605" spans="1:7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O605" s="56"/>
      <c r="BP605" s="56"/>
      <c r="BQ605" s="56"/>
      <c r="BR605" s="56"/>
    </row>
    <row r="606" spans="1:7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O606" s="56"/>
      <c r="BP606" s="56"/>
      <c r="BQ606" s="56"/>
      <c r="BR606" s="56"/>
    </row>
    <row r="607" spans="1:7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O607" s="56"/>
      <c r="BP607" s="56"/>
      <c r="BQ607" s="56"/>
      <c r="BR607" s="56"/>
    </row>
    <row r="608" spans="1:7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O608" s="56"/>
      <c r="BP608" s="56"/>
      <c r="BQ608" s="56"/>
      <c r="BR608" s="56"/>
    </row>
    <row r="609" spans="1:7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O609" s="56"/>
      <c r="BP609" s="56"/>
      <c r="BQ609" s="56"/>
      <c r="BR609" s="56"/>
    </row>
    <row r="610" spans="1:7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O610" s="56"/>
      <c r="BP610" s="56"/>
      <c r="BQ610" s="56"/>
      <c r="BR610" s="56"/>
    </row>
    <row r="611" spans="1:7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O611" s="56"/>
      <c r="BP611" s="56"/>
      <c r="BQ611" s="56"/>
      <c r="BR611" s="56"/>
    </row>
    <row r="612" spans="1:7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O612" s="56"/>
      <c r="BP612" s="56"/>
      <c r="BQ612" s="56"/>
      <c r="BR612" s="56"/>
    </row>
    <row r="613" spans="1:7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O613" s="56"/>
      <c r="BP613" s="56"/>
      <c r="BQ613" s="56"/>
      <c r="BR613" s="56"/>
    </row>
    <row r="614" spans="1:7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O614" s="56"/>
      <c r="BP614" s="56"/>
      <c r="BQ614" s="56"/>
      <c r="BR614" s="56"/>
    </row>
    <row r="615" spans="1:7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O615" s="56"/>
      <c r="BP615" s="56"/>
      <c r="BQ615" s="56"/>
      <c r="BR615" s="56"/>
    </row>
    <row r="616" spans="1:7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O616" s="56"/>
      <c r="BP616" s="56"/>
      <c r="BQ616" s="56"/>
      <c r="BR616" s="56"/>
    </row>
    <row r="617" spans="1:7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O617" s="56"/>
      <c r="BP617" s="56"/>
      <c r="BQ617" s="56"/>
      <c r="BR617" s="56"/>
    </row>
    <row r="618" spans="1:7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O618" s="56"/>
      <c r="BP618" s="56"/>
      <c r="BQ618" s="56"/>
      <c r="BR618" s="56"/>
    </row>
    <row r="619" spans="1:7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O619" s="56"/>
      <c r="BP619" s="56"/>
      <c r="BQ619" s="56"/>
      <c r="BR619" s="56"/>
    </row>
    <row r="620" spans="1:7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O620" s="56"/>
      <c r="BP620" s="56"/>
      <c r="BQ620" s="56"/>
      <c r="BR620" s="56"/>
    </row>
    <row r="621" spans="1:7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O621" s="56"/>
      <c r="BP621" s="56"/>
      <c r="BQ621" s="56"/>
      <c r="BR621" s="56"/>
    </row>
    <row r="622" spans="1:7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O622" s="56"/>
      <c r="BP622" s="56"/>
      <c r="BQ622" s="56"/>
      <c r="BR622" s="56"/>
    </row>
    <row r="623" spans="1:7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O623" s="56"/>
      <c r="BP623" s="56"/>
      <c r="BQ623" s="56"/>
      <c r="BR623" s="56"/>
    </row>
    <row r="624" spans="1:7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O624" s="56"/>
      <c r="BP624" s="56"/>
      <c r="BQ624" s="56"/>
      <c r="BR624" s="56"/>
    </row>
    <row r="625" spans="1:7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O625" s="56"/>
      <c r="BP625" s="56"/>
      <c r="BQ625" s="56"/>
      <c r="BR625" s="56"/>
    </row>
    <row r="626" spans="1:7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O626" s="56"/>
      <c r="BP626" s="56"/>
      <c r="BQ626" s="56"/>
      <c r="BR626" s="56"/>
    </row>
    <row r="627" spans="1:7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O627" s="56"/>
      <c r="BP627" s="56"/>
      <c r="BQ627" s="56"/>
      <c r="BR627" s="56"/>
    </row>
    <row r="628" spans="1:7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O628" s="56"/>
      <c r="BP628" s="56"/>
      <c r="BQ628" s="56"/>
      <c r="BR628" s="56"/>
    </row>
    <row r="629" spans="1:7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O629" s="56"/>
      <c r="BP629" s="56"/>
      <c r="BQ629" s="56"/>
      <c r="BR629" s="56"/>
    </row>
    <row r="630" spans="1:7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O630" s="56"/>
      <c r="BP630" s="56"/>
      <c r="BQ630" s="56"/>
      <c r="BR630" s="56"/>
    </row>
    <row r="631" spans="1:7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O631" s="56"/>
      <c r="BP631" s="56"/>
      <c r="BQ631" s="56"/>
      <c r="BR631" s="56"/>
    </row>
    <row r="632" spans="1:7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O632" s="56"/>
      <c r="BP632" s="56"/>
      <c r="BQ632" s="56"/>
      <c r="BR632" s="56"/>
    </row>
    <row r="633" spans="1:7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O633" s="56"/>
      <c r="BP633" s="56"/>
      <c r="BQ633" s="56"/>
      <c r="BR633" s="56"/>
    </row>
    <row r="634" spans="1:7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O634" s="56"/>
      <c r="BP634" s="56"/>
      <c r="BQ634" s="56"/>
      <c r="BR634" s="56"/>
    </row>
    <row r="635" spans="1:7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O635" s="56"/>
      <c r="BP635" s="56"/>
      <c r="BQ635" s="56"/>
      <c r="BR635" s="56"/>
    </row>
    <row r="636" spans="1:7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O636" s="56"/>
      <c r="BP636" s="56"/>
      <c r="BQ636" s="56"/>
      <c r="BR636" s="56"/>
    </row>
    <row r="637" spans="1:7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O637" s="56"/>
      <c r="BP637" s="56"/>
      <c r="BQ637" s="56"/>
      <c r="BR637" s="56"/>
    </row>
    <row r="638" spans="1:7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O638" s="56"/>
      <c r="BP638" s="56"/>
      <c r="BQ638" s="56"/>
      <c r="BR638" s="56"/>
    </row>
    <row r="639" spans="1:7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O639" s="56"/>
      <c r="BP639" s="56"/>
      <c r="BQ639" s="56"/>
      <c r="BR639" s="56"/>
    </row>
    <row r="640" spans="1:7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O640" s="56"/>
      <c r="BP640" s="56"/>
      <c r="BQ640" s="56"/>
      <c r="BR640" s="56"/>
    </row>
    <row r="641" spans="1:7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O641" s="56"/>
      <c r="BP641" s="56"/>
      <c r="BQ641" s="56"/>
      <c r="BR641" s="56"/>
    </row>
    <row r="642" spans="1:7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O642" s="56"/>
      <c r="BP642" s="56"/>
      <c r="BQ642" s="56"/>
      <c r="BR642" s="56"/>
    </row>
    <row r="643" spans="1:7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O643" s="56"/>
      <c r="BP643" s="56"/>
      <c r="BQ643" s="56"/>
      <c r="BR643" s="56"/>
    </row>
    <row r="644" spans="1:7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O644" s="56"/>
      <c r="BP644" s="56"/>
      <c r="BQ644" s="56"/>
      <c r="BR644" s="56"/>
    </row>
    <row r="645" spans="1:7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O645" s="56"/>
      <c r="BP645" s="56"/>
      <c r="BQ645" s="56"/>
      <c r="BR645" s="56"/>
    </row>
    <row r="646" spans="1:7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O646" s="56"/>
      <c r="BP646" s="56"/>
      <c r="BQ646" s="56"/>
      <c r="BR646" s="56"/>
    </row>
    <row r="647" spans="1:7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O647" s="56"/>
      <c r="BP647" s="56"/>
      <c r="BQ647" s="56"/>
      <c r="BR647" s="56"/>
    </row>
    <row r="648" spans="1:7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O648" s="56"/>
      <c r="BP648" s="56"/>
      <c r="BQ648" s="56"/>
      <c r="BR648" s="56"/>
    </row>
    <row r="649" spans="1:7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O649" s="56"/>
      <c r="BP649" s="56"/>
      <c r="BQ649" s="56"/>
      <c r="BR649" s="56"/>
    </row>
    <row r="650" spans="1:7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O650" s="56"/>
      <c r="BP650" s="56"/>
      <c r="BQ650" s="56"/>
      <c r="BR650" s="56"/>
    </row>
    <row r="651" spans="1:7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O651" s="56"/>
      <c r="BP651" s="56"/>
      <c r="BQ651" s="56"/>
      <c r="BR651" s="56"/>
    </row>
    <row r="652" spans="1:7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O652" s="56"/>
      <c r="BP652" s="56"/>
      <c r="BQ652" s="56"/>
      <c r="BR652" s="56"/>
    </row>
    <row r="653" spans="1:7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O653" s="56"/>
      <c r="BP653" s="56"/>
      <c r="BQ653" s="56"/>
      <c r="BR653" s="56"/>
    </row>
    <row r="654" spans="1:7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O654" s="56"/>
      <c r="BP654" s="56"/>
      <c r="BQ654" s="56"/>
      <c r="BR654" s="56"/>
    </row>
    <row r="655" spans="1:7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O655" s="56"/>
      <c r="BP655" s="56"/>
      <c r="BQ655" s="56"/>
      <c r="BR655" s="56"/>
    </row>
    <row r="656" spans="1:7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O656" s="56"/>
      <c r="BP656" s="56"/>
      <c r="BQ656" s="56"/>
      <c r="BR656" s="56"/>
    </row>
    <row r="657" spans="1:7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O657" s="56"/>
      <c r="BP657" s="56"/>
      <c r="BQ657" s="56"/>
      <c r="BR657" s="56"/>
    </row>
    <row r="658" spans="1:7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O658" s="56"/>
      <c r="BP658" s="56"/>
      <c r="BQ658" s="56"/>
      <c r="BR658" s="56"/>
    </row>
    <row r="659" spans="1:7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O659" s="56"/>
      <c r="BP659" s="56"/>
      <c r="BQ659" s="56"/>
      <c r="BR659" s="56"/>
    </row>
    <row r="660" spans="1:7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O660" s="56"/>
      <c r="BP660" s="56"/>
      <c r="BQ660" s="56"/>
      <c r="BR660" s="56"/>
    </row>
    <row r="661" spans="1:7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O661" s="56"/>
      <c r="BP661" s="56"/>
      <c r="BQ661" s="56"/>
      <c r="BR661" s="56"/>
    </row>
    <row r="662" spans="1:7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O662" s="56"/>
      <c r="BP662" s="56"/>
      <c r="BQ662" s="56"/>
      <c r="BR662" s="56"/>
    </row>
    <row r="663" spans="1:7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O663" s="56"/>
      <c r="BP663" s="56"/>
      <c r="BQ663" s="56"/>
      <c r="BR663" s="56"/>
    </row>
    <row r="664" spans="1:7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O664" s="56"/>
      <c r="BP664" s="56"/>
      <c r="BQ664" s="56"/>
      <c r="BR664" s="56"/>
    </row>
    <row r="665" spans="1:7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O665" s="56"/>
      <c r="BP665" s="56"/>
      <c r="BQ665" s="56"/>
      <c r="BR665" s="56"/>
    </row>
    <row r="666" spans="1:7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O666" s="56"/>
      <c r="BP666" s="56"/>
      <c r="BQ666" s="56"/>
      <c r="BR666" s="56"/>
    </row>
    <row r="667" spans="1:7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O667" s="56"/>
      <c r="BP667" s="56"/>
      <c r="BQ667" s="56"/>
      <c r="BR667" s="56"/>
    </row>
    <row r="668" spans="1:7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O668" s="56"/>
      <c r="BP668" s="56"/>
      <c r="BQ668" s="56"/>
      <c r="BR668" s="56"/>
    </row>
    <row r="669" spans="1:7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O669" s="56"/>
      <c r="BP669" s="56"/>
      <c r="BQ669" s="56"/>
      <c r="BR669" s="56"/>
    </row>
    <row r="670" spans="1:7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O670" s="56"/>
      <c r="BP670" s="56"/>
      <c r="BQ670" s="56"/>
      <c r="BR670" s="56"/>
    </row>
    <row r="671" spans="1:7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O671" s="56"/>
      <c r="BP671" s="56"/>
      <c r="BQ671" s="56"/>
      <c r="BR671" s="56"/>
    </row>
    <row r="672" spans="1:7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O672" s="56"/>
      <c r="BP672" s="56"/>
      <c r="BQ672" s="56"/>
      <c r="BR672" s="56"/>
    </row>
    <row r="673" spans="1:7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O673" s="56"/>
      <c r="BP673" s="56"/>
      <c r="BQ673" s="56"/>
      <c r="BR673" s="56"/>
    </row>
    <row r="674" spans="1:7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O674" s="56"/>
      <c r="BP674" s="56"/>
      <c r="BQ674" s="56"/>
      <c r="BR674" s="56"/>
    </row>
    <row r="675" spans="1:7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O675" s="56"/>
      <c r="BP675" s="56"/>
      <c r="BQ675" s="56"/>
      <c r="BR675" s="56"/>
    </row>
    <row r="676" spans="1:7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O676" s="56"/>
      <c r="BP676" s="56"/>
      <c r="BQ676" s="56"/>
      <c r="BR676" s="56"/>
    </row>
    <row r="677" spans="1:7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O677" s="56"/>
      <c r="BP677" s="56"/>
      <c r="BQ677" s="56"/>
      <c r="BR677" s="56"/>
    </row>
    <row r="678" spans="1:7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O678" s="56"/>
      <c r="BP678" s="56"/>
      <c r="BQ678" s="56"/>
      <c r="BR678" s="56"/>
    </row>
    <row r="679" spans="1:7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O679" s="56"/>
      <c r="BP679" s="56"/>
      <c r="BQ679" s="56"/>
      <c r="BR679" s="56"/>
    </row>
    <row r="680" spans="1:7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O680" s="56"/>
      <c r="BP680" s="56"/>
      <c r="BQ680" s="56"/>
      <c r="BR680" s="56"/>
    </row>
    <row r="681" spans="1:7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O681" s="56"/>
      <c r="BP681" s="56"/>
      <c r="BQ681" s="56"/>
      <c r="BR681" s="56"/>
    </row>
    <row r="682" spans="1:7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O682" s="56"/>
      <c r="BP682" s="56"/>
      <c r="BQ682" s="56"/>
      <c r="BR682" s="56"/>
    </row>
    <row r="683" spans="1:7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O683" s="56"/>
      <c r="BP683" s="56"/>
      <c r="BQ683" s="56"/>
      <c r="BR683" s="56"/>
    </row>
    <row r="684" spans="1:7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O684" s="56"/>
      <c r="BP684" s="56"/>
      <c r="BQ684" s="56"/>
      <c r="BR684" s="56"/>
    </row>
    <row r="685" spans="1:7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O685" s="56"/>
      <c r="BP685" s="56"/>
      <c r="BQ685" s="56"/>
      <c r="BR685" s="56"/>
    </row>
    <row r="686" spans="1:7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O686" s="56"/>
      <c r="BP686" s="56"/>
      <c r="BQ686" s="56"/>
      <c r="BR686" s="56"/>
    </row>
    <row r="687" spans="1:7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O687" s="56"/>
      <c r="BP687" s="56"/>
      <c r="BQ687" s="56"/>
      <c r="BR687" s="56"/>
    </row>
    <row r="688" spans="1:7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O688" s="56"/>
      <c r="BP688" s="56"/>
      <c r="BQ688" s="56"/>
      <c r="BR688" s="56"/>
    </row>
    <row r="689" spans="1:7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O689" s="56"/>
      <c r="BP689" s="56"/>
      <c r="BQ689" s="56"/>
      <c r="BR689" s="56"/>
    </row>
    <row r="690" spans="1:7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O690" s="56"/>
      <c r="BP690" s="56"/>
      <c r="BQ690" s="56"/>
      <c r="BR690" s="56"/>
    </row>
    <row r="691" spans="1:7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O691" s="56"/>
      <c r="BP691" s="56"/>
      <c r="BQ691" s="56"/>
      <c r="BR691" s="56"/>
    </row>
    <row r="692" spans="1:7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O692" s="56"/>
      <c r="BP692" s="56"/>
      <c r="BQ692" s="56"/>
      <c r="BR692" s="56"/>
    </row>
    <row r="693" spans="1:7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O693" s="56"/>
      <c r="BP693" s="56"/>
      <c r="BQ693" s="56"/>
      <c r="BR693" s="56"/>
    </row>
    <row r="694" spans="1:7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O694" s="56"/>
      <c r="BP694" s="56"/>
      <c r="BQ694" s="56"/>
      <c r="BR694" s="56"/>
    </row>
    <row r="695" spans="1:7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O695" s="56"/>
      <c r="BP695" s="56"/>
      <c r="BQ695" s="56"/>
      <c r="BR695" s="56"/>
    </row>
    <row r="696" spans="1:7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O696" s="56"/>
      <c r="BP696" s="56"/>
      <c r="BQ696" s="56"/>
      <c r="BR696" s="56"/>
    </row>
    <row r="697" spans="1:7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O697" s="56"/>
      <c r="BP697" s="56"/>
      <c r="BQ697" s="56"/>
      <c r="BR697" s="56"/>
    </row>
    <row r="698" spans="1:7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O698" s="56"/>
      <c r="BP698" s="56"/>
      <c r="BQ698" s="56"/>
      <c r="BR698" s="56"/>
    </row>
    <row r="699" spans="1:7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O699" s="56"/>
      <c r="BP699" s="56"/>
      <c r="BQ699" s="56"/>
      <c r="BR699" s="56"/>
    </row>
    <row r="700" spans="1:7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O700" s="56"/>
      <c r="BP700" s="56"/>
      <c r="BQ700" s="56"/>
      <c r="BR700" s="56"/>
    </row>
    <row r="701" spans="1:7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O701" s="56"/>
      <c r="BP701" s="56"/>
      <c r="BQ701" s="56"/>
      <c r="BR701" s="56"/>
    </row>
    <row r="702" spans="1:7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O702" s="56"/>
      <c r="BP702" s="56"/>
      <c r="BQ702" s="56"/>
      <c r="BR702" s="56"/>
    </row>
    <row r="703" spans="1:7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O703" s="56"/>
      <c r="BP703" s="56"/>
      <c r="BQ703" s="56"/>
      <c r="BR703" s="56"/>
    </row>
    <row r="704" spans="1:7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O704" s="56"/>
      <c r="BP704" s="56"/>
      <c r="BQ704" s="56"/>
      <c r="BR704" s="56"/>
    </row>
    <row r="705" spans="1:7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O705" s="56"/>
      <c r="BP705" s="56"/>
      <c r="BQ705" s="56"/>
      <c r="BR705" s="56"/>
    </row>
    <row r="706" spans="1:7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O706" s="56"/>
      <c r="BP706" s="56"/>
      <c r="BQ706" s="56"/>
      <c r="BR706" s="56"/>
    </row>
    <row r="707" spans="1:7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O707" s="56"/>
      <c r="BP707" s="56"/>
      <c r="BQ707" s="56"/>
      <c r="BR707" s="56"/>
    </row>
    <row r="708" spans="1:7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O708" s="56"/>
      <c r="BP708" s="56"/>
      <c r="BQ708" s="56"/>
      <c r="BR708" s="56"/>
    </row>
    <row r="709" spans="1:7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O709" s="56"/>
      <c r="BP709" s="56"/>
      <c r="BQ709" s="56"/>
      <c r="BR709" s="56"/>
    </row>
    <row r="710" spans="1:7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O710" s="56"/>
      <c r="BP710" s="56"/>
      <c r="BQ710" s="56"/>
      <c r="BR710" s="56"/>
    </row>
    <row r="711" spans="1:7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O711" s="56"/>
      <c r="BP711" s="56"/>
      <c r="BQ711" s="56"/>
      <c r="BR711" s="56"/>
    </row>
    <row r="712" spans="1:7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O712" s="56"/>
      <c r="BP712" s="56"/>
      <c r="BQ712" s="56"/>
      <c r="BR712" s="56"/>
    </row>
    <row r="713" spans="1:7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O713" s="56"/>
      <c r="BP713" s="56"/>
      <c r="BQ713" s="56"/>
      <c r="BR713" s="56"/>
    </row>
    <row r="714" spans="1:7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O714" s="56"/>
      <c r="BP714" s="56"/>
      <c r="BQ714" s="56"/>
      <c r="BR714" s="56"/>
    </row>
    <row r="715" spans="1:7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O715" s="56"/>
      <c r="BP715" s="56"/>
      <c r="BQ715" s="56"/>
      <c r="BR715" s="56"/>
    </row>
    <row r="716" spans="1:7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O716" s="56"/>
      <c r="BP716" s="56"/>
      <c r="BQ716" s="56"/>
      <c r="BR716" s="56"/>
    </row>
    <row r="717" spans="1:7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O717" s="56"/>
      <c r="BP717" s="56"/>
      <c r="BQ717" s="56"/>
      <c r="BR717" s="56"/>
    </row>
    <row r="718" spans="1:7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O718" s="56"/>
      <c r="BP718" s="56"/>
      <c r="BQ718" s="56"/>
      <c r="BR718" s="56"/>
    </row>
    <row r="719" spans="1:7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O719" s="56"/>
      <c r="BP719" s="56"/>
      <c r="BQ719" s="56"/>
      <c r="BR719" s="56"/>
    </row>
    <row r="720" spans="1:7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O720" s="56"/>
      <c r="BP720" s="56"/>
      <c r="BQ720" s="56"/>
      <c r="BR720" s="56"/>
    </row>
    <row r="721" spans="1:7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O721" s="56"/>
      <c r="BP721" s="56"/>
      <c r="BQ721" s="56"/>
      <c r="BR721" s="56"/>
    </row>
    <row r="722" spans="1:7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O722" s="56"/>
      <c r="BP722" s="56"/>
      <c r="BQ722" s="56"/>
      <c r="BR722" s="56"/>
    </row>
    <row r="723" spans="1:7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O723" s="56"/>
      <c r="BP723" s="56"/>
      <c r="BQ723" s="56"/>
      <c r="BR723" s="56"/>
    </row>
    <row r="724" spans="1:7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O724" s="56"/>
      <c r="BP724" s="56"/>
      <c r="BQ724" s="56"/>
      <c r="BR724" s="56"/>
    </row>
    <row r="725" spans="1:7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O725" s="56"/>
      <c r="BP725" s="56"/>
      <c r="BQ725" s="56"/>
      <c r="BR725" s="56"/>
    </row>
    <row r="726" spans="1:7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O726" s="56"/>
      <c r="BP726" s="56"/>
      <c r="BQ726" s="56"/>
      <c r="BR726" s="56"/>
    </row>
    <row r="727" spans="1:7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O727" s="56"/>
      <c r="BP727" s="56"/>
      <c r="BQ727" s="56"/>
      <c r="BR727" s="56"/>
    </row>
    <row r="728" spans="1:7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O728" s="56"/>
      <c r="BP728" s="56"/>
      <c r="BQ728" s="56"/>
      <c r="BR728" s="56"/>
    </row>
    <row r="729" spans="1:7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O729" s="56"/>
      <c r="BP729" s="56"/>
      <c r="BQ729" s="56"/>
      <c r="BR729" s="56"/>
    </row>
    <row r="730" spans="1:7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O730" s="56"/>
      <c r="BP730" s="56"/>
      <c r="BQ730" s="56"/>
      <c r="BR730" s="56"/>
    </row>
    <row r="731" spans="1:7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O731" s="56"/>
      <c r="BP731" s="56"/>
      <c r="BQ731" s="56"/>
      <c r="BR731" s="56"/>
    </row>
    <row r="732" spans="1:7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O732" s="56"/>
      <c r="BP732" s="56"/>
      <c r="BQ732" s="56"/>
      <c r="BR732" s="56"/>
    </row>
    <row r="733" spans="1:7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O733" s="56"/>
      <c r="BP733" s="56"/>
      <c r="BQ733" s="56"/>
      <c r="BR733" s="56"/>
    </row>
    <row r="734" spans="1:7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O734" s="56"/>
      <c r="BP734" s="56"/>
      <c r="BQ734" s="56"/>
      <c r="BR734" s="56"/>
    </row>
    <row r="735" spans="1:7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O735" s="56"/>
      <c r="BP735" s="56"/>
      <c r="BQ735" s="56"/>
      <c r="BR735" s="56"/>
    </row>
    <row r="736" spans="1:7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O736" s="56"/>
      <c r="BP736" s="56"/>
      <c r="BQ736" s="56"/>
      <c r="BR736" s="56"/>
    </row>
    <row r="737" spans="1:7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O737" s="56"/>
      <c r="BP737" s="56"/>
      <c r="BQ737" s="56"/>
      <c r="BR737" s="56"/>
    </row>
    <row r="738" spans="1:7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O738" s="56"/>
      <c r="BP738" s="56"/>
      <c r="BQ738" s="56"/>
      <c r="BR738" s="56"/>
    </row>
    <row r="739" spans="1:7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O739" s="56"/>
      <c r="BP739" s="56"/>
      <c r="BQ739" s="56"/>
      <c r="BR739" s="56"/>
    </row>
    <row r="740" spans="1:7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O740" s="56"/>
      <c r="BP740" s="56"/>
      <c r="BQ740" s="56"/>
      <c r="BR740" s="56"/>
    </row>
    <row r="741" spans="1:7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O741" s="56"/>
      <c r="BP741" s="56"/>
      <c r="BQ741" s="56"/>
      <c r="BR741" s="56"/>
    </row>
    <row r="742" spans="1:7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O742" s="56"/>
      <c r="BP742" s="56"/>
      <c r="BQ742" s="56"/>
      <c r="BR742" s="56"/>
    </row>
    <row r="743" spans="1:7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O743" s="56"/>
      <c r="BP743" s="56"/>
      <c r="BQ743" s="56"/>
      <c r="BR743" s="56"/>
    </row>
    <row r="744" spans="1:7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O744" s="56"/>
      <c r="BP744" s="56"/>
      <c r="BQ744" s="56"/>
      <c r="BR744" s="56"/>
    </row>
    <row r="745" spans="1:7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O745" s="56"/>
      <c r="BP745" s="56"/>
      <c r="BQ745" s="56"/>
      <c r="BR745" s="56"/>
    </row>
    <row r="746" spans="1:7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O746" s="56"/>
      <c r="BP746" s="56"/>
      <c r="BQ746" s="56"/>
      <c r="BR746" s="56"/>
    </row>
    <row r="747" spans="1:7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O747" s="56"/>
      <c r="BP747" s="56"/>
      <c r="BQ747" s="56"/>
      <c r="BR747" s="56"/>
    </row>
    <row r="748" spans="1:7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O748" s="56"/>
      <c r="BP748" s="56"/>
      <c r="BQ748" s="56"/>
      <c r="BR748" s="56"/>
    </row>
    <row r="749" spans="1:7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O749" s="56"/>
      <c r="BP749" s="56"/>
      <c r="BQ749" s="56"/>
      <c r="BR749" s="56"/>
    </row>
    <row r="750" spans="1:7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O750" s="56"/>
      <c r="BP750" s="56"/>
      <c r="BQ750" s="56"/>
      <c r="BR750" s="56"/>
    </row>
    <row r="751" spans="1:7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O751" s="56"/>
      <c r="BP751" s="56"/>
      <c r="BQ751" s="56"/>
      <c r="BR751" s="56"/>
    </row>
    <row r="752" spans="1:7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O752" s="56"/>
      <c r="BP752" s="56"/>
      <c r="BQ752" s="56"/>
      <c r="BR752" s="56"/>
    </row>
    <row r="753" spans="1:7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O753" s="56"/>
      <c r="BP753" s="56"/>
      <c r="BQ753" s="56"/>
      <c r="BR753" s="56"/>
    </row>
    <row r="754" spans="1:7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O754" s="56"/>
      <c r="BP754" s="56"/>
      <c r="BQ754" s="56"/>
      <c r="BR754" s="56"/>
    </row>
    <row r="755" spans="1:7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O755" s="56"/>
      <c r="BP755" s="56"/>
      <c r="BQ755" s="56"/>
      <c r="BR755" s="56"/>
    </row>
    <row r="756" spans="1:7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O756" s="56"/>
      <c r="BP756" s="56"/>
      <c r="BQ756" s="56"/>
      <c r="BR756" s="56"/>
    </row>
    <row r="757" spans="1:7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O757" s="56"/>
      <c r="BP757" s="56"/>
      <c r="BQ757" s="56"/>
      <c r="BR757" s="56"/>
    </row>
    <row r="758" spans="1:7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O758" s="56"/>
      <c r="BP758" s="56"/>
      <c r="BQ758" s="56"/>
      <c r="BR758" s="56"/>
    </row>
    <row r="759" spans="1:7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O759" s="56"/>
      <c r="BP759" s="56"/>
      <c r="BQ759" s="56"/>
      <c r="BR759" s="56"/>
    </row>
    <row r="760" spans="1:7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O760" s="56"/>
      <c r="BP760" s="56"/>
      <c r="BQ760" s="56"/>
      <c r="BR760" s="56"/>
    </row>
    <row r="761" spans="1:7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O761" s="56"/>
      <c r="BP761" s="56"/>
      <c r="BQ761" s="56"/>
      <c r="BR761" s="56"/>
    </row>
    <row r="762" spans="1:7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O762" s="56"/>
      <c r="BP762" s="56"/>
      <c r="BQ762" s="56"/>
      <c r="BR762" s="56"/>
    </row>
    <row r="763" spans="1:7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O763" s="56"/>
      <c r="BP763" s="56"/>
      <c r="BQ763" s="56"/>
      <c r="BR763" s="56"/>
    </row>
    <row r="764" spans="1:7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O764" s="56"/>
      <c r="BP764" s="56"/>
      <c r="BQ764" s="56"/>
      <c r="BR764" s="56"/>
    </row>
    <row r="765" spans="1:7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O765" s="56"/>
      <c r="BP765" s="56"/>
      <c r="BQ765" s="56"/>
      <c r="BR765" s="56"/>
    </row>
    <row r="766" spans="1:7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O766" s="56"/>
      <c r="BP766" s="56"/>
      <c r="BQ766" s="56"/>
      <c r="BR766" s="56"/>
    </row>
    <row r="767" spans="1:7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O767" s="56"/>
      <c r="BP767" s="56"/>
      <c r="BQ767" s="56"/>
      <c r="BR767" s="56"/>
    </row>
    <row r="768" spans="1:7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O768" s="56"/>
      <c r="BP768" s="56"/>
      <c r="BQ768" s="56"/>
      <c r="BR768" s="56"/>
    </row>
    <row r="769" spans="1:7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O769" s="56"/>
      <c r="BP769" s="56"/>
      <c r="BQ769" s="56"/>
      <c r="BR769" s="56"/>
    </row>
    <row r="770" spans="1:7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O770" s="56"/>
      <c r="BP770" s="56"/>
      <c r="BQ770" s="56"/>
      <c r="BR770" s="56"/>
    </row>
    <row r="771" spans="1:7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O771" s="56"/>
      <c r="BP771" s="56"/>
      <c r="BQ771" s="56"/>
      <c r="BR771" s="56"/>
    </row>
    <row r="772" spans="1:7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O772" s="56"/>
      <c r="BP772" s="56"/>
      <c r="BQ772" s="56"/>
      <c r="BR772" s="56"/>
    </row>
    <row r="773" spans="1:7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O773" s="56"/>
      <c r="BP773" s="56"/>
      <c r="BQ773" s="56"/>
      <c r="BR773" s="56"/>
    </row>
    <row r="774" spans="1:7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O774" s="56"/>
      <c r="BP774" s="56"/>
      <c r="BQ774" s="56"/>
      <c r="BR774" s="56"/>
    </row>
    <row r="775" spans="1:7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O775" s="56"/>
      <c r="BP775" s="56"/>
      <c r="BQ775" s="56"/>
      <c r="BR775" s="56"/>
    </row>
    <row r="776" spans="1:7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O776" s="56"/>
      <c r="BP776" s="56"/>
      <c r="BQ776" s="56"/>
      <c r="BR776" s="56"/>
    </row>
    <row r="777" spans="1:7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O777" s="56"/>
      <c r="BP777" s="56"/>
      <c r="BQ777" s="56"/>
      <c r="BR777" s="56"/>
    </row>
    <row r="778" spans="1:7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O778" s="56"/>
      <c r="BP778" s="56"/>
      <c r="BQ778" s="56"/>
      <c r="BR778" s="56"/>
    </row>
    <row r="779" spans="1:7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O779" s="56"/>
      <c r="BP779" s="56"/>
      <c r="BQ779" s="56"/>
      <c r="BR779" s="56"/>
    </row>
    <row r="780" spans="1:7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O780" s="56"/>
      <c r="BP780" s="56"/>
      <c r="BQ780" s="56"/>
      <c r="BR780" s="56"/>
    </row>
    <row r="781" spans="1:7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O781" s="56"/>
      <c r="BP781" s="56"/>
      <c r="BQ781" s="56"/>
      <c r="BR781" s="56"/>
    </row>
    <row r="782" spans="1:7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O782" s="56"/>
      <c r="BP782" s="56"/>
      <c r="BQ782" s="56"/>
      <c r="BR782" s="56"/>
    </row>
    <row r="783" spans="1:7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O783" s="56"/>
      <c r="BP783" s="56"/>
      <c r="BQ783" s="56"/>
      <c r="BR783" s="56"/>
    </row>
    <row r="784" spans="1:7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O784" s="56"/>
      <c r="BP784" s="56"/>
      <c r="BQ784" s="56"/>
      <c r="BR784" s="56"/>
    </row>
    <row r="785" spans="1:7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O785" s="56"/>
      <c r="BP785" s="56"/>
      <c r="BQ785" s="56"/>
      <c r="BR785" s="56"/>
    </row>
    <row r="786" spans="1:7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O786" s="56"/>
      <c r="BP786" s="56"/>
      <c r="BQ786" s="56"/>
      <c r="BR786" s="56"/>
    </row>
    <row r="787" spans="1:7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O787" s="56"/>
      <c r="BP787" s="56"/>
      <c r="BQ787" s="56"/>
      <c r="BR787" s="56"/>
    </row>
    <row r="788" spans="1:7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O788" s="56"/>
      <c r="BP788" s="56"/>
      <c r="BQ788" s="56"/>
      <c r="BR788" s="56"/>
    </row>
    <row r="789" spans="1:7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O789" s="56"/>
      <c r="BP789" s="56"/>
      <c r="BQ789" s="56"/>
      <c r="BR789" s="56"/>
    </row>
    <row r="790" spans="1:7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O790" s="56"/>
      <c r="BP790" s="56"/>
      <c r="BQ790" s="56"/>
      <c r="BR790" s="56"/>
    </row>
    <row r="791" spans="1:7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O791" s="56"/>
      <c r="BP791" s="56"/>
      <c r="BQ791" s="56"/>
      <c r="BR791" s="56"/>
    </row>
    <row r="792" spans="1:7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O792" s="56"/>
      <c r="BP792" s="56"/>
      <c r="BQ792" s="56"/>
      <c r="BR792" s="56"/>
    </row>
    <row r="793" spans="1:7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O793" s="56"/>
      <c r="BP793" s="56"/>
      <c r="BQ793" s="56"/>
      <c r="BR793" s="56"/>
    </row>
    <row r="794" spans="1:7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O794" s="56"/>
      <c r="BP794" s="56"/>
      <c r="BQ794" s="56"/>
      <c r="BR794" s="56"/>
    </row>
    <row r="795" spans="1:7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O795" s="56"/>
      <c r="BP795" s="56"/>
      <c r="BQ795" s="56"/>
      <c r="BR795" s="56"/>
    </row>
    <row r="796" spans="1:7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O796" s="56"/>
      <c r="BP796" s="56"/>
      <c r="BQ796" s="56"/>
      <c r="BR796" s="56"/>
    </row>
    <row r="797" spans="1:7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O797" s="56"/>
      <c r="BP797" s="56"/>
      <c r="BQ797" s="56"/>
      <c r="BR797" s="56"/>
    </row>
    <row r="798" spans="1:7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O798" s="56"/>
      <c r="BP798" s="56"/>
      <c r="BQ798" s="56"/>
      <c r="BR798" s="56"/>
    </row>
    <row r="799" spans="1:7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O799" s="56"/>
      <c r="BP799" s="56"/>
      <c r="BQ799" s="56"/>
      <c r="BR799" s="56"/>
    </row>
    <row r="800" spans="1:7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O800" s="56"/>
      <c r="BP800" s="56"/>
      <c r="BQ800" s="56"/>
      <c r="BR800" s="56"/>
    </row>
    <row r="801" spans="1:7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O801" s="56"/>
      <c r="BP801" s="56"/>
      <c r="BQ801" s="56"/>
      <c r="BR801" s="56"/>
    </row>
    <row r="802" spans="1:7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O802" s="56"/>
      <c r="BP802" s="56"/>
      <c r="BQ802" s="56"/>
      <c r="BR802" s="56"/>
    </row>
    <row r="803" spans="1:7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O803" s="56"/>
      <c r="BP803" s="56"/>
      <c r="BQ803" s="56"/>
      <c r="BR803" s="56"/>
    </row>
    <row r="804" spans="1:7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O804" s="56"/>
      <c r="BP804" s="56"/>
      <c r="BQ804" s="56"/>
      <c r="BR804" s="56"/>
    </row>
    <row r="805" spans="1:7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O805" s="56"/>
      <c r="BP805" s="56"/>
      <c r="BQ805" s="56"/>
      <c r="BR805" s="56"/>
    </row>
    <row r="806" spans="1:7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O806" s="56"/>
      <c r="BP806" s="56"/>
      <c r="BQ806" s="56"/>
      <c r="BR806" s="56"/>
    </row>
    <row r="807" spans="1:7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O807" s="56"/>
      <c r="BP807" s="56"/>
      <c r="BQ807" s="56"/>
      <c r="BR807" s="56"/>
    </row>
    <row r="808" spans="1:7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O808" s="56"/>
      <c r="BP808" s="56"/>
      <c r="BQ808" s="56"/>
      <c r="BR808" s="56"/>
    </row>
    <row r="809" spans="1:7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O809" s="56"/>
      <c r="BP809" s="56"/>
      <c r="BQ809" s="56"/>
      <c r="BR809" s="56"/>
    </row>
    <row r="810" spans="1:7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O810" s="56"/>
      <c r="BP810" s="56"/>
      <c r="BQ810" s="56"/>
      <c r="BR810" s="56"/>
    </row>
    <row r="811" spans="1:7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O811" s="56"/>
      <c r="BP811" s="56"/>
      <c r="BQ811" s="56"/>
      <c r="BR811" s="56"/>
    </row>
    <row r="812" spans="1:7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O812" s="56"/>
      <c r="BP812" s="56"/>
      <c r="BQ812" s="56"/>
      <c r="BR812" s="56"/>
    </row>
    <row r="813" spans="1:7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O813" s="56"/>
      <c r="BP813" s="56"/>
      <c r="BQ813" s="56"/>
      <c r="BR813" s="56"/>
    </row>
    <row r="814" spans="1:7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O814" s="56"/>
      <c r="BP814" s="56"/>
      <c r="BQ814" s="56"/>
      <c r="BR814" s="56"/>
    </row>
    <row r="815" spans="1:7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O815" s="56"/>
      <c r="BP815" s="56"/>
      <c r="BQ815" s="56"/>
      <c r="BR815" s="56"/>
    </row>
    <row r="816" spans="1:7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O816" s="56"/>
      <c r="BP816" s="56"/>
      <c r="BQ816" s="56"/>
      <c r="BR816" s="56"/>
    </row>
    <row r="817" spans="1:7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O817" s="56"/>
      <c r="BP817" s="56"/>
      <c r="BQ817" s="56"/>
      <c r="BR817" s="56"/>
    </row>
    <row r="818" spans="1:7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O818" s="56"/>
      <c r="BP818" s="56"/>
      <c r="BQ818" s="56"/>
      <c r="BR818" s="56"/>
    </row>
    <row r="819" spans="1:7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O819" s="56"/>
      <c r="BP819" s="56"/>
      <c r="BQ819" s="56"/>
      <c r="BR819" s="56"/>
    </row>
    <row r="820" spans="1:7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O820" s="56"/>
      <c r="BP820" s="56"/>
      <c r="BQ820" s="56"/>
      <c r="BR820" s="56"/>
    </row>
    <row r="821" spans="1:7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O821" s="56"/>
      <c r="BP821" s="56"/>
      <c r="BQ821" s="56"/>
      <c r="BR821" s="56"/>
    </row>
    <row r="822" spans="1:7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O822" s="56"/>
      <c r="BP822" s="56"/>
      <c r="BQ822" s="56"/>
      <c r="BR822" s="56"/>
    </row>
    <row r="823" spans="1:7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O823" s="56"/>
      <c r="BP823" s="56"/>
      <c r="BQ823" s="56"/>
      <c r="BR823" s="56"/>
    </row>
    <row r="824" spans="1:7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O824" s="56"/>
      <c r="BP824" s="56"/>
      <c r="BQ824" s="56"/>
      <c r="BR824" s="56"/>
    </row>
    <row r="825" spans="1:7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O825" s="56"/>
      <c r="BP825" s="56"/>
      <c r="BQ825" s="56"/>
      <c r="BR825" s="56"/>
    </row>
    <row r="826" spans="1:7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O826" s="56"/>
      <c r="BP826" s="56"/>
      <c r="BQ826" s="56"/>
      <c r="BR826" s="56"/>
    </row>
    <row r="827" spans="1:7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O827" s="56"/>
      <c r="BP827" s="56"/>
      <c r="BQ827" s="56"/>
      <c r="BR827" s="56"/>
    </row>
    <row r="828" spans="1:7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O828" s="56"/>
      <c r="BP828" s="56"/>
      <c r="BQ828" s="56"/>
      <c r="BR828" s="56"/>
    </row>
    <row r="829" spans="1:7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O829" s="56"/>
      <c r="BP829" s="56"/>
      <c r="BQ829" s="56"/>
      <c r="BR829" s="56"/>
    </row>
    <row r="830" spans="1:7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O830" s="56"/>
      <c r="BP830" s="56"/>
      <c r="BQ830" s="56"/>
      <c r="BR830" s="56"/>
    </row>
    <row r="831" spans="1:7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O831" s="56"/>
      <c r="BP831" s="56"/>
      <c r="BQ831" s="56"/>
      <c r="BR831" s="56"/>
    </row>
    <row r="832" spans="1:7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O832" s="56"/>
      <c r="BP832" s="56"/>
      <c r="BQ832" s="56"/>
      <c r="BR832" s="56"/>
    </row>
    <row r="833" spans="1:7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O833" s="56"/>
      <c r="BP833" s="56"/>
      <c r="BQ833" s="56"/>
      <c r="BR833" s="56"/>
    </row>
    <row r="834" spans="1:7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O834" s="56"/>
      <c r="BP834" s="56"/>
      <c r="BQ834" s="56"/>
      <c r="BR834" s="56"/>
    </row>
    <row r="835" spans="1:7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O835" s="56"/>
      <c r="BP835" s="56"/>
      <c r="BQ835" s="56"/>
      <c r="BR835" s="56"/>
    </row>
    <row r="836" spans="1:7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O836" s="56"/>
      <c r="BP836" s="56"/>
      <c r="BQ836" s="56"/>
      <c r="BR836" s="56"/>
    </row>
    <row r="837" spans="1:7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O837" s="56"/>
      <c r="BP837" s="56"/>
      <c r="BQ837" s="56"/>
      <c r="BR837" s="56"/>
    </row>
    <row r="838" spans="1:7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O838" s="56"/>
      <c r="BP838" s="56"/>
      <c r="BQ838" s="56"/>
      <c r="BR838" s="56"/>
    </row>
    <row r="839" spans="1:7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O839" s="56"/>
      <c r="BP839" s="56"/>
      <c r="BQ839" s="56"/>
      <c r="BR839" s="56"/>
    </row>
    <row r="840" spans="1:7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O840" s="56"/>
      <c r="BP840" s="56"/>
      <c r="BQ840" s="56"/>
      <c r="BR840" s="56"/>
    </row>
    <row r="841" spans="1:7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O841" s="56"/>
      <c r="BP841" s="56"/>
      <c r="BQ841" s="56"/>
      <c r="BR841" s="56"/>
    </row>
    <row r="842" spans="1:7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O842" s="56"/>
      <c r="BP842" s="56"/>
      <c r="BQ842" s="56"/>
      <c r="BR842" s="56"/>
    </row>
    <row r="843" spans="1:7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O843" s="56"/>
      <c r="BP843" s="56"/>
      <c r="BQ843" s="56"/>
      <c r="BR843" s="56"/>
    </row>
    <row r="844" spans="1:7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O844" s="56"/>
      <c r="BP844" s="56"/>
      <c r="BQ844" s="56"/>
      <c r="BR844" s="56"/>
    </row>
    <row r="845" spans="1:7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O845" s="56"/>
      <c r="BP845" s="56"/>
      <c r="BQ845" s="56"/>
      <c r="BR845" s="56"/>
    </row>
    <row r="846" spans="1:7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O846" s="56"/>
      <c r="BP846" s="56"/>
      <c r="BQ846" s="56"/>
      <c r="BR846" s="56"/>
    </row>
    <row r="847" spans="1:7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O847" s="56"/>
      <c r="BP847" s="56"/>
      <c r="BQ847" s="56"/>
      <c r="BR847" s="56"/>
    </row>
    <row r="848" spans="1:7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O848" s="56"/>
      <c r="BP848" s="56"/>
      <c r="BQ848" s="56"/>
      <c r="BR848" s="56"/>
    </row>
    <row r="849" spans="1:7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O849" s="56"/>
      <c r="BP849" s="56"/>
      <c r="BQ849" s="56"/>
      <c r="BR849" s="56"/>
    </row>
    <row r="850" spans="1:7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O850" s="56"/>
      <c r="BP850" s="56"/>
      <c r="BQ850" s="56"/>
      <c r="BR850" s="56"/>
    </row>
    <row r="851" spans="1:7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O851" s="56"/>
      <c r="BP851" s="56"/>
      <c r="BQ851" s="56"/>
      <c r="BR851" s="56"/>
    </row>
    <row r="852" spans="1:7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O852" s="56"/>
      <c r="BP852" s="56"/>
      <c r="BQ852" s="56"/>
      <c r="BR852" s="56"/>
    </row>
    <row r="853" spans="1:7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O853" s="56"/>
      <c r="BP853" s="56"/>
      <c r="BQ853" s="56"/>
      <c r="BR853" s="56"/>
    </row>
    <row r="854" spans="1:7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O854" s="56"/>
      <c r="BP854" s="56"/>
      <c r="BQ854" s="56"/>
      <c r="BR854" s="56"/>
    </row>
    <row r="855" spans="1:7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O855" s="56"/>
      <c r="BP855" s="56"/>
      <c r="BQ855" s="56"/>
      <c r="BR855" s="56"/>
    </row>
    <row r="856" spans="1:7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O856" s="56"/>
      <c r="BP856" s="56"/>
      <c r="BQ856" s="56"/>
      <c r="BR856" s="56"/>
    </row>
    <row r="857" spans="1:7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O857" s="56"/>
      <c r="BP857" s="56"/>
      <c r="BQ857" s="56"/>
      <c r="BR857" s="56"/>
    </row>
    <row r="858" spans="1:7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O858" s="56"/>
      <c r="BP858" s="56"/>
      <c r="BQ858" s="56"/>
      <c r="BR858" s="56"/>
    </row>
    <row r="859" spans="1:7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O859" s="56"/>
      <c r="BP859" s="56"/>
      <c r="BQ859" s="56"/>
      <c r="BR859" s="56"/>
    </row>
    <row r="860" spans="1:7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O860" s="56"/>
      <c r="BP860" s="56"/>
      <c r="BQ860" s="56"/>
      <c r="BR860" s="56"/>
    </row>
    <row r="861" spans="1:7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O861" s="56"/>
      <c r="BP861" s="56"/>
      <c r="BQ861" s="56"/>
      <c r="BR861" s="56"/>
    </row>
    <row r="862" spans="1:7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O862" s="56"/>
      <c r="BP862" s="56"/>
      <c r="BQ862" s="56"/>
      <c r="BR862" s="56"/>
    </row>
    <row r="863" spans="1:7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O863" s="56"/>
      <c r="BP863" s="56"/>
      <c r="BQ863" s="56"/>
      <c r="BR863" s="56"/>
    </row>
    <row r="864" spans="1:7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O864" s="56"/>
      <c r="BP864" s="56"/>
      <c r="BQ864" s="56"/>
      <c r="BR864" s="56"/>
    </row>
    <row r="865" spans="1:7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O865" s="56"/>
      <c r="BP865" s="56"/>
      <c r="BQ865" s="56"/>
      <c r="BR865" s="56"/>
    </row>
    <row r="866" spans="1:7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O866" s="56"/>
      <c r="BP866" s="56"/>
      <c r="BQ866" s="56"/>
      <c r="BR866" s="56"/>
    </row>
    <row r="867" spans="1:7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O867" s="56"/>
      <c r="BP867" s="56"/>
      <c r="BQ867" s="56"/>
      <c r="BR867" s="56"/>
    </row>
    <row r="868" spans="1:7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O868" s="56"/>
      <c r="BP868" s="56"/>
      <c r="BQ868" s="56"/>
      <c r="BR868" s="56"/>
    </row>
    <row r="869" spans="1:7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O869" s="56"/>
      <c r="BP869" s="56"/>
      <c r="BQ869" s="56"/>
      <c r="BR869" s="56"/>
    </row>
    <row r="870" spans="1:7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O870" s="56"/>
      <c r="BP870" s="56"/>
      <c r="BQ870" s="56"/>
      <c r="BR870" s="56"/>
    </row>
    <row r="871" spans="1:7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O871" s="56"/>
      <c r="BP871" s="56"/>
      <c r="BQ871" s="56"/>
      <c r="BR871" s="56"/>
    </row>
    <row r="872" spans="1:7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O872" s="56"/>
      <c r="BP872" s="56"/>
      <c r="BQ872" s="56"/>
      <c r="BR872" s="56"/>
    </row>
    <row r="873" spans="1:7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O873" s="56"/>
      <c r="BP873" s="56"/>
      <c r="BQ873" s="56"/>
      <c r="BR873" s="56"/>
    </row>
    <row r="874" spans="1:7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O874" s="56"/>
      <c r="BP874" s="56"/>
      <c r="BQ874" s="56"/>
      <c r="BR874" s="56"/>
    </row>
    <row r="875" spans="1:7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O875" s="56"/>
      <c r="BP875" s="56"/>
      <c r="BQ875" s="56"/>
      <c r="BR875" s="56"/>
    </row>
    <row r="876" spans="1:7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O876" s="56"/>
      <c r="BP876" s="56"/>
      <c r="BQ876" s="56"/>
      <c r="BR876" s="56"/>
    </row>
    <row r="877" spans="1:7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O877" s="56"/>
      <c r="BP877" s="56"/>
      <c r="BQ877" s="56"/>
      <c r="BR877" s="56"/>
    </row>
    <row r="878" spans="1:7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O878" s="56"/>
      <c r="BP878" s="56"/>
      <c r="BQ878" s="56"/>
      <c r="BR878" s="56"/>
    </row>
    <row r="879" spans="1:7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O879" s="56"/>
      <c r="BP879" s="56"/>
      <c r="BQ879" s="56"/>
      <c r="BR879" s="56"/>
    </row>
    <row r="880" spans="1:7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O880" s="56"/>
      <c r="BP880" s="56"/>
      <c r="BQ880" s="56"/>
      <c r="BR880" s="56"/>
    </row>
    <row r="881" spans="1:7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O881" s="56"/>
      <c r="BP881" s="56"/>
      <c r="BQ881" s="56"/>
      <c r="BR881" s="56"/>
    </row>
    <row r="882" spans="1:7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O882" s="56"/>
      <c r="BP882" s="56"/>
      <c r="BQ882" s="56"/>
      <c r="BR882" s="56"/>
    </row>
    <row r="883" spans="1:7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O883" s="56"/>
      <c r="BP883" s="56"/>
      <c r="BQ883" s="56"/>
      <c r="BR883" s="56"/>
    </row>
    <row r="884" spans="1:7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O884" s="56"/>
      <c r="BP884" s="56"/>
      <c r="BQ884" s="56"/>
      <c r="BR884" s="56"/>
    </row>
    <row r="885" spans="1:7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O885" s="56"/>
      <c r="BP885" s="56"/>
      <c r="BQ885" s="56"/>
      <c r="BR885" s="56"/>
    </row>
    <row r="886" spans="1:7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O886" s="56"/>
      <c r="BP886" s="56"/>
      <c r="BQ886" s="56"/>
      <c r="BR886" s="56"/>
    </row>
    <row r="887" spans="1:7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O887" s="56"/>
      <c r="BP887" s="56"/>
      <c r="BQ887" s="56"/>
      <c r="BR887" s="56"/>
    </row>
    <row r="888" spans="1:7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O888" s="56"/>
      <c r="BP888" s="56"/>
      <c r="BQ888" s="56"/>
      <c r="BR888" s="56"/>
    </row>
    <row r="889" spans="1:7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O889" s="56"/>
      <c r="BP889" s="56"/>
      <c r="BQ889" s="56"/>
      <c r="BR889" s="56"/>
    </row>
    <row r="890" spans="1:7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O890" s="56"/>
      <c r="BP890" s="56"/>
      <c r="BQ890" s="56"/>
      <c r="BR890" s="56"/>
    </row>
    <row r="891" spans="1:7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O891" s="56"/>
      <c r="BP891" s="56"/>
      <c r="BQ891" s="56"/>
      <c r="BR891" s="56"/>
    </row>
    <row r="892" spans="1:7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O892" s="56"/>
      <c r="BP892" s="56"/>
      <c r="BQ892" s="56"/>
      <c r="BR892" s="56"/>
    </row>
    <row r="893" spans="1:7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O893" s="56"/>
      <c r="BP893" s="56"/>
      <c r="BQ893" s="56"/>
      <c r="BR893" s="56"/>
    </row>
    <row r="894" spans="1:7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O894" s="56"/>
      <c r="BP894" s="56"/>
      <c r="BQ894" s="56"/>
      <c r="BR894" s="56"/>
    </row>
    <row r="895" spans="1:7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O895" s="56"/>
      <c r="BP895" s="56"/>
      <c r="BQ895" s="56"/>
      <c r="BR895" s="56"/>
    </row>
    <row r="896" spans="1:7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O896" s="56"/>
      <c r="BP896" s="56"/>
      <c r="BQ896" s="56"/>
      <c r="BR896" s="56"/>
    </row>
    <row r="897" spans="1:7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O897" s="56"/>
      <c r="BP897" s="56"/>
      <c r="BQ897" s="56"/>
      <c r="BR897" s="56"/>
    </row>
    <row r="898" spans="1:7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O898" s="56"/>
      <c r="BP898" s="56"/>
      <c r="BQ898" s="56"/>
      <c r="BR898" s="56"/>
    </row>
    <row r="899" spans="1:7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O899" s="56"/>
      <c r="BP899" s="56"/>
      <c r="BQ899" s="56"/>
      <c r="BR899" s="56"/>
    </row>
    <row r="900" spans="1:7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O900" s="56"/>
      <c r="BP900" s="56"/>
      <c r="BQ900" s="56"/>
      <c r="BR900" s="56"/>
    </row>
    <row r="901" spans="1:7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O901" s="56"/>
      <c r="BP901" s="56"/>
      <c r="BQ901" s="56"/>
      <c r="BR901" s="56"/>
    </row>
    <row r="902" spans="1:7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O902" s="56"/>
      <c r="BP902" s="56"/>
      <c r="BQ902" s="56"/>
      <c r="BR902" s="56"/>
    </row>
    <row r="903" spans="1:7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O903" s="56"/>
      <c r="BP903" s="56"/>
      <c r="BQ903" s="56"/>
      <c r="BR903" s="56"/>
    </row>
    <row r="904" spans="1:7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O904" s="56"/>
      <c r="BP904" s="56"/>
      <c r="BQ904" s="56"/>
      <c r="BR904" s="56"/>
    </row>
    <row r="905" spans="1:7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O905" s="56"/>
      <c r="BP905" s="56"/>
      <c r="BQ905" s="56"/>
      <c r="BR905" s="56"/>
    </row>
    <row r="906" spans="1:7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O906" s="56"/>
      <c r="BP906" s="56"/>
      <c r="BQ906" s="56"/>
      <c r="BR906" s="56"/>
    </row>
    <row r="907" spans="1:7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O907" s="56"/>
      <c r="BP907" s="56"/>
      <c r="BQ907" s="56"/>
      <c r="BR907" s="56"/>
    </row>
    <row r="908" spans="1:7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O908" s="56"/>
      <c r="BP908" s="56"/>
      <c r="BQ908" s="56"/>
      <c r="BR908" s="56"/>
    </row>
    <row r="909" spans="1:7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O909" s="56"/>
      <c r="BP909" s="56"/>
      <c r="BQ909" s="56"/>
      <c r="BR909" s="56"/>
    </row>
    <row r="910" spans="1:7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O910" s="56"/>
      <c r="BP910" s="56"/>
      <c r="BQ910" s="56"/>
      <c r="BR910" s="56"/>
    </row>
    <row r="911" spans="1:7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O911" s="56"/>
      <c r="BP911" s="56"/>
      <c r="BQ911" s="56"/>
      <c r="BR911" s="56"/>
    </row>
    <row r="912" spans="1:7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O912" s="56"/>
      <c r="BP912" s="56"/>
      <c r="BQ912" s="56"/>
      <c r="BR912" s="56"/>
    </row>
    <row r="913" spans="1:7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O913" s="56"/>
      <c r="BP913" s="56"/>
      <c r="BQ913" s="56"/>
      <c r="BR913" s="56"/>
    </row>
    <row r="914" spans="1:7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O914" s="56"/>
      <c r="BP914" s="56"/>
      <c r="BQ914" s="56"/>
      <c r="BR914" s="56"/>
    </row>
    <row r="915" spans="1:7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O915" s="56"/>
      <c r="BP915" s="56"/>
      <c r="BQ915" s="56"/>
      <c r="BR915" s="56"/>
    </row>
    <row r="916" spans="1:7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O916" s="56"/>
      <c r="BP916" s="56"/>
      <c r="BQ916" s="56"/>
      <c r="BR916" s="56"/>
    </row>
    <row r="917" spans="1:7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O917" s="56"/>
      <c r="BP917" s="56"/>
      <c r="BQ917" s="56"/>
      <c r="BR917" s="56"/>
    </row>
    <row r="918" spans="1:7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O918" s="56"/>
      <c r="BP918" s="56"/>
      <c r="BQ918" s="56"/>
      <c r="BR918" s="56"/>
    </row>
    <row r="919" spans="1:7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O919" s="56"/>
      <c r="BP919" s="56"/>
      <c r="BQ919" s="56"/>
      <c r="BR919" s="56"/>
    </row>
    <row r="920" spans="1:7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O920" s="56"/>
      <c r="BP920" s="56"/>
      <c r="BQ920" s="56"/>
      <c r="BR920" s="56"/>
    </row>
    <row r="921" spans="1:7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O921" s="56"/>
      <c r="BP921" s="56"/>
      <c r="BQ921" s="56"/>
      <c r="BR921" s="56"/>
    </row>
    <row r="922" spans="1:7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O922" s="56"/>
      <c r="BP922" s="56"/>
      <c r="BQ922" s="56"/>
      <c r="BR922" s="56"/>
    </row>
    <row r="923" spans="1:7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O923" s="56"/>
      <c r="BP923" s="56"/>
      <c r="BQ923" s="56"/>
      <c r="BR923" s="56"/>
    </row>
    <row r="924" spans="1:7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O924" s="56"/>
      <c r="BP924" s="56"/>
      <c r="BQ924" s="56"/>
      <c r="BR924" s="56"/>
    </row>
    <row r="925" spans="1:7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O925" s="56"/>
      <c r="BP925" s="56"/>
      <c r="BQ925" s="56"/>
      <c r="BR925" s="56"/>
    </row>
    <row r="926" spans="1:7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O926" s="56"/>
      <c r="BP926" s="56"/>
      <c r="BQ926" s="56"/>
      <c r="BR926" s="56"/>
    </row>
    <row r="927" spans="1:7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O927" s="56"/>
      <c r="BP927" s="56"/>
      <c r="BQ927" s="56"/>
      <c r="BR927" s="56"/>
    </row>
    <row r="928" spans="1:7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O928" s="56"/>
      <c r="BP928" s="56"/>
      <c r="BQ928" s="56"/>
      <c r="BR928" s="56"/>
    </row>
    <row r="929" spans="1:7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O929" s="56"/>
      <c r="BP929" s="56"/>
      <c r="BQ929" s="56"/>
      <c r="BR929" s="56"/>
    </row>
    <row r="930" spans="1:7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O930" s="56"/>
      <c r="BP930" s="56"/>
      <c r="BQ930" s="56"/>
      <c r="BR930" s="56"/>
    </row>
    <row r="931" spans="1:7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O931" s="56"/>
      <c r="BP931" s="56"/>
      <c r="BQ931" s="56"/>
      <c r="BR931" s="56"/>
    </row>
    <row r="932" spans="1:7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O932" s="56"/>
      <c r="BP932" s="56"/>
      <c r="BQ932" s="56"/>
      <c r="BR932" s="56"/>
    </row>
    <row r="933" spans="1:7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O933" s="56"/>
      <c r="BP933" s="56"/>
      <c r="BQ933" s="56"/>
      <c r="BR933" s="56"/>
    </row>
    <row r="934" spans="1:7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O934" s="56"/>
      <c r="BP934" s="56"/>
      <c r="BQ934" s="56"/>
      <c r="BR934" s="56"/>
    </row>
    <row r="935" spans="1:7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O935" s="56"/>
      <c r="BP935" s="56"/>
      <c r="BQ935" s="56"/>
      <c r="BR935" s="56"/>
    </row>
    <row r="936" spans="1:7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O936" s="56"/>
      <c r="BP936" s="56"/>
      <c r="BQ936" s="56"/>
      <c r="BR936" s="56"/>
    </row>
    <row r="937" spans="1:7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O937" s="56"/>
      <c r="BP937" s="56"/>
      <c r="BQ937" s="56"/>
      <c r="BR937" s="56"/>
    </row>
    <row r="938" spans="1:7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O938" s="56"/>
      <c r="BP938" s="56"/>
      <c r="BQ938" s="56"/>
      <c r="BR938" s="56"/>
    </row>
    <row r="939" spans="1:7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O939" s="56"/>
      <c r="BP939" s="56"/>
      <c r="BQ939" s="56"/>
      <c r="BR939" s="56"/>
    </row>
    <row r="940" spans="1:7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O940" s="56"/>
      <c r="BP940" s="56"/>
      <c r="BQ940" s="56"/>
      <c r="BR940" s="56"/>
    </row>
    <row r="941" spans="1:7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O941" s="56"/>
      <c r="BP941" s="56"/>
      <c r="BQ941" s="56"/>
      <c r="BR941" s="56"/>
    </row>
    <row r="942" spans="1:7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O942" s="56"/>
      <c r="BP942" s="56"/>
      <c r="BQ942" s="56"/>
      <c r="BR942" s="56"/>
    </row>
    <row r="943" spans="1:7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O943" s="56"/>
      <c r="BP943" s="56"/>
      <c r="BQ943" s="56"/>
      <c r="BR943" s="56"/>
    </row>
    <row r="944" spans="1:7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O944" s="56"/>
      <c r="BP944" s="56"/>
      <c r="BQ944" s="56"/>
      <c r="BR944" s="56"/>
    </row>
    <row r="945" spans="1:7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O945" s="56"/>
      <c r="BP945" s="56"/>
      <c r="BQ945" s="56"/>
      <c r="BR945" s="56"/>
    </row>
    <row r="946" spans="1:7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O946" s="56"/>
      <c r="BP946" s="56"/>
      <c r="BQ946" s="56"/>
      <c r="BR946" s="56"/>
    </row>
    <row r="947" spans="1:7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O947" s="56"/>
      <c r="BP947" s="56"/>
      <c r="BQ947" s="56"/>
      <c r="BR947" s="56"/>
    </row>
    <row r="948" spans="1:7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O948" s="56"/>
      <c r="BP948" s="56"/>
      <c r="BQ948" s="56"/>
      <c r="BR948" s="56"/>
    </row>
    <row r="949" spans="1:7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O949" s="56"/>
      <c r="BP949" s="56"/>
      <c r="BQ949" s="56"/>
      <c r="BR949" s="56"/>
    </row>
    <row r="950" spans="1:7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O950" s="56"/>
      <c r="BP950" s="56"/>
      <c r="BQ950" s="56"/>
      <c r="BR950" s="56"/>
    </row>
    <row r="951" spans="1:7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O951" s="56"/>
      <c r="BP951" s="56"/>
      <c r="BQ951" s="56"/>
      <c r="BR951" s="56"/>
    </row>
    <row r="952" spans="1:7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O952" s="56"/>
      <c r="BP952" s="56"/>
      <c r="BQ952" s="56"/>
      <c r="BR952" s="56"/>
    </row>
    <row r="953" spans="1:7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O953" s="56"/>
      <c r="BP953" s="56"/>
      <c r="BQ953" s="56"/>
      <c r="BR953" s="56"/>
    </row>
    <row r="954" spans="1:7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O954" s="56"/>
      <c r="BP954" s="56"/>
      <c r="BQ954" s="56"/>
      <c r="BR954" s="56"/>
    </row>
    <row r="955" spans="1:7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O955" s="56"/>
      <c r="BP955" s="56"/>
      <c r="BQ955" s="56"/>
      <c r="BR955" s="56"/>
    </row>
    <row r="956" spans="1:7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O956" s="56"/>
      <c r="BP956" s="56"/>
      <c r="BQ956" s="56"/>
      <c r="BR956" s="56"/>
    </row>
    <row r="957" spans="1:7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O957" s="56"/>
      <c r="BP957" s="56"/>
      <c r="BQ957" s="56"/>
      <c r="BR957" s="56"/>
    </row>
    <row r="958" spans="1:7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O958" s="56"/>
      <c r="BP958" s="56"/>
      <c r="BQ958" s="56"/>
      <c r="BR958" s="56"/>
    </row>
    <row r="959" spans="1:7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O959" s="56"/>
      <c r="BP959" s="56"/>
      <c r="BQ959" s="56"/>
      <c r="BR959" s="56"/>
    </row>
    <row r="960" spans="1:7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O960" s="56"/>
      <c r="BP960" s="56"/>
      <c r="BQ960" s="56"/>
      <c r="BR960" s="56"/>
    </row>
    <row r="961" spans="1:7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O961" s="56"/>
      <c r="BP961" s="56"/>
      <c r="BQ961" s="56"/>
      <c r="BR961" s="56"/>
    </row>
    <row r="962" spans="1:7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O962" s="56"/>
      <c r="BP962" s="56"/>
      <c r="BQ962" s="56"/>
      <c r="BR962" s="56"/>
    </row>
    <row r="963" spans="1:7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O963" s="56"/>
      <c r="BP963" s="56"/>
      <c r="BQ963" s="56"/>
      <c r="BR963" s="56"/>
    </row>
    <row r="964" spans="1:7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O964" s="56"/>
      <c r="BP964" s="56"/>
      <c r="BQ964" s="56"/>
      <c r="BR964" s="56"/>
    </row>
    <row r="965" spans="1:7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O965" s="56"/>
      <c r="BP965" s="56"/>
      <c r="BQ965" s="56"/>
      <c r="BR965" s="56"/>
    </row>
    <row r="966" spans="1:7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O966" s="56"/>
      <c r="BP966" s="56"/>
      <c r="BQ966" s="56"/>
      <c r="BR966" s="56"/>
    </row>
    <row r="967" spans="1:7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O967" s="56"/>
      <c r="BP967" s="56"/>
      <c r="BQ967" s="56"/>
      <c r="BR967" s="56"/>
    </row>
    <row r="968" spans="1:7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O968" s="56"/>
      <c r="BP968" s="56"/>
      <c r="BQ968" s="56"/>
      <c r="BR968" s="56"/>
    </row>
    <row r="969" spans="1:7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O969" s="56"/>
      <c r="BP969" s="56"/>
      <c r="BQ969" s="56"/>
      <c r="BR969" s="56"/>
    </row>
    <row r="970" spans="1:7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O970" s="56"/>
      <c r="BP970" s="56"/>
      <c r="BQ970" s="56"/>
      <c r="BR970" s="56"/>
    </row>
    <row r="971" spans="1:7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O971" s="56"/>
      <c r="BP971" s="56"/>
      <c r="BQ971" s="56"/>
      <c r="BR971" s="56"/>
    </row>
    <row r="972" spans="1:7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O972" s="56"/>
      <c r="BP972" s="56"/>
      <c r="BQ972" s="56"/>
      <c r="BR972" s="56"/>
    </row>
    <row r="973" spans="1:7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O973" s="56"/>
      <c r="BP973" s="56"/>
      <c r="BQ973" s="56"/>
      <c r="BR973" s="56"/>
    </row>
    <row r="974" spans="1:7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O974" s="56"/>
      <c r="BP974" s="56"/>
      <c r="BQ974" s="56"/>
      <c r="BR974" s="56"/>
    </row>
    <row r="975" spans="1:7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O975" s="56"/>
      <c r="BP975" s="56"/>
      <c r="BQ975" s="56"/>
      <c r="BR975" s="56"/>
    </row>
    <row r="976" spans="1:7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O976" s="56"/>
      <c r="BP976" s="56"/>
      <c r="BQ976" s="56"/>
      <c r="BR976" s="56"/>
    </row>
    <row r="977" spans="1:7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O977" s="56"/>
      <c r="BP977" s="56"/>
      <c r="BQ977" s="56"/>
      <c r="BR977" s="56"/>
    </row>
    <row r="978" spans="1:7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O978" s="56"/>
      <c r="BP978" s="56"/>
      <c r="BQ978" s="56"/>
      <c r="BR978" s="56"/>
    </row>
    <row r="979" spans="1:7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O979" s="56"/>
      <c r="BP979" s="56"/>
      <c r="BQ979" s="56"/>
      <c r="BR979" s="56"/>
    </row>
    <row r="980" spans="1:7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O980" s="56"/>
      <c r="BP980" s="56"/>
      <c r="BQ980" s="56"/>
      <c r="BR980" s="56"/>
    </row>
    <row r="981" spans="1:7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O981" s="56"/>
      <c r="BP981" s="56"/>
      <c r="BQ981" s="56"/>
      <c r="BR981" s="56"/>
    </row>
    <row r="982" spans="1:7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O982" s="56"/>
      <c r="BP982" s="56"/>
      <c r="BQ982" s="56"/>
      <c r="BR982" s="56"/>
    </row>
    <row r="983" spans="1:7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O983" s="56"/>
      <c r="BP983" s="56"/>
      <c r="BQ983" s="56"/>
      <c r="BR983" s="56"/>
    </row>
    <row r="984" spans="1:7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O984" s="56"/>
      <c r="BP984" s="56"/>
      <c r="BQ984" s="56"/>
      <c r="BR984" s="56"/>
    </row>
    <row r="985" spans="1:7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O985" s="56"/>
      <c r="BP985" s="56"/>
      <c r="BQ985" s="56"/>
      <c r="BR985" s="56"/>
    </row>
    <row r="986" spans="1:7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O986" s="56"/>
      <c r="BP986" s="56"/>
      <c r="BQ986" s="56"/>
      <c r="BR986" s="56"/>
    </row>
    <row r="987" spans="1:7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O987" s="56"/>
      <c r="BP987" s="56"/>
      <c r="BQ987" s="56"/>
      <c r="BR987" s="56"/>
    </row>
    <row r="988" spans="1:7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O988" s="56"/>
      <c r="BP988" s="56"/>
      <c r="BQ988" s="56"/>
      <c r="BR988" s="56"/>
    </row>
    <row r="989" spans="1:7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O989" s="56"/>
      <c r="BP989" s="56"/>
      <c r="BQ989" s="56"/>
      <c r="BR989" s="56"/>
    </row>
    <row r="990" spans="1:7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O990" s="56"/>
      <c r="BP990" s="56"/>
      <c r="BQ990" s="56"/>
      <c r="BR990" s="56"/>
    </row>
    <row r="991" spans="1:7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O991" s="56"/>
      <c r="BP991" s="56"/>
      <c r="BQ991" s="56"/>
      <c r="BR991" s="56"/>
    </row>
    <row r="992" spans="1:7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O992" s="56"/>
      <c r="BP992" s="56"/>
      <c r="BQ992" s="56"/>
      <c r="BR992" s="56"/>
    </row>
    <row r="993" spans="1:7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O993" s="56"/>
      <c r="BP993" s="56"/>
      <c r="BQ993" s="56"/>
      <c r="BR993" s="56"/>
    </row>
    <row r="994" spans="1:7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O994" s="56"/>
      <c r="BP994" s="56"/>
      <c r="BQ994" s="56"/>
      <c r="BR994" s="56"/>
    </row>
    <row r="995" spans="1:7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O995" s="56"/>
      <c r="BP995" s="56"/>
      <c r="BQ995" s="56"/>
      <c r="BR995" s="56"/>
    </row>
    <row r="996" spans="1:7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O996" s="56"/>
      <c r="BP996" s="56"/>
      <c r="BQ996" s="56"/>
      <c r="BR996" s="56"/>
    </row>
    <row r="997" spans="1:7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O997" s="56"/>
      <c r="BP997" s="56"/>
      <c r="BQ997" s="56"/>
      <c r="BR997" s="56"/>
    </row>
    <row r="998" spans="1:7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O998" s="56"/>
      <c r="BP998" s="56"/>
      <c r="BQ998" s="56"/>
      <c r="BR998" s="56"/>
    </row>
    <row r="999" spans="1:7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O999" s="56"/>
      <c r="BP999" s="56"/>
      <c r="BQ999" s="56"/>
      <c r="BR999" s="56"/>
    </row>
    <row r="1000" spans="1:7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O1000" s="56"/>
      <c r="BP1000" s="56"/>
      <c r="BQ1000" s="56"/>
      <c r="BR1000" s="56"/>
    </row>
    <row r="1001" spans="1:7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O1001" s="56"/>
      <c r="BP1001" s="56"/>
      <c r="BQ1001" s="56"/>
      <c r="BR1001" s="56"/>
    </row>
    <row r="1002" spans="1:7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O1002" s="56"/>
      <c r="BP1002" s="56"/>
      <c r="BQ1002" s="56"/>
      <c r="BR1002" s="56"/>
    </row>
    <row r="1003" spans="1:7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O1003" s="56"/>
      <c r="BP1003" s="56"/>
      <c r="BQ1003" s="56"/>
      <c r="BR1003" s="56"/>
    </row>
    <row r="1004" spans="1:7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O1004" s="56"/>
      <c r="BP1004" s="56"/>
      <c r="BQ1004" s="56"/>
      <c r="BR1004" s="56"/>
    </row>
    <row r="1005" spans="1:7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O1005" s="56"/>
      <c r="BP1005" s="56"/>
      <c r="BQ1005" s="56"/>
      <c r="BR1005" s="56"/>
    </row>
    <row r="1006" spans="1:7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O1006" s="56"/>
      <c r="BP1006" s="56"/>
      <c r="BQ1006" s="56"/>
      <c r="BR1006" s="56"/>
    </row>
    <row r="1007" spans="1:7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O1007" s="56"/>
      <c r="BP1007" s="56"/>
      <c r="BQ1007" s="56"/>
      <c r="BR1007" s="56"/>
    </row>
    <row r="1008" spans="1:7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O1008" s="56"/>
      <c r="BP1008" s="56"/>
      <c r="BQ1008" s="56"/>
      <c r="BR1008" s="56"/>
    </row>
    <row r="1009" spans="1:7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O1009" s="56"/>
      <c r="BP1009" s="56"/>
      <c r="BQ1009" s="56"/>
      <c r="BR1009" s="56"/>
    </row>
    <row r="1010" spans="1:7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O1010" s="56"/>
      <c r="BP1010" s="56"/>
      <c r="BQ1010" s="56"/>
      <c r="BR1010" s="56"/>
    </row>
    <row r="1011" spans="1:7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O1011" s="56"/>
      <c r="BP1011" s="56"/>
      <c r="BQ1011" s="56"/>
      <c r="BR1011" s="56"/>
    </row>
    <row r="1012" spans="1:7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O1012" s="56"/>
      <c r="BP1012" s="56"/>
      <c r="BQ1012" s="56"/>
      <c r="BR1012" s="56"/>
    </row>
    <row r="1013" spans="1:7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O1013" s="56"/>
      <c r="BP1013" s="56"/>
      <c r="BQ1013" s="56"/>
      <c r="BR1013" s="56"/>
    </row>
    <row r="1014" spans="1:7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O1014" s="56"/>
      <c r="BP1014" s="56"/>
      <c r="BQ1014" s="56"/>
      <c r="BR1014" s="56"/>
    </row>
    <row r="1015" spans="1:7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O1015" s="56"/>
      <c r="BP1015" s="56"/>
      <c r="BQ1015" s="56"/>
      <c r="BR1015" s="56"/>
    </row>
    <row r="1016" spans="1:7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O1016" s="56"/>
      <c r="BP1016" s="56"/>
      <c r="BQ1016" s="56"/>
      <c r="BR1016" s="56"/>
    </row>
    <row r="1017" spans="1:7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O1017" s="56"/>
      <c r="BP1017" s="56"/>
      <c r="BQ1017" s="56"/>
      <c r="BR1017" s="56"/>
    </row>
    <row r="1018" spans="1:7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O1018" s="56"/>
      <c r="BP1018" s="56"/>
      <c r="BQ1018" s="56"/>
      <c r="BR1018" s="56"/>
    </row>
    <row r="1019" spans="1:7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O1019" s="56"/>
      <c r="BP1019" s="56"/>
      <c r="BQ1019" s="56"/>
      <c r="BR1019" s="56"/>
    </row>
    <row r="1020" spans="1:7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O1020" s="56"/>
      <c r="BP1020" s="56"/>
      <c r="BQ1020" s="56"/>
      <c r="BR1020" s="56"/>
    </row>
    <row r="1021" spans="1:7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O1021" s="56"/>
      <c r="BP1021" s="56"/>
      <c r="BQ1021" s="56"/>
      <c r="BR1021" s="56"/>
    </row>
    <row r="1022" spans="1:7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O1022" s="56"/>
      <c r="BP1022" s="56"/>
      <c r="BQ1022" s="56"/>
      <c r="BR1022" s="56"/>
    </row>
    <row r="1023" spans="1:7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O1023" s="56"/>
      <c r="BP1023" s="56"/>
      <c r="BQ1023" s="56"/>
      <c r="BR1023" s="56"/>
    </row>
    <row r="1024" spans="1:7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O1024" s="56"/>
      <c r="BP1024" s="56"/>
      <c r="BQ1024" s="56"/>
      <c r="BR1024" s="56"/>
    </row>
    <row r="1025" spans="1:7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O1025" s="56"/>
      <c r="BP1025" s="56"/>
      <c r="BQ1025" s="56"/>
      <c r="BR1025" s="56"/>
    </row>
    <row r="1026" spans="1:7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O1026" s="56"/>
      <c r="BP1026" s="56"/>
      <c r="BQ1026" s="56"/>
      <c r="BR1026" s="56"/>
    </row>
    <row r="1027" spans="1:7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O1027" s="56"/>
      <c r="BP1027" s="56"/>
      <c r="BQ1027" s="56"/>
      <c r="BR1027" s="56"/>
    </row>
    <row r="1028" spans="1:7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O1028" s="56"/>
      <c r="BP1028" s="56"/>
      <c r="BQ1028" s="56"/>
      <c r="BR1028" s="56"/>
    </row>
    <row r="1029" spans="1:7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O1029" s="56"/>
      <c r="BP1029" s="56"/>
      <c r="BQ1029" s="56"/>
      <c r="BR1029" s="56"/>
    </row>
    <row r="1030" spans="1:7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O1030" s="56"/>
      <c r="BP1030" s="56"/>
      <c r="BQ1030" s="56"/>
      <c r="BR1030" s="56"/>
    </row>
    <row r="1031" spans="1:7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O1031" s="56"/>
      <c r="BP1031" s="56"/>
      <c r="BQ1031" s="56"/>
      <c r="BR1031" s="56"/>
    </row>
    <row r="1032" spans="1:7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O1032" s="56"/>
      <c r="BP1032" s="56"/>
      <c r="BQ1032" s="56"/>
      <c r="BR1032" s="56"/>
    </row>
    <row r="1033" spans="1:7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O1033" s="56"/>
      <c r="BP1033" s="56"/>
      <c r="BQ1033" s="56"/>
      <c r="BR1033" s="56"/>
    </row>
    <row r="1034" spans="1:7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O1034" s="56"/>
      <c r="BP1034" s="56"/>
      <c r="BQ1034" s="56"/>
      <c r="BR1034" s="56"/>
    </row>
    <row r="1035" spans="1:7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O1035" s="56"/>
      <c r="BP1035" s="56"/>
      <c r="BQ1035" s="56"/>
      <c r="BR1035" s="56"/>
    </row>
    <row r="1036" spans="1:7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O1036" s="56"/>
      <c r="BP1036" s="56"/>
      <c r="BQ1036" s="56"/>
      <c r="BR1036" s="56"/>
    </row>
    <row r="1037" spans="1:7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O1037" s="56"/>
      <c r="BP1037" s="56"/>
      <c r="BQ1037" s="56"/>
      <c r="BR1037" s="56"/>
    </row>
    <row r="1038" spans="1:7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O1038" s="56"/>
      <c r="BP1038" s="56"/>
      <c r="BQ1038" s="56"/>
      <c r="BR1038" s="56"/>
    </row>
    <row r="1039" spans="1:7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O1039" s="56"/>
      <c r="BP1039" s="56"/>
      <c r="BQ1039" s="56"/>
      <c r="BR1039" s="56"/>
    </row>
    <row r="1040" spans="1:7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O1040" s="56"/>
      <c r="BP1040" s="56"/>
      <c r="BQ1040" s="56"/>
      <c r="BR1040" s="56"/>
    </row>
    <row r="1041" spans="1:7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O1041" s="56"/>
      <c r="BP1041" s="56"/>
      <c r="BQ1041" s="56"/>
      <c r="BR1041" s="56"/>
    </row>
    <row r="1042" spans="1:7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O1042" s="56"/>
      <c r="BP1042" s="56"/>
      <c r="BQ1042" s="56"/>
      <c r="BR1042" s="56"/>
    </row>
    <row r="1043" spans="1:7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O1043" s="56"/>
      <c r="BP1043" s="56"/>
      <c r="BQ1043" s="56"/>
      <c r="BR1043" s="56"/>
    </row>
    <row r="1044" spans="1:7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O1044" s="56"/>
      <c r="BP1044" s="56"/>
      <c r="BQ1044" s="56"/>
      <c r="BR1044" s="56"/>
    </row>
    <row r="1045" spans="1:7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O1045" s="56"/>
      <c r="BP1045" s="56"/>
      <c r="BQ1045" s="56"/>
      <c r="BR1045" s="56"/>
    </row>
    <row r="1046" spans="1:7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O1046" s="56"/>
      <c r="BP1046" s="56"/>
      <c r="BQ1046" s="56"/>
      <c r="BR1046" s="56"/>
    </row>
    <row r="1047" spans="1:7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O1047" s="56"/>
      <c r="BP1047" s="56"/>
      <c r="BQ1047" s="56"/>
      <c r="BR1047" s="56"/>
    </row>
    <row r="1048" spans="1:7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O1048" s="56"/>
      <c r="BP1048" s="56"/>
      <c r="BQ1048" s="56"/>
      <c r="BR1048" s="56"/>
    </row>
    <row r="1049" spans="1:7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O1049" s="56"/>
      <c r="BP1049" s="56"/>
      <c r="BQ1049" s="56"/>
      <c r="BR1049" s="56"/>
    </row>
    <row r="1050" spans="1:7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O1050" s="56"/>
      <c r="BP1050" s="56"/>
      <c r="BQ1050" s="56"/>
      <c r="BR1050" s="56"/>
    </row>
    <row r="1051" spans="1:7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O1051" s="56"/>
      <c r="BP1051" s="56"/>
      <c r="BQ1051" s="56"/>
      <c r="BR1051" s="56"/>
    </row>
    <row r="1052" spans="1:7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O1052" s="56"/>
      <c r="BP1052" s="56"/>
      <c r="BQ1052" s="56"/>
      <c r="BR1052" s="56"/>
    </row>
    <row r="1053" spans="1:7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O1053" s="56"/>
      <c r="BP1053" s="56"/>
      <c r="BQ1053" s="56"/>
      <c r="BR1053" s="56"/>
    </row>
    <row r="1054" spans="1:7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O1054" s="56"/>
      <c r="BP1054" s="56"/>
      <c r="BQ1054" s="56"/>
      <c r="BR1054" s="56"/>
    </row>
    <row r="1055" spans="1:7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O1055" s="56"/>
      <c r="BP1055" s="56"/>
      <c r="BQ1055" s="56"/>
      <c r="BR1055" s="56"/>
    </row>
    <row r="1056" spans="1:7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O1056" s="56"/>
      <c r="BP1056" s="56"/>
      <c r="BQ1056" s="56"/>
      <c r="BR1056" s="56"/>
    </row>
    <row r="1057" spans="1:7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O1057" s="56"/>
      <c r="BP1057" s="56"/>
      <c r="BQ1057" s="56"/>
      <c r="BR1057" s="56"/>
    </row>
    <row r="1058" spans="1:7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O1058" s="56"/>
      <c r="BP1058" s="56"/>
      <c r="BQ1058" s="56"/>
      <c r="BR1058" s="56"/>
    </row>
    <row r="1059" spans="1:7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O1059" s="56"/>
      <c r="BP1059" s="56"/>
      <c r="BQ1059" s="56"/>
      <c r="BR1059" s="56"/>
    </row>
    <row r="1060" spans="1:7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O1060" s="56"/>
      <c r="BP1060" s="56"/>
      <c r="BQ1060" s="56"/>
      <c r="BR1060" s="56"/>
    </row>
    <row r="1061" spans="1:7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O1061" s="56"/>
      <c r="BP1061" s="56"/>
      <c r="BQ1061" s="56"/>
      <c r="BR1061" s="56"/>
    </row>
    <row r="1062" spans="1:7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O1062" s="56"/>
      <c r="BP1062" s="56"/>
      <c r="BQ1062" s="56"/>
      <c r="BR1062" s="56"/>
    </row>
    <row r="1063" spans="1:7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O1063" s="56"/>
      <c r="BP1063" s="56"/>
      <c r="BQ1063" s="56"/>
      <c r="BR1063" s="56"/>
    </row>
    <row r="1064" spans="1:7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O1064" s="56"/>
      <c r="BP1064" s="56"/>
      <c r="BQ1064" s="56"/>
      <c r="BR1064" s="56"/>
    </row>
    <row r="1065" spans="1:7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O1065" s="56"/>
      <c r="BP1065" s="56"/>
      <c r="BQ1065" s="56"/>
      <c r="BR1065" s="56"/>
    </row>
    <row r="1066" spans="1:7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O1066" s="56"/>
      <c r="BP1066" s="56"/>
      <c r="BQ1066" s="56"/>
      <c r="BR1066" s="56"/>
    </row>
    <row r="1067" spans="1:7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O1067" s="56"/>
      <c r="BP1067" s="56"/>
      <c r="BQ1067" s="56"/>
      <c r="BR1067" s="56"/>
    </row>
    <row r="1068" spans="1:7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O1068" s="56"/>
      <c r="BP1068" s="56"/>
      <c r="BQ1068" s="56"/>
      <c r="BR1068" s="56"/>
    </row>
    <row r="1069" spans="1:7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O1069" s="56"/>
      <c r="BP1069" s="56"/>
      <c r="BQ1069" s="56"/>
      <c r="BR1069" s="56"/>
    </row>
    <row r="1070" spans="1:7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O1070" s="56"/>
      <c r="BP1070" s="56"/>
      <c r="BQ1070" s="56"/>
      <c r="BR1070" s="56"/>
    </row>
    <row r="1071" spans="1:7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O1071" s="56"/>
      <c r="BP1071" s="56"/>
      <c r="BQ1071" s="56"/>
      <c r="BR1071" s="56"/>
    </row>
    <row r="1072" spans="1:7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O1072" s="56"/>
      <c r="BP1072" s="56"/>
      <c r="BQ1072" s="56"/>
      <c r="BR1072" s="56"/>
    </row>
    <row r="1073" spans="1:7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O1073" s="56"/>
      <c r="BP1073" s="56"/>
      <c r="BQ1073" s="56"/>
      <c r="BR1073" s="56"/>
    </row>
    <row r="1074" spans="1:7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O1074" s="56"/>
      <c r="BP1074" s="56"/>
      <c r="BQ1074" s="56"/>
      <c r="BR1074" s="56"/>
    </row>
    <row r="1075" spans="1:7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O1075" s="56"/>
      <c r="BP1075" s="56"/>
      <c r="BQ1075" s="56"/>
      <c r="BR1075" s="56"/>
    </row>
    <row r="1076" spans="1:7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O1076" s="56"/>
      <c r="BP1076" s="56"/>
      <c r="BQ1076" s="56"/>
      <c r="BR1076" s="56"/>
    </row>
    <row r="1077" spans="1:7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O1077" s="56"/>
      <c r="BP1077" s="56"/>
      <c r="BQ1077" s="56"/>
      <c r="BR1077" s="56"/>
    </row>
    <row r="1078" spans="1:7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O1078" s="56"/>
      <c r="BP1078" s="56"/>
      <c r="BQ1078" s="56"/>
      <c r="BR1078" s="56"/>
    </row>
    <row r="1079" spans="1:7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O1079" s="56"/>
      <c r="BP1079" s="56"/>
      <c r="BQ1079" s="56"/>
      <c r="BR1079" s="56"/>
    </row>
    <row r="1080" spans="1:7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O1080" s="56"/>
      <c r="BP1080" s="56"/>
      <c r="BQ1080" s="56"/>
      <c r="BR1080" s="56"/>
    </row>
    <row r="1081" spans="1:7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O1081" s="56"/>
      <c r="BP1081" s="56"/>
      <c r="BQ1081" s="56"/>
      <c r="BR1081" s="56"/>
    </row>
    <row r="1082" spans="1:7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O1082" s="56"/>
      <c r="BP1082" s="56"/>
      <c r="BQ1082" s="56"/>
      <c r="BR1082" s="56"/>
    </row>
    <row r="1083" spans="1:7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O1083" s="56"/>
      <c r="BP1083" s="56"/>
      <c r="BQ1083" s="56"/>
      <c r="BR1083" s="56"/>
    </row>
    <row r="1084" spans="1:7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O1084" s="56"/>
      <c r="BP1084" s="56"/>
      <c r="BQ1084" s="56"/>
      <c r="BR1084" s="56"/>
    </row>
    <row r="1085" spans="1:7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O1085" s="56"/>
      <c r="BP1085" s="56"/>
      <c r="BQ1085" s="56"/>
      <c r="BR1085" s="56"/>
    </row>
    <row r="1086" spans="1:7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O1086" s="56"/>
      <c r="BP1086" s="56"/>
      <c r="BQ1086" s="56"/>
      <c r="BR1086" s="56"/>
    </row>
    <row r="1087" spans="1:7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O1087" s="56"/>
      <c r="BP1087" s="56"/>
      <c r="BQ1087" s="56"/>
      <c r="BR1087" s="56"/>
    </row>
    <row r="1088" spans="1:7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O1088" s="56"/>
      <c r="BP1088" s="56"/>
      <c r="BQ1088" s="56"/>
      <c r="BR1088" s="56"/>
    </row>
    <row r="1089" spans="1:7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O1089" s="56"/>
      <c r="BP1089" s="56"/>
      <c r="BQ1089" s="56"/>
      <c r="BR1089" s="56"/>
    </row>
    <row r="1090" spans="1:7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O1090" s="56"/>
      <c r="BP1090" s="56"/>
      <c r="BQ1090" s="56"/>
      <c r="BR1090" s="56"/>
    </row>
    <row r="1091" spans="1:7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O1091" s="56"/>
      <c r="BP1091" s="56"/>
      <c r="BQ1091" s="56"/>
      <c r="BR1091" s="56"/>
    </row>
    <row r="1092" spans="1:7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O1092" s="56"/>
      <c r="BP1092" s="56"/>
      <c r="BQ1092" s="56"/>
      <c r="BR1092" s="56"/>
    </row>
    <row r="1093" spans="1:7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O1093" s="56"/>
      <c r="BP1093" s="56"/>
      <c r="BQ1093" s="56"/>
      <c r="BR1093" s="56"/>
    </row>
    <row r="1094" spans="1:7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O1094" s="56"/>
      <c r="BP1094" s="56"/>
      <c r="BQ1094" s="56"/>
      <c r="BR1094" s="56"/>
    </row>
    <row r="1095" spans="1:7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O1095" s="56"/>
      <c r="BP1095" s="56"/>
      <c r="BQ1095" s="56"/>
      <c r="BR1095" s="56"/>
    </row>
    <row r="1096" spans="1:7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O1096" s="56"/>
      <c r="BP1096" s="56"/>
      <c r="BQ1096" s="56"/>
      <c r="BR1096" s="56"/>
    </row>
    <row r="1097" spans="1:7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O1097" s="56"/>
      <c r="BP1097" s="56"/>
      <c r="BQ1097" s="56"/>
      <c r="BR1097" s="56"/>
    </row>
    <row r="1098" spans="1:7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O1098" s="56"/>
      <c r="BP1098" s="56"/>
      <c r="BQ1098" s="56"/>
      <c r="BR1098" s="56"/>
    </row>
    <row r="1099" spans="1:7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O1099" s="56"/>
      <c r="BP1099" s="56"/>
      <c r="BQ1099" s="56"/>
      <c r="BR1099" s="56"/>
    </row>
    <row r="1100" spans="1:7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O1100" s="56"/>
      <c r="BP1100" s="56"/>
      <c r="BQ1100" s="56"/>
      <c r="BR1100" s="56"/>
    </row>
    <row r="1101" spans="1:7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O1101" s="56"/>
      <c r="BP1101" s="56"/>
      <c r="BQ1101" s="56"/>
      <c r="BR1101" s="56"/>
    </row>
    <row r="1102" spans="1:7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O1102" s="56"/>
      <c r="BP1102" s="56"/>
      <c r="BQ1102" s="56"/>
      <c r="BR1102" s="56"/>
    </row>
    <row r="1103" spans="1:7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O1103" s="56"/>
      <c r="BP1103" s="56"/>
      <c r="BQ1103" s="56"/>
      <c r="BR1103" s="56"/>
    </row>
    <row r="1104" spans="1:7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O1104" s="56"/>
      <c r="BP1104" s="56"/>
      <c r="BQ1104" s="56"/>
      <c r="BR1104" s="56"/>
    </row>
    <row r="1105" spans="1:7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O1105" s="56"/>
      <c r="BP1105" s="56"/>
      <c r="BQ1105" s="56"/>
      <c r="BR1105" s="56"/>
    </row>
    <row r="1106" spans="1:7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O1106" s="56"/>
      <c r="BP1106" s="56"/>
      <c r="BQ1106" s="56"/>
      <c r="BR1106" s="56"/>
    </row>
    <row r="1107" spans="1:7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O1107" s="56"/>
      <c r="BP1107" s="56"/>
      <c r="BQ1107" s="56"/>
      <c r="BR1107" s="56"/>
    </row>
    <row r="1108" spans="1:7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O1108" s="56"/>
      <c r="BP1108" s="56"/>
      <c r="BQ1108" s="56"/>
      <c r="BR1108" s="56"/>
    </row>
    <row r="1109" spans="1:7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O1109" s="56"/>
      <c r="BP1109" s="56"/>
      <c r="BQ1109" s="56"/>
      <c r="BR1109" s="56"/>
    </row>
    <row r="1110" spans="1:7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O1110" s="56"/>
      <c r="BP1110" s="56"/>
      <c r="BQ1110" s="56"/>
      <c r="BR1110" s="56"/>
    </row>
    <row r="1111" spans="1:7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O1111" s="56"/>
      <c r="BP1111" s="56"/>
      <c r="BQ1111" s="56"/>
      <c r="BR1111" s="56"/>
    </row>
    <row r="1112" spans="1:7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O1112" s="56"/>
      <c r="BP1112" s="56"/>
      <c r="BQ1112" s="56"/>
      <c r="BR1112" s="56"/>
    </row>
    <row r="1113" spans="1:7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O1113" s="56"/>
      <c r="BP1113" s="56"/>
      <c r="BQ1113" s="56"/>
      <c r="BR1113" s="56"/>
    </row>
    <row r="1114" spans="1:7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O1114" s="56"/>
      <c r="BP1114" s="56"/>
      <c r="BQ1114" s="56"/>
      <c r="BR1114" s="56"/>
    </row>
    <row r="1115" spans="1:7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O1115" s="56"/>
      <c r="BP1115" s="56"/>
      <c r="BQ1115" s="56"/>
      <c r="BR1115" s="56"/>
    </row>
    <row r="1116" spans="1:7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O1116" s="56"/>
      <c r="BP1116" s="56"/>
      <c r="BQ1116" s="56"/>
      <c r="BR1116" s="56"/>
    </row>
    <row r="1117" spans="1:7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O1117" s="56"/>
      <c r="BP1117" s="56"/>
      <c r="BQ1117" s="56"/>
      <c r="BR1117" s="56"/>
    </row>
    <row r="1118" spans="1:7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O1118" s="56"/>
      <c r="BP1118" s="56"/>
      <c r="BQ1118" s="56"/>
      <c r="BR1118" s="56"/>
    </row>
    <row r="1119" spans="1:7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O1119" s="56"/>
      <c r="BP1119" s="56"/>
      <c r="BQ1119" s="56"/>
      <c r="BR1119" s="56"/>
    </row>
    <row r="1120" spans="1:7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O1120" s="56"/>
      <c r="BP1120" s="56"/>
      <c r="BQ1120" s="56"/>
      <c r="BR1120" s="56"/>
    </row>
    <row r="1121" spans="1:7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O1121" s="56"/>
      <c r="BP1121" s="56"/>
      <c r="BQ1121" s="56"/>
      <c r="BR1121" s="56"/>
    </row>
    <row r="1122" spans="1:7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O1122" s="56"/>
      <c r="BP1122" s="56"/>
      <c r="BQ1122" s="56"/>
      <c r="BR1122" s="56"/>
    </row>
    <row r="1123" spans="1:7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O1123" s="56"/>
      <c r="BP1123" s="56"/>
      <c r="BQ1123" s="56"/>
      <c r="BR1123" s="56"/>
    </row>
    <row r="1124" spans="1:7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O1124" s="56"/>
      <c r="BP1124" s="56"/>
      <c r="BQ1124" s="56"/>
      <c r="BR1124" s="56"/>
    </row>
    <row r="1125" spans="1:7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O1125" s="56"/>
      <c r="BP1125" s="56"/>
      <c r="BQ1125" s="56"/>
      <c r="BR1125" s="56"/>
    </row>
    <row r="1126" spans="1:7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O1126" s="56"/>
      <c r="BP1126" s="56"/>
      <c r="BQ1126" s="56"/>
      <c r="BR1126" s="56"/>
    </row>
    <row r="1127" spans="1:7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O1127" s="56"/>
      <c r="BP1127" s="56"/>
      <c r="BQ1127" s="56"/>
      <c r="BR1127" s="56"/>
    </row>
    <row r="1128" spans="1:7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O1128" s="56"/>
      <c r="BP1128" s="56"/>
      <c r="BQ1128" s="56"/>
      <c r="BR1128" s="56"/>
    </row>
    <row r="1129" spans="1:7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O1129" s="56"/>
      <c r="BP1129" s="56"/>
      <c r="BQ1129" s="56"/>
      <c r="BR1129" s="56"/>
    </row>
    <row r="1130" spans="1:7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O1130" s="56"/>
      <c r="BP1130" s="56"/>
      <c r="BQ1130" s="56"/>
      <c r="BR1130" s="56"/>
    </row>
    <row r="1131" spans="1:7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O1131" s="56"/>
      <c r="BP1131" s="56"/>
      <c r="BQ1131" s="56"/>
      <c r="BR1131" s="56"/>
    </row>
    <row r="1132" spans="1:7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O1132" s="56"/>
      <c r="BP1132" s="56"/>
      <c r="BQ1132" s="56"/>
      <c r="BR1132" s="56"/>
    </row>
    <row r="1133" spans="1:7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O1133" s="56"/>
      <c r="BP1133" s="56"/>
      <c r="BQ1133" s="56"/>
      <c r="BR1133" s="56"/>
    </row>
    <row r="1134" spans="1:7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O1134" s="56"/>
      <c r="BP1134" s="56"/>
      <c r="BQ1134" s="56"/>
      <c r="BR1134" s="56"/>
    </row>
    <row r="1135" spans="1:7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O1135" s="56"/>
      <c r="BP1135" s="56"/>
      <c r="BQ1135" s="56"/>
      <c r="BR1135" s="56"/>
    </row>
    <row r="1136" spans="1:7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O1136" s="56"/>
      <c r="BP1136" s="56"/>
      <c r="BQ1136" s="56"/>
      <c r="BR1136" s="56"/>
    </row>
    <row r="1137" spans="1:7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O1137" s="56"/>
      <c r="BP1137" s="56"/>
      <c r="BQ1137" s="56"/>
      <c r="BR1137" s="56"/>
    </row>
    <row r="1138" spans="1:7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O1138" s="56"/>
      <c r="BP1138" s="56"/>
      <c r="BQ1138" s="56"/>
      <c r="BR1138" s="56"/>
    </row>
    <row r="1139" spans="1:7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O1139" s="56"/>
      <c r="BP1139" s="56"/>
      <c r="BQ1139" s="56"/>
      <c r="BR1139" s="56"/>
    </row>
    <row r="1140" spans="1:7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O1140" s="56"/>
      <c r="BP1140" s="56"/>
      <c r="BQ1140" s="56"/>
      <c r="BR1140" s="56"/>
    </row>
    <row r="1141" spans="1:7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O1141" s="56"/>
      <c r="BP1141" s="56"/>
      <c r="BQ1141" s="56"/>
      <c r="BR1141" s="56"/>
    </row>
    <row r="1142" spans="1:7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O1142" s="56"/>
      <c r="BP1142" s="56"/>
      <c r="BQ1142" s="56"/>
      <c r="BR1142" s="56"/>
    </row>
    <row r="1143" spans="1:7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O1143" s="56"/>
      <c r="BP1143" s="56"/>
      <c r="BQ1143" s="56"/>
      <c r="BR1143" s="56"/>
    </row>
    <row r="1144" spans="1:7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O1144" s="56"/>
      <c r="BP1144" s="56"/>
      <c r="BQ1144" s="56"/>
      <c r="BR1144" s="56"/>
    </row>
    <row r="1145" spans="1:7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O1145" s="56"/>
      <c r="BP1145" s="56"/>
      <c r="BQ1145" s="56"/>
      <c r="BR1145" s="56"/>
    </row>
    <row r="1146" spans="1:7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O1146" s="56"/>
      <c r="BP1146" s="56"/>
      <c r="BQ1146" s="56"/>
      <c r="BR1146" s="56"/>
    </row>
    <row r="1147" spans="1:7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O1147" s="56"/>
      <c r="BP1147" s="56"/>
      <c r="BQ1147" s="56"/>
      <c r="BR1147" s="56"/>
    </row>
    <row r="1148" spans="1:7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O1148" s="56"/>
      <c r="BP1148" s="56"/>
      <c r="BQ1148" s="56"/>
      <c r="BR1148" s="56"/>
    </row>
    <row r="1149" spans="1:7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O1149" s="56"/>
      <c r="BP1149" s="56"/>
      <c r="BQ1149" s="56"/>
      <c r="BR1149" s="56"/>
    </row>
    <row r="1150" spans="1:7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O1150" s="56"/>
      <c r="BP1150" s="56"/>
      <c r="BQ1150" s="56"/>
      <c r="BR1150" s="56"/>
    </row>
    <row r="1151" spans="1:7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O1151" s="56"/>
      <c r="BP1151" s="56"/>
      <c r="BQ1151" s="56"/>
      <c r="BR1151" s="56"/>
    </row>
    <row r="1152" spans="1:7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O1152" s="56"/>
      <c r="BP1152" s="56"/>
      <c r="BQ1152" s="56"/>
      <c r="BR1152" s="56"/>
    </row>
    <row r="1153" spans="3:7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O1153" s="56"/>
      <c r="BP1153" s="56"/>
      <c r="BQ1153" s="56"/>
      <c r="BR1153" s="56"/>
    </row>
    <row r="1154" spans="3:7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O1154" s="56"/>
      <c r="BP1154" s="56"/>
      <c r="BQ1154" s="56"/>
      <c r="BR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N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30" max="35" width="11.5703125" style="1" customWidth="1"/>
    <col min="36" max="36" width="13" style="1" customWidth="1"/>
    <col min="37" max="38" width="11.5703125" style="56" customWidth="1"/>
    <col min="39" max="39" width="12.42578125" style="56" customWidth="1"/>
    <col min="40" max="40" width="12.140625" style="56" customWidth="1"/>
    <col min="41" max="42" width="13" style="56" customWidth="1"/>
    <col min="43" max="44" width="11.5703125" style="1" customWidth="1"/>
    <col min="45" max="45" width="13" style="1" customWidth="1"/>
    <col min="53" max="58" width="13" style="56" customWidth="1"/>
    <col min="59" max="61" width="11.5703125" style="56" customWidth="1"/>
    <col min="62" max="66" width="13" style="56" customWidth="1"/>
    <col min="67" max="16384" width="9.140625" style="56"/>
  </cols>
  <sheetData>
    <row r="1" spans="1:66" s="1" customFormat="1" ht="23.25" x14ac:dyDescent="0.35">
      <c r="A1" s="83"/>
      <c r="C1" s="70" t="s">
        <v>1530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4" t="s">
        <v>448</v>
      </c>
      <c r="AE1" s="75"/>
      <c r="AF1" s="75"/>
      <c r="AG1" s="74" t="s">
        <v>447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6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</row>
    <row r="3" spans="1:66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1487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1488</v>
      </c>
      <c r="U3" s="44"/>
      <c r="V3" s="42"/>
      <c r="W3" s="44"/>
      <c r="X3" s="44"/>
      <c r="Y3" s="44"/>
      <c r="Z3" s="44"/>
      <c r="AA3" s="44"/>
      <c r="AB3" s="44"/>
      <c r="AC3" s="44"/>
      <c r="AD3" s="48" t="s">
        <v>107</v>
      </c>
      <c r="AE3" s="50"/>
      <c r="AF3" s="50"/>
      <c r="AG3" s="64" t="s">
        <v>506</v>
      </c>
      <c r="AH3" s="65"/>
      <c r="AI3" s="65"/>
      <c r="AJ3" s="65"/>
      <c r="AK3" s="65"/>
      <c r="AL3" s="65"/>
      <c r="AM3" s="65"/>
      <c r="AN3" s="65"/>
      <c r="AO3" s="65"/>
      <c r="AP3" s="65"/>
      <c r="AQ3" s="64" t="s">
        <v>507</v>
      </c>
      <c r="AR3" s="65"/>
      <c r="AS3" s="65"/>
      <c r="AT3" s="65"/>
      <c r="AU3" s="65"/>
      <c r="AV3" s="65"/>
      <c r="AW3" s="65"/>
      <c r="AX3" s="65"/>
      <c r="AY3" s="65"/>
      <c r="AZ3" s="66"/>
    </row>
    <row r="4" spans="1:66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1467</v>
      </c>
      <c r="K4" s="13" t="s">
        <v>1468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1469</v>
      </c>
      <c r="U4" s="13" t="s">
        <v>1477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13" t="s">
        <v>526</v>
      </c>
      <c r="AD4" s="10" t="s">
        <v>404</v>
      </c>
      <c r="AE4" s="11" t="s">
        <v>133</v>
      </c>
      <c r="AF4" s="11" t="s">
        <v>134</v>
      </c>
      <c r="AG4" s="67" t="s">
        <v>1467</v>
      </c>
      <c r="AH4" s="68" t="s">
        <v>1468</v>
      </c>
      <c r="AI4" s="68" t="s">
        <v>82</v>
      </c>
      <c r="AJ4" s="68" t="s">
        <v>84</v>
      </c>
      <c r="AK4" s="68" t="s">
        <v>87</v>
      </c>
      <c r="AL4" s="68" t="s">
        <v>89</v>
      </c>
      <c r="AM4" s="68" t="s">
        <v>91</v>
      </c>
      <c r="AN4" s="68" t="s">
        <v>93</v>
      </c>
      <c r="AO4" s="68" t="s">
        <v>95</v>
      </c>
      <c r="AP4" s="68" t="s">
        <v>97</v>
      </c>
      <c r="AQ4" s="67" t="s">
        <v>1478</v>
      </c>
      <c r="AR4" s="68" t="s">
        <v>1479</v>
      </c>
      <c r="AS4" s="68" t="s">
        <v>512</v>
      </c>
      <c r="AT4" s="68" t="s">
        <v>514</v>
      </c>
      <c r="AU4" s="68" t="s">
        <v>516</v>
      </c>
      <c r="AV4" s="68" t="s">
        <v>518</v>
      </c>
      <c r="AW4" s="68" t="s">
        <v>520</v>
      </c>
      <c r="AX4" s="68" t="s">
        <v>522</v>
      </c>
      <c r="AY4" s="68" t="s">
        <v>524</v>
      </c>
      <c r="AZ4" s="69" t="s">
        <v>526</v>
      </c>
    </row>
    <row r="5" spans="1:66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G5" s="47">
        <f>SUBTOTAL(109,pmtct_T[hts_tst_pmtctanc_u1_f_pos])</f>
        <v>0</v>
      </c>
      <c r="AH5" s="47">
        <f>SUBTOTAL(109,pmtct_T[hts_tst_pmtctanc_0109_f_pos])</f>
        <v>0</v>
      </c>
      <c r="AI5" s="47">
        <f>SUBTOTAL(109,pmtct_T[hts_tst_pmtctanc_1014_f_pos])</f>
        <v>0</v>
      </c>
      <c r="AJ5" s="47">
        <f>SUBTOTAL(109,pmtct_T[hts_tst_pmtctanc_1519_f_pos])</f>
        <v>0</v>
      </c>
      <c r="AK5" s="47">
        <f>SUBTOTAL(109,pmtct_T[hts_tst_pmtctanc_2024_f_pos])</f>
        <v>0</v>
      </c>
      <c r="AL5" s="47">
        <f>SUBTOTAL(109,pmtct_T[hts_tst_pmtctanc_2529_f_pos])</f>
        <v>0</v>
      </c>
      <c r="AM5" s="47">
        <f>SUBTOTAL(109,pmtct_T[hts_tst_pmtctanc_3034_f_pos])</f>
        <v>0</v>
      </c>
      <c r="AN5" s="47">
        <f>SUBTOTAL(109,pmtct_T[hts_tst_pmtctanc_3539_f_pos])</f>
        <v>0</v>
      </c>
      <c r="AO5" s="47">
        <f>SUBTOTAL(109,pmtct_T[hts_tst_pmtctanc_4049_f_pos])</f>
        <v>0</v>
      </c>
      <c r="AP5" s="47">
        <f>SUBTOTAL(109,pmtct_T[hts_tst_pmtctanc_o50_f_pos])</f>
        <v>0</v>
      </c>
      <c r="AQ5" s="47">
        <f>SUBTOTAL(109,pmtct_T[hts_tst_pmtctanc_u1_f_neg])</f>
        <v>0</v>
      </c>
      <c r="AR5" s="47">
        <f>SUBTOTAL(109,pmtct_T[hts_tst_pmtctanc_0109_f_neg])</f>
        <v>0</v>
      </c>
      <c r="AS5" s="47">
        <f>SUBTOTAL(109,pmtct_T[hts_tst_pmtctanc_1014_f_neg])</f>
        <v>0</v>
      </c>
      <c r="AT5" s="47">
        <f>SUBTOTAL(109,pmtct_T[hts_tst_pmtctanc_1519_f_neg])</f>
        <v>0</v>
      </c>
      <c r="AU5" s="47">
        <f>SUBTOTAL(109,pmtct_T[hts_tst_pmtctanc_2024_f_neg])</f>
        <v>0</v>
      </c>
      <c r="AV5" s="47">
        <f>SUBTOTAL(109,pmtct_T[hts_tst_pmtctanc_2529_f_neg])</f>
        <v>0</v>
      </c>
      <c r="AW5" s="47">
        <f>SUBTOTAL(109,pmtct_T[hts_tst_pmtctanc_3034_f_neg])</f>
        <v>0</v>
      </c>
      <c r="AX5" s="47">
        <f>SUBTOTAL(109,pmtct_T[hts_tst_pmtctanc_3539_f_neg])</f>
        <v>0</v>
      </c>
      <c r="AY5" s="47">
        <f>SUBTOTAL(109,pmtct_T[hts_tst_pmtctanc_4049_f_neg])</f>
        <v>0</v>
      </c>
      <c r="AZ5" s="47">
        <f>SUBTOTAL(109,pmtct_T[hts_tst_pmtctanc_o50_f_neg])</f>
        <v>0</v>
      </c>
    </row>
    <row r="6" spans="1:66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1531</v>
      </c>
      <c r="K6" s="25" t="s">
        <v>1532</v>
      </c>
      <c r="L6" s="25" t="s">
        <v>1533</v>
      </c>
      <c r="M6" s="25" t="s">
        <v>1534</v>
      </c>
      <c r="N6" s="25" t="s">
        <v>1535</v>
      </c>
      <c r="O6" s="25" t="s">
        <v>1536</v>
      </c>
      <c r="P6" s="25" t="s">
        <v>1537</v>
      </c>
      <c r="Q6" s="25" t="s">
        <v>1538</v>
      </c>
      <c r="R6" s="25" t="s">
        <v>1539</v>
      </c>
      <c r="S6" s="25" t="s">
        <v>1540</v>
      </c>
      <c r="T6" s="25" t="s">
        <v>1541</v>
      </c>
      <c r="U6" s="25" t="s">
        <v>1542</v>
      </c>
      <c r="V6" s="25" t="s">
        <v>1543</v>
      </c>
      <c r="W6" s="25" t="s">
        <v>1544</v>
      </c>
      <c r="X6" s="25" t="s">
        <v>1545</v>
      </c>
      <c r="Y6" s="25" t="s">
        <v>1546</v>
      </c>
      <c r="Z6" s="25" t="s">
        <v>1547</v>
      </c>
      <c r="AA6" s="25" t="s">
        <v>1548</v>
      </c>
      <c r="AB6" s="25" t="s">
        <v>1549</v>
      </c>
      <c r="AC6" s="25" t="s">
        <v>1550</v>
      </c>
      <c r="AD6" s="25" t="s">
        <v>417</v>
      </c>
      <c r="AE6" s="25" t="s">
        <v>207</v>
      </c>
      <c r="AF6" s="25" t="s">
        <v>208</v>
      </c>
      <c r="AG6" s="25" t="s">
        <v>1551</v>
      </c>
      <c r="AH6" s="25" t="s">
        <v>1552</v>
      </c>
      <c r="AI6" s="25" t="s">
        <v>1553</v>
      </c>
      <c r="AJ6" s="25" t="s">
        <v>1554</v>
      </c>
      <c r="AK6" s="25" t="s">
        <v>1555</v>
      </c>
      <c r="AL6" s="25" t="s">
        <v>1556</v>
      </c>
      <c r="AM6" s="25" t="s">
        <v>1557</v>
      </c>
      <c r="AN6" s="25" t="s">
        <v>1558</v>
      </c>
      <c r="AO6" s="25" t="s">
        <v>1559</v>
      </c>
      <c r="AP6" s="25" t="s">
        <v>1560</v>
      </c>
      <c r="AQ6" s="25" t="s">
        <v>1561</v>
      </c>
      <c r="AR6" s="25" t="s">
        <v>1562</v>
      </c>
      <c r="AS6" s="25" t="s">
        <v>1563</v>
      </c>
      <c r="AT6" s="25" t="s">
        <v>1564</v>
      </c>
      <c r="AU6" s="25" t="s">
        <v>1565</v>
      </c>
      <c r="AV6" s="25" t="s">
        <v>1566</v>
      </c>
      <c r="AW6" s="25" t="s">
        <v>1567</v>
      </c>
      <c r="AX6" s="25" t="s">
        <v>1568</v>
      </c>
      <c r="AY6" s="25" t="s">
        <v>1569</v>
      </c>
      <c r="AZ6" s="25" t="s">
        <v>1570</v>
      </c>
    </row>
    <row r="7" spans="1:66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>
        <f>pmtct_T[[D_pmtct_stat_newpos_fy19]:[D_pmtct_stat_newpos_fy19]]*pmtct_T[A_hts_tst_pmtctanc_u1_f_pos]</f>
        <v>0</v>
      </c>
      <c r="AH7" s="41">
        <f>pmtct_T[[D_pmtct_stat_newpos_fy19]:[D_pmtct_stat_newpos_fy19]]*pmtct_T[A_hts_tst_pmtctanc_0109_f_pos]</f>
        <v>0</v>
      </c>
      <c r="AI7" s="41">
        <f>pmtct_T[[D_pmtct_stat_newpos_fy19]:[D_pmtct_stat_newpos_fy19]]*pmtct_T[A_hts_tst_pmtctanc_1014_f_pos]</f>
        <v>0</v>
      </c>
      <c r="AJ7" s="41">
        <f>pmtct_T[[D_pmtct_stat_newpos_fy19]:[D_pmtct_stat_newpos_fy19]]*pmtct_T[A_hts_tst_pmtctanc_1519_f_pos]</f>
        <v>0</v>
      </c>
      <c r="AK7" s="41">
        <f>pmtct_T[[D_pmtct_stat_newpos_fy19]:[D_pmtct_stat_newpos_fy19]]*pmtct_T[A_hts_tst_pmtctanc_2024_f_pos]</f>
        <v>0</v>
      </c>
      <c r="AL7" s="41">
        <f>pmtct_T[[D_pmtct_stat_newpos_fy19]:[D_pmtct_stat_newpos_fy19]]*pmtct_T[A_hts_tst_pmtctanc_2529_f_pos]</f>
        <v>0</v>
      </c>
      <c r="AM7" s="41">
        <f>pmtct_T[[D_pmtct_stat_newpos_fy19]:[D_pmtct_stat_newpos_fy19]]*pmtct_T[A_hts_tst_pmtctanc_3034_f_pos]</f>
        <v>0</v>
      </c>
      <c r="AN7" s="41">
        <f>pmtct_T[[D_pmtct_stat_newpos_fy19]:[D_pmtct_stat_newpos_fy19]]*pmtct_T[A_hts_tst_pmtctanc_3539_f_pos]</f>
        <v>0</v>
      </c>
      <c r="AO7" s="41">
        <f>pmtct_T[[D_pmtct_stat_newpos_fy19]:[D_pmtct_stat_newpos_fy19]]*pmtct_T[A_hts_tst_pmtctanc_4049_f_pos]</f>
        <v>0</v>
      </c>
      <c r="AP7" s="41">
        <f>pmtct_T[[D_pmtct_stat_newpos_fy19]:[D_pmtct_stat_newpos_fy19]]*pmtct_T[A_hts_tst_pmtctanc_o50_f_pos]</f>
        <v>0</v>
      </c>
      <c r="AQ7" s="41">
        <f>pmtct_T[[D_pmtct_stat_newneg_fy19]:[D_pmtct_stat_newneg_fy19]]*pmtct_T[A_hts_tst_pmtctanc_u1_f_neg]</f>
        <v>0</v>
      </c>
      <c r="AR7" s="41">
        <f>pmtct_T[[D_pmtct_stat_newneg_fy19]:[D_pmtct_stat_newneg_fy19]]*pmtct_T[A_hts_tst_pmtctanc_0109_f_neg]</f>
        <v>0</v>
      </c>
      <c r="AS7" s="41">
        <f>pmtct_T[[D_pmtct_stat_newneg_fy19]:[D_pmtct_stat_newneg_fy19]]*pmtct_T[A_hts_tst_pmtctanc_1014_f_neg]</f>
        <v>0</v>
      </c>
      <c r="AT7" s="41">
        <f>pmtct_T[[D_pmtct_stat_newneg_fy19]:[D_pmtct_stat_newneg_fy19]]*pmtct_T[A_hts_tst_pmtctanc_1519_f_neg]</f>
        <v>0</v>
      </c>
      <c r="AU7" s="41">
        <f>pmtct_T[[D_pmtct_stat_newneg_fy19]:[D_pmtct_stat_newneg_fy19]]*pmtct_T[A_hts_tst_pmtctanc_2024_f_neg]</f>
        <v>0</v>
      </c>
      <c r="AV7" s="41">
        <f>pmtct_T[[D_pmtct_stat_newneg_fy19]:[D_pmtct_stat_newneg_fy19]]*pmtct_T[A_hts_tst_pmtctanc_2529_f_neg]</f>
        <v>0</v>
      </c>
      <c r="AW7" s="41">
        <f>pmtct_T[[D_pmtct_stat_newneg_fy19]:[D_pmtct_stat_newneg_fy19]]*pmtct_T[A_hts_tst_pmtctanc_3034_f_neg]</f>
        <v>0</v>
      </c>
      <c r="AX7" s="41">
        <f>pmtct_T[[D_pmtct_stat_newneg_fy19]:[D_pmtct_stat_newneg_fy19]]*pmtct_T[A_hts_tst_pmtctanc_3539_f_neg]</f>
        <v>0</v>
      </c>
      <c r="AY7" s="41">
        <f>pmtct_T[[D_pmtct_stat_newneg_fy19]:[D_pmtct_stat_newneg_fy19]]*pmtct_T[A_hts_tst_pmtctanc_4049_f_neg]</f>
        <v>0</v>
      </c>
      <c r="AZ7" s="41">
        <f>pmtct_T[[D_pmtct_stat_newneg_fy19]:[D_pmtct_stat_newneg_fy19]]*pmtct_T[A_hts_tst_pmtctanc_o50_f_neg]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</row>
    <row r="10" spans="1:66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D10" s="19"/>
      <c r="AE10" s="19"/>
      <c r="AF10" s="19"/>
      <c r="AG10" s="19"/>
      <c r="AH10" s="19"/>
      <c r="AI10" s="19"/>
      <c r="AJ10" s="19"/>
      <c r="AQ10" s="19"/>
      <c r="AR10" s="19"/>
      <c r="AS10" s="19"/>
    </row>
    <row r="11" spans="1:66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</row>
    <row r="12" spans="1:66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D12" s="56"/>
      <c r="AE12" s="56"/>
      <c r="AF12" s="56"/>
      <c r="AG12" s="56"/>
      <c r="AH12" s="56"/>
      <c r="AI12" s="56"/>
      <c r="AJ12" s="56"/>
      <c r="AQ12" s="56"/>
      <c r="AR12" s="56"/>
      <c r="AS12" s="56"/>
    </row>
    <row r="13" spans="1:66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D13" s="56"/>
      <c r="AE13" s="56"/>
      <c r="AF13" s="56"/>
      <c r="AG13" s="56"/>
      <c r="AH13" s="56"/>
      <c r="AI13" s="56"/>
      <c r="AJ13" s="56"/>
      <c r="AQ13" s="56"/>
      <c r="AR13" s="56"/>
      <c r="AS13" s="56"/>
    </row>
    <row r="14" spans="1:66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D14" s="56"/>
      <c r="AE14" s="56"/>
      <c r="AF14" s="56"/>
      <c r="AG14" s="56"/>
      <c r="AH14" s="56"/>
      <c r="AI14" s="56"/>
      <c r="AJ14" s="56"/>
      <c r="AQ14" s="56"/>
      <c r="AR14" s="56"/>
      <c r="AS14" s="56"/>
    </row>
    <row r="15" spans="1:66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D15" s="56"/>
      <c r="AE15" s="56"/>
      <c r="AF15" s="56"/>
      <c r="AG15" s="56"/>
      <c r="AH15" s="56"/>
      <c r="AI15" s="56"/>
      <c r="AJ15" s="56"/>
      <c r="AQ15" s="56"/>
      <c r="AR15" s="56"/>
      <c r="AS15" s="56"/>
    </row>
    <row r="16" spans="1:66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D16" s="56"/>
      <c r="AE16" s="56"/>
      <c r="AF16" s="56"/>
      <c r="AG16" s="56"/>
      <c r="AH16" s="56"/>
      <c r="AI16" s="56"/>
      <c r="AJ16" s="56"/>
      <c r="AQ16" s="56"/>
      <c r="AR16" s="56"/>
      <c r="AS16" s="56"/>
    </row>
    <row r="17" spans="1:4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D17" s="56"/>
      <c r="AE17" s="56"/>
      <c r="AF17" s="56"/>
      <c r="AG17" s="56"/>
      <c r="AH17" s="56"/>
      <c r="AI17" s="56"/>
      <c r="AJ17" s="56"/>
      <c r="AQ17" s="56"/>
      <c r="AR17" s="56"/>
      <c r="AS17" s="56"/>
    </row>
    <row r="18" spans="1:4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D18" s="56"/>
      <c r="AE18" s="56"/>
      <c r="AF18" s="56"/>
      <c r="AG18" s="56"/>
      <c r="AH18" s="56"/>
      <c r="AI18" s="56"/>
      <c r="AJ18" s="56"/>
      <c r="AQ18" s="56"/>
      <c r="AR18" s="56"/>
      <c r="AS18" s="56"/>
    </row>
    <row r="19" spans="1:4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D19" s="56"/>
      <c r="AE19" s="56"/>
      <c r="AF19" s="56"/>
      <c r="AG19" s="56"/>
      <c r="AH19" s="56"/>
      <c r="AI19" s="56"/>
      <c r="AJ19" s="56"/>
      <c r="AQ19" s="56"/>
      <c r="AR19" s="56"/>
      <c r="AS19" s="56"/>
    </row>
    <row r="20" spans="1:4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D20" s="56"/>
      <c r="AE20" s="56"/>
      <c r="AF20" s="56"/>
      <c r="AG20" s="56"/>
      <c r="AH20" s="56"/>
      <c r="AI20" s="56"/>
      <c r="AJ20" s="56"/>
      <c r="AQ20" s="56"/>
      <c r="AR20" s="56"/>
      <c r="AS20" s="56"/>
    </row>
    <row r="21" spans="1:4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D21" s="56"/>
      <c r="AE21" s="56"/>
      <c r="AF21" s="56"/>
      <c r="AG21" s="56"/>
      <c r="AH21" s="56"/>
      <c r="AI21" s="56"/>
      <c r="AJ21" s="56"/>
      <c r="AQ21" s="56"/>
      <c r="AR21" s="56"/>
      <c r="AS21" s="56"/>
    </row>
    <row r="22" spans="1:4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D22" s="56"/>
      <c r="AE22" s="56"/>
      <c r="AF22" s="56"/>
      <c r="AG22" s="56"/>
      <c r="AH22" s="56"/>
      <c r="AI22" s="56"/>
      <c r="AJ22" s="56"/>
      <c r="AQ22" s="56"/>
      <c r="AR22" s="56"/>
      <c r="AS22" s="56"/>
    </row>
    <row r="23" spans="1:4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D23" s="56"/>
      <c r="AE23" s="56"/>
      <c r="AF23" s="56"/>
      <c r="AG23" s="56"/>
      <c r="AH23" s="56"/>
      <c r="AI23" s="56"/>
      <c r="AJ23" s="56"/>
      <c r="AQ23" s="56"/>
      <c r="AR23" s="56"/>
      <c r="AS23" s="56"/>
    </row>
    <row r="24" spans="1:4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D24" s="56"/>
      <c r="AE24" s="56"/>
      <c r="AF24" s="56"/>
      <c r="AG24" s="56"/>
      <c r="AH24" s="56"/>
      <c r="AI24" s="56"/>
      <c r="AJ24" s="56"/>
      <c r="AQ24" s="56"/>
      <c r="AR24" s="56"/>
      <c r="AS24" s="56"/>
    </row>
    <row r="25" spans="1:4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D25" s="56"/>
      <c r="AE25" s="56"/>
      <c r="AF25" s="56"/>
      <c r="AG25" s="56"/>
      <c r="AH25" s="56"/>
      <c r="AI25" s="56"/>
      <c r="AJ25" s="56"/>
      <c r="AQ25" s="56"/>
      <c r="AR25" s="56"/>
      <c r="AS25" s="56"/>
    </row>
    <row r="26" spans="1:4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D26" s="56"/>
      <c r="AE26" s="56"/>
      <c r="AF26" s="56"/>
      <c r="AG26" s="56"/>
      <c r="AH26" s="56"/>
      <c r="AI26" s="56"/>
      <c r="AJ26" s="56"/>
      <c r="AQ26" s="56"/>
      <c r="AR26" s="56"/>
      <c r="AS26" s="56"/>
    </row>
    <row r="27" spans="1:4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D27" s="56"/>
      <c r="AE27" s="56"/>
      <c r="AF27" s="56"/>
      <c r="AG27" s="56"/>
      <c r="AH27" s="56"/>
      <c r="AI27" s="56"/>
      <c r="AJ27" s="56"/>
      <c r="AQ27" s="56"/>
      <c r="AR27" s="56"/>
      <c r="AS27" s="56"/>
    </row>
    <row r="28" spans="1:4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D28" s="56"/>
      <c r="AE28" s="56"/>
      <c r="AF28" s="56"/>
      <c r="AG28" s="56"/>
      <c r="AH28" s="56"/>
      <c r="AI28" s="56"/>
      <c r="AJ28" s="56"/>
      <c r="AQ28" s="56"/>
      <c r="AR28" s="56"/>
      <c r="AS28" s="56"/>
    </row>
    <row r="29" spans="1:4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D29" s="56"/>
      <c r="AE29" s="56"/>
      <c r="AF29" s="56"/>
      <c r="AG29" s="56"/>
      <c r="AH29" s="56"/>
      <c r="AI29" s="56"/>
      <c r="AJ29" s="56"/>
      <c r="AQ29" s="56"/>
      <c r="AR29" s="56"/>
      <c r="AS29" s="56"/>
    </row>
    <row r="30" spans="1:4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D30" s="56"/>
      <c r="AE30" s="56"/>
      <c r="AF30" s="56"/>
      <c r="AG30" s="56"/>
      <c r="AH30" s="56"/>
      <c r="AI30" s="56"/>
      <c r="AJ30" s="56"/>
      <c r="AQ30" s="56"/>
      <c r="AR30" s="56"/>
      <c r="AS30" s="56"/>
    </row>
    <row r="31" spans="1:4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D31" s="56"/>
      <c r="AE31" s="56"/>
      <c r="AF31" s="56"/>
      <c r="AG31" s="56"/>
      <c r="AH31" s="56"/>
      <c r="AI31" s="56"/>
      <c r="AJ31" s="56"/>
      <c r="AQ31" s="56"/>
      <c r="AR31" s="56"/>
      <c r="AS31" s="56"/>
    </row>
    <row r="32" spans="1:4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D32" s="56"/>
      <c r="AE32" s="56"/>
      <c r="AF32" s="56"/>
      <c r="AG32" s="56"/>
      <c r="AH32" s="56"/>
      <c r="AI32" s="56"/>
      <c r="AJ32" s="56"/>
      <c r="AQ32" s="56"/>
      <c r="AR32" s="56"/>
      <c r="AS32" s="56"/>
    </row>
    <row r="33" spans="1:4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D33" s="56"/>
      <c r="AE33" s="56"/>
      <c r="AF33" s="56"/>
      <c r="AG33" s="56"/>
      <c r="AH33" s="56"/>
      <c r="AI33" s="56"/>
      <c r="AJ33" s="56"/>
      <c r="AQ33" s="56"/>
      <c r="AR33" s="56"/>
      <c r="AS33" s="56"/>
    </row>
    <row r="34" spans="1:4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D34" s="56"/>
      <c r="AE34" s="56"/>
      <c r="AF34" s="56"/>
      <c r="AG34" s="56"/>
      <c r="AH34" s="56"/>
      <c r="AI34" s="56"/>
      <c r="AJ34" s="56"/>
      <c r="AQ34" s="56"/>
      <c r="AR34" s="56"/>
      <c r="AS34" s="56"/>
    </row>
    <row r="35" spans="1:4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D35" s="56"/>
      <c r="AE35" s="56"/>
      <c r="AF35" s="56"/>
      <c r="AG35" s="56"/>
      <c r="AH35" s="56"/>
      <c r="AI35" s="56"/>
      <c r="AJ35" s="56"/>
      <c r="AQ35" s="56"/>
      <c r="AR35" s="56"/>
      <c r="AS35" s="56"/>
    </row>
    <row r="36" spans="1:4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D36" s="56"/>
      <c r="AE36" s="56"/>
      <c r="AF36" s="56"/>
      <c r="AG36" s="56"/>
      <c r="AH36" s="56"/>
      <c r="AI36" s="56"/>
      <c r="AJ36" s="56"/>
      <c r="AQ36" s="56"/>
      <c r="AR36" s="56"/>
      <c r="AS36" s="56"/>
    </row>
    <row r="37" spans="1:4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D37" s="56"/>
      <c r="AE37" s="56"/>
      <c r="AF37" s="56"/>
      <c r="AG37" s="56"/>
      <c r="AH37" s="56"/>
      <c r="AI37" s="56"/>
      <c r="AJ37" s="56"/>
      <c r="AQ37" s="56"/>
      <c r="AR37" s="56"/>
      <c r="AS37" s="56"/>
    </row>
    <row r="38" spans="1:4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D38" s="56"/>
      <c r="AE38" s="56"/>
      <c r="AF38" s="56"/>
      <c r="AG38" s="56"/>
      <c r="AH38" s="56"/>
      <c r="AI38" s="56"/>
      <c r="AJ38" s="56"/>
      <c r="AQ38" s="56"/>
      <c r="AR38" s="56"/>
      <c r="AS38" s="56"/>
    </row>
    <row r="39" spans="1:4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D39" s="56"/>
      <c r="AE39" s="56"/>
      <c r="AF39" s="56"/>
      <c r="AG39" s="56"/>
      <c r="AH39" s="56"/>
      <c r="AI39" s="56"/>
      <c r="AJ39" s="56"/>
      <c r="AQ39" s="56"/>
      <c r="AR39" s="56"/>
      <c r="AS39" s="56"/>
    </row>
    <row r="40" spans="1:4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D40" s="56"/>
      <c r="AE40" s="56"/>
      <c r="AF40" s="56"/>
      <c r="AG40" s="56"/>
      <c r="AH40" s="56"/>
      <c r="AI40" s="56"/>
      <c r="AJ40" s="56"/>
      <c r="AQ40" s="56"/>
      <c r="AR40" s="56"/>
      <c r="AS40" s="56"/>
    </row>
    <row r="41" spans="1:4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D41" s="56"/>
      <c r="AE41" s="56"/>
      <c r="AF41" s="56"/>
      <c r="AG41" s="56"/>
      <c r="AH41" s="56"/>
      <c r="AI41" s="56"/>
      <c r="AJ41" s="56"/>
      <c r="AQ41" s="56"/>
      <c r="AR41" s="56"/>
      <c r="AS41" s="56"/>
    </row>
    <row r="42" spans="1:4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D42" s="56"/>
      <c r="AE42" s="56"/>
      <c r="AF42" s="56"/>
      <c r="AG42" s="56"/>
      <c r="AH42" s="56"/>
      <c r="AI42" s="56"/>
      <c r="AJ42" s="56"/>
      <c r="AQ42" s="56"/>
      <c r="AR42" s="56"/>
      <c r="AS42" s="56"/>
    </row>
    <row r="43" spans="1:4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D43" s="56"/>
      <c r="AE43" s="56"/>
      <c r="AF43" s="56"/>
      <c r="AG43" s="56"/>
      <c r="AH43" s="56"/>
      <c r="AI43" s="56"/>
      <c r="AJ43" s="56"/>
      <c r="AQ43" s="56"/>
      <c r="AR43" s="56"/>
      <c r="AS43" s="56"/>
    </row>
    <row r="44" spans="1:4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D44" s="56"/>
      <c r="AE44" s="56"/>
      <c r="AF44" s="56"/>
      <c r="AG44" s="56"/>
      <c r="AH44" s="56"/>
      <c r="AI44" s="56"/>
      <c r="AJ44" s="56"/>
      <c r="AQ44" s="56"/>
      <c r="AR44" s="56"/>
      <c r="AS44" s="56"/>
    </row>
    <row r="45" spans="1:4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D45" s="56"/>
      <c r="AE45" s="56"/>
      <c r="AF45" s="56"/>
      <c r="AG45" s="56"/>
      <c r="AH45" s="56"/>
      <c r="AI45" s="56"/>
      <c r="AJ45" s="56"/>
      <c r="AQ45" s="56"/>
      <c r="AR45" s="56"/>
      <c r="AS45" s="56"/>
    </row>
    <row r="46" spans="1:4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D46" s="56"/>
      <c r="AE46" s="56"/>
      <c r="AF46" s="56"/>
      <c r="AG46" s="56"/>
      <c r="AH46" s="56"/>
      <c r="AI46" s="56"/>
      <c r="AJ46" s="56"/>
      <c r="AQ46" s="56"/>
      <c r="AR46" s="56"/>
      <c r="AS46" s="56"/>
    </row>
    <row r="47" spans="1:4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D47" s="56"/>
      <c r="AE47" s="56"/>
      <c r="AF47" s="56"/>
      <c r="AG47" s="56"/>
      <c r="AH47" s="56"/>
      <c r="AI47" s="56"/>
      <c r="AJ47" s="56"/>
      <c r="AQ47" s="56"/>
      <c r="AR47" s="56"/>
      <c r="AS47" s="56"/>
    </row>
    <row r="48" spans="1:4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D48" s="56"/>
      <c r="AE48" s="56"/>
      <c r="AF48" s="56"/>
      <c r="AG48" s="56"/>
      <c r="AH48" s="56"/>
      <c r="AI48" s="56"/>
      <c r="AJ48" s="56"/>
      <c r="AQ48" s="56"/>
      <c r="AR48" s="56"/>
      <c r="AS48" s="56"/>
    </row>
    <row r="49" spans="1:4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D49" s="56"/>
      <c r="AE49" s="56"/>
      <c r="AF49" s="56"/>
      <c r="AG49" s="56"/>
      <c r="AH49" s="56"/>
      <c r="AI49" s="56"/>
      <c r="AJ49" s="56"/>
      <c r="AQ49" s="56"/>
      <c r="AR49" s="56"/>
      <c r="AS49" s="56"/>
    </row>
    <row r="50" spans="1:4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D50" s="56"/>
      <c r="AE50" s="56"/>
      <c r="AF50" s="56"/>
      <c r="AG50" s="56"/>
      <c r="AH50" s="56"/>
      <c r="AI50" s="56"/>
      <c r="AJ50" s="56"/>
      <c r="AQ50" s="56"/>
      <c r="AR50" s="56"/>
      <c r="AS50" s="56"/>
    </row>
    <row r="51" spans="1:4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D51" s="56"/>
      <c r="AE51" s="56"/>
      <c r="AF51" s="56"/>
      <c r="AG51" s="56"/>
      <c r="AH51" s="56"/>
      <c r="AI51" s="56"/>
      <c r="AJ51" s="56"/>
      <c r="AQ51" s="56"/>
      <c r="AR51" s="56"/>
      <c r="AS51" s="56"/>
    </row>
    <row r="52" spans="1:4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D52" s="56"/>
      <c r="AE52" s="56"/>
      <c r="AF52" s="56"/>
      <c r="AG52" s="56"/>
      <c r="AH52" s="56"/>
      <c r="AI52" s="56"/>
      <c r="AJ52" s="56"/>
      <c r="AQ52" s="56"/>
      <c r="AR52" s="56"/>
      <c r="AS52" s="56"/>
    </row>
    <row r="53" spans="1:4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D53" s="56"/>
      <c r="AE53" s="56"/>
      <c r="AF53" s="56"/>
      <c r="AG53" s="56"/>
      <c r="AH53" s="56"/>
      <c r="AI53" s="56"/>
      <c r="AJ53" s="56"/>
      <c r="AQ53" s="56"/>
      <c r="AR53" s="56"/>
      <c r="AS53" s="56"/>
    </row>
    <row r="54" spans="1:4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D54" s="56"/>
      <c r="AE54" s="56"/>
      <c r="AF54" s="56"/>
      <c r="AG54" s="56"/>
      <c r="AH54" s="56"/>
      <c r="AI54" s="56"/>
      <c r="AJ54" s="56"/>
      <c r="AQ54" s="56"/>
      <c r="AR54" s="56"/>
      <c r="AS54" s="56"/>
    </row>
    <row r="55" spans="1:4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D55" s="56"/>
      <c r="AE55" s="56"/>
      <c r="AF55" s="56"/>
      <c r="AG55" s="56"/>
      <c r="AH55" s="56"/>
      <c r="AI55" s="56"/>
      <c r="AJ55" s="56"/>
      <c r="AQ55" s="56"/>
      <c r="AR55" s="56"/>
      <c r="AS55" s="56"/>
    </row>
    <row r="56" spans="1:4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D56" s="56"/>
      <c r="AE56" s="56"/>
      <c r="AF56" s="56"/>
      <c r="AG56" s="56"/>
      <c r="AH56" s="56"/>
      <c r="AI56" s="56"/>
      <c r="AJ56" s="56"/>
      <c r="AQ56" s="56"/>
      <c r="AR56" s="56"/>
      <c r="AS56" s="56"/>
    </row>
    <row r="57" spans="1:4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D57" s="56"/>
      <c r="AE57" s="56"/>
      <c r="AF57" s="56"/>
      <c r="AG57" s="56"/>
      <c r="AH57" s="56"/>
      <c r="AI57" s="56"/>
      <c r="AJ57" s="56"/>
      <c r="AQ57" s="56"/>
      <c r="AR57" s="56"/>
      <c r="AS57" s="56"/>
    </row>
    <row r="58" spans="1:4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D58" s="56"/>
      <c r="AE58" s="56"/>
      <c r="AF58" s="56"/>
      <c r="AG58" s="56"/>
      <c r="AH58" s="56"/>
      <c r="AI58" s="56"/>
      <c r="AJ58" s="56"/>
      <c r="AQ58" s="56"/>
      <c r="AR58" s="56"/>
      <c r="AS58" s="56"/>
    </row>
    <row r="59" spans="1:4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D59" s="56"/>
      <c r="AE59" s="56"/>
      <c r="AF59" s="56"/>
      <c r="AG59" s="56"/>
      <c r="AH59" s="56"/>
      <c r="AI59" s="56"/>
      <c r="AJ59" s="56"/>
      <c r="AQ59" s="56"/>
      <c r="AR59" s="56"/>
      <c r="AS59" s="56"/>
    </row>
    <row r="60" spans="1:4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D60" s="56"/>
      <c r="AE60" s="56"/>
      <c r="AF60" s="56"/>
      <c r="AG60" s="56"/>
      <c r="AH60" s="56"/>
      <c r="AI60" s="56"/>
      <c r="AJ60" s="56"/>
      <c r="AQ60" s="56"/>
      <c r="AR60" s="56"/>
      <c r="AS60" s="56"/>
    </row>
    <row r="61" spans="1:4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D61" s="56"/>
      <c r="AE61" s="56"/>
      <c r="AF61" s="56"/>
      <c r="AG61" s="56"/>
      <c r="AH61" s="56"/>
      <c r="AI61" s="56"/>
      <c r="AJ61" s="56"/>
      <c r="AQ61" s="56"/>
      <c r="AR61" s="56"/>
      <c r="AS61" s="56"/>
    </row>
    <row r="62" spans="1:4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D62" s="56"/>
      <c r="AE62" s="56"/>
      <c r="AF62" s="56"/>
      <c r="AG62" s="56"/>
      <c r="AH62" s="56"/>
      <c r="AI62" s="56"/>
      <c r="AJ62" s="56"/>
      <c r="AQ62" s="56"/>
      <c r="AR62" s="56"/>
      <c r="AS62" s="56"/>
    </row>
    <row r="63" spans="1:4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D63" s="56"/>
      <c r="AE63" s="56"/>
      <c r="AF63" s="56"/>
      <c r="AG63" s="56"/>
      <c r="AH63" s="56"/>
      <c r="AI63" s="56"/>
      <c r="AJ63" s="56"/>
      <c r="AQ63" s="56"/>
      <c r="AR63" s="56"/>
      <c r="AS63" s="56"/>
    </row>
    <row r="64" spans="1:4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D64" s="56"/>
      <c r="AE64" s="56"/>
      <c r="AF64" s="56"/>
      <c r="AG64" s="56"/>
      <c r="AH64" s="56"/>
      <c r="AI64" s="56"/>
      <c r="AJ64" s="56"/>
      <c r="AQ64" s="56"/>
      <c r="AR64" s="56"/>
      <c r="AS64" s="56"/>
    </row>
    <row r="65" spans="1:4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D65" s="56"/>
      <c r="AE65" s="56"/>
      <c r="AF65" s="56"/>
      <c r="AG65" s="56"/>
      <c r="AH65" s="56"/>
      <c r="AI65" s="56"/>
      <c r="AJ65" s="56"/>
      <c r="AQ65" s="56"/>
      <c r="AR65" s="56"/>
      <c r="AS65" s="56"/>
    </row>
    <row r="66" spans="1:4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D66" s="56"/>
      <c r="AE66" s="56"/>
      <c r="AF66" s="56"/>
      <c r="AG66" s="56"/>
      <c r="AH66" s="56"/>
      <c r="AI66" s="56"/>
      <c r="AJ66" s="56"/>
      <c r="AQ66" s="56"/>
      <c r="AR66" s="56"/>
      <c r="AS66" s="56"/>
    </row>
    <row r="67" spans="1:4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D67" s="56"/>
      <c r="AE67" s="56"/>
      <c r="AF67" s="56"/>
      <c r="AG67" s="56"/>
      <c r="AH67" s="56"/>
      <c r="AI67" s="56"/>
      <c r="AJ67" s="56"/>
      <c r="AQ67" s="56"/>
      <c r="AR67" s="56"/>
      <c r="AS67" s="56"/>
    </row>
    <row r="68" spans="1:4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D68" s="56"/>
      <c r="AE68" s="56"/>
      <c r="AF68" s="56"/>
      <c r="AG68" s="56"/>
      <c r="AH68" s="56"/>
      <c r="AI68" s="56"/>
      <c r="AJ68" s="56"/>
      <c r="AQ68" s="56"/>
      <c r="AR68" s="56"/>
      <c r="AS68" s="56"/>
    </row>
    <row r="69" spans="1:4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D69" s="56"/>
      <c r="AE69" s="56"/>
      <c r="AF69" s="56"/>
      <c r="AG69" s="56"/>
      <c r="AH69" s="56"/>
      <c r="AI69" s="56"/>
      <c r="AJ69" s="56"/>
      <c r="AQ69" s="56"/>
      <c r="AR69" s="56"/>
      <c r="AS69" s="56"/>
    </row>
    <row r="70" spans="1:4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D70" s="56"/>
      <c r="AE70" s="56"/>
      <c r="AF70" s="56"/>
      <c r="AG70" s="56"/>
      <c r="AH70" s="56"/>
      <c r="AI70" s="56"/>
      <c r="AJ70" s="56"/>
      <c r="AQ70" s="56"/>
      <c r="AR70" s="56"/>
      <c r="AS70" s="56"/>
    </row>
    <row r="71" spans="1:4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D71" s="56"/>
      <c r="AE71" s="56"/>
      <c r="AF71" s="56"/>
      <c r="AG71" s="56"/>
      <c r="AH71" s="56"/>
      <c r="AI71" s="56"/>
      <c r="AJ71" s="56"/>
      <c r="AQ71" s="56"/>
      <c r="AR71" s="56"/>
      <c r="AS71" s="56"/>
    </row>
    <row r="72" spans="1:4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D72" s="56"/>
      <c r="AE72" s="56"/>
      <c r="AF72" s="56"/>
      <c r="AG72" s="56"/>
      <c r="AH72" s="56"/>
      <c r="AI72" s="56"/>
      <c r="AJ72" s="56"/>
      <c r="AQ72" s="56"/>
      <c r="AR72" s="56"/>
      <c r="AS72" s="56"/>
    </row>
    <row r="73" spans="1:4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D73" s="56"/>
      <c r="AE73" s="56"/>
      <c r="AF73" s="56"/>
      <c r="AG73" s="56"/>
      <c r="AH73" s="56"/>
      <c r="AI73" s="56"/>
      <c r="AJ73" s="56"/>
      <c r="AQ73" s="56"/>
      <c r="AR73" s="56"/>
      <c r="AS73" s="56"/>
    </row>
    <row r="74" spans="1:4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D74" s="56"/>
      <c r="AE74" s="56"/>
      <c r="AF74" s="56"/>
      <c r="AG74" s="56"/>
      <c r="AH74" s="56"/>
      <c r="AI74" s="56"/>
      <c r="AJ74" s="56"/>
      <c r="AQ74" s="56"/>
      <c r="AR74" s="56"/>
      <c r="AS74" s="56"/>
    </row>
    <row r="75" spans="1:4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D75" s="56"/>
      <c r="AE75" s="56"/>
      <c r="AF75" s="56"/>
      <c r="AG75" s="56"/>
      <c r="AH75" s="56"/>
      <c r="AI75" s="56"/>
      <c r="AJ75" s="56"/>
      <c r="AQ75" s="56"/>
      <c r="AR75" s="56"/>
      <c r="AS75" s="56"/>
    </row>
    <row r="76" spans="1:4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D76" s="56"/>
      <c r="AE76" s="56"/>
      <c r="AF76" s="56"/>
      <c r="AG76" s="56"/>
      <c r="AH76" s="56"/>
      <c r="AI76" s="56"/>
      <c r="AJ76" s="56"/>
      <c r="AQ76" s="56"/>
      <c r="AR76" s="56"/>
      <c r="AS76" s="56"/>
    </row>
    <row r="77" spans="1:4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D77" s="56"/>
      <c r="AE77" s="56"/>
      <c r="AF77" s="56"/>
      <c r="AG77" s="56"/>
      <c r="AH77" s="56"/>
      <c r="AI77" s="56"/>
      <c r="AJ77" s="56"/>
      <c r="AQ77" s="56"/>
      <c r="AR77" s="56"/>
      <c r="AS77" s="56"/>
    </row>
    <row r="78" spans="1:4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D78" s="56"/>
      <c r="AE78" s="56"/>
      <c r="AF78" s="56"/>
      <c r="AG78" s="56"/>
      <c r="AH78" s="56"/>
      <c r="AI78" s="56"/>
      <c r="AJ78" s="56"/>
      <c r="AQ78" s="56"/>
      <c r="AR78" s="56"/>
      <c r="AS78" s="56"/>
    </row>
    <row r="79" spans="1:4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D79" s="56"/>
      <c r="AE79" s="56"/>
      <c r="AF79" s="56"/>
      <c r="AG79" s="56"/>
      <c r="AH79" s="56"/>
      <c r="AI79" s="56"/>
      <c r="AJ79" s="56"/>
      <c r="AQ79" s="56"/>
      <c r="AR79" s="56"/>
      <c r="AS79" s="56"/>
    </row>
    <row r="80" spans="1:4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D80" s="56"/>
      <c r="AE80" s="56"/>
      <c r="AF80" s="56"/>
      <c r="AG80" s="56"/>
      <c r="AH80" s="56"/>
      <c r="AI80" s="56"/>
      <c r="AJ80" s="56"/>
      <c r="AQ80" s="56"/>
      <c r="AR80" s="56"/>
      <c r="AS80" s="56"/>
    </row>
    <row r="81" spans="1:4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D81" s="56"/>
      <c r="AE81" s="56"/>
      <c r="AF81" s="56"/>
      <c r="AG81" s="56"/>
      <c r="AH81" s="56"/>
      <c r="AI81" s="56"/>
      <c r="AJ81" s="56"/>
      <c r="AQ81" s="56"/>
      <c r="AR81" s="56"/>
      <c r="AS81" s="56"/>
    </row>
    <row r="82" spans="1:4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D82" s="56"/>
      <c r="AE82" s="56"/>
      <c r="AF82" s="56"/>
      <c r="AG82" s="56"/>
      <c r="AH82" s="56"/>
      <c r="AI82" s="56"/>
      <c r="AJ82" s="56"/>
      <c r="AQ82" s="56"/>
      <c r="AR82" s="56"/>
      <c r="AS82" s="56"/>
    </row>
    <row r="83" spans="1:4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D83" s="56"/>
      <c r="AE83" s="56"/>
      <c r="AF83" s="56"/>
      <c r="AG83" s="56"/>
      <c r="AH83" s="56"/>
      <c r="AI83" s="56"/>
      <c r="AJ83" s="56"/>
      <c r="AQ83" s="56"/>
      <c r="AR83" s="56"/>
      <c r="AS83" s="56"/>
    </row>
    <row r="84" spans="1:4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D84" s="56"/>
      <c r="AE84" s="56"/>
      <c r="AF84" s="56"/>
      <c r="AG84" s="56"/>
      <c r="AH84" s="56"/>
      <c r="AI84" s="56"/>
      <c r="AJ84" s="56"/>
      <c r="AQ84" s="56"/>
      <c r="AR84" s="56"/>
      <c r="AS84" s="56"/>
    </row>
    <row r="85" spans="1:4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D85" s="56"/>
      <c r="AE85" s="56"/>
      <c r="AF85" s="56"/>
      <c r="AG85" s="56"/>
      <c r="AH85" s="56"/>
      <c r="AI85" s="56"/>
      <c r="AJ85" s="56"/>
      <c r="AQ85" s="56"/>
      <c r="AR85" s="56"/>
      <c r="AS85" s="56"/>
    </row>
    <row r="86" spans="1:4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D86" s="56"/>
      <c r="AE86" s="56"/>
      <c r="AF86" s="56"/>
      <c r="AG86" s="56"/>
      <c r="AH86" s="56"/>
      <c r="AI86" s="56"/>
      <c r="AJ86" s="56"/>
      <c r="AQ86" s="56"/>
      <c r="AR86" s="56"/>
      <c r="AS86" s="56"/>
    </row>
    <row r="87" spans="1:4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D87" s="56"/>
      <c r="AE87" s="56"/>
      <c r="AF87" s="56"/>
      <c r="AG87" s="56"/>
      <c r="AH87" s="56"/>
      <c r="AI87" s="56"/>
      <c r="AJ87" s="56"/>
      <c r="AQ87" s="56"/>
      <c r="AR87" s="56"/>
      <c r="AS87" s="56"/>
    </row>
    <row r="88" spans="1:4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D88" s="56"/>
      <c r="AE88" s="56"/>
      <c r="AF88" s="56"/>
      <c r="AG88" s="56"/>
      <c r="AH88" s="56"/>
      <c r="AI88" s="56"/>
      <c r="AJ88" s="56"/>
      <c r="AQ88" s="56"/>
      <c r="AR88" s="56"/>
      <c r="AS88" s="56"/>
    </row>
    <row r="89" spans="1:4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D89" s="56"/>
      <c r="AE89" s="56"/>
      <c r="AF89" s="56"/>
      <c r="AG89" s="56"/>
      <c r="AH89" s="56"/>
      <c r="AI89" s="56"/>
      <c r="AJ89" s="56"/>
      <c r="AQ89" s="56"/>
      <c r="AR89" s="56"/>
      <c r="AS89" s="56"/>
    </row>
    <row r="90" spans="1:4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D90" s="56"/>
      <c r="AE90" s="56"/>
      <c r="AF90" s="56"/>
      <c r="AG90" s="56"/>
      <c r="AH90" s="56"/>
      <c r="AI90" s="56"/>
      <c r="AJ90" s="56"/>
      <c r="AQ90" s="56"/>
      <c r="AR90" s="56"/>
      <c r="AS90" s="56"/>
    </row>
    <row r="91" spans="1:4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D91" s="56"/>
      <c r="AE91" s="56"/>
      <c r="AF91" s="56"/>
      <c r="AG91" s="56"/>
      <c r="AH91" s="56"/>
      <c r="AI91" s="56"/>
      <c r="AJ91" s="56"/>
      <c r="AQ91" s="56"/>
      <c r="AR91" s="56"/>
      <c r="AS91" s="56"/>
    </row>
    <row r="92" spans="1:4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D92" s="56"/>
      <c r="AE92" s="56"/>
      <c r="AF92" s="56"/>
      <c r="AG92" s="56"/>
      <c r="AH92" s="56"/>
      <c r="AI92" s="56"/>
      <c r="AJ92" s="56"/>
      <c r="AQ92" s="56"/>
      <c r="AR92" s="56"/>
      <c r="AS92" s="56"/>
    </row>
    <row r="93" spans="1:4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D93" s="56"/>
      <c r="AE93" s="56"/>
      <c r="AF93" s="56"/>
      <c r="AG93" s="56"/>
      <c r="AH93" s="56"/>
      <c r="AI93" s="56"/>
      <c r="AJ93" s="56"/>
      <c r="AQ93" s="56"/>
      <c r="AR93" s="56"/>
      <c r="AS93" s="56"/>
    </row>
    <row r="94" spans="1:4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D94" s="56"/>
      <c r="AE94" s="56"/>
      <c r="AF94" s="56"/>
      <c r="AG94" s="56"/>
      <c r="AH94" s="56"/>
      <c r="AI94" s="56"/>
      <c r="AJ94" s="56"/>
      <c r="AQ94" s="56"/>
      <c r="AR94" s="56"/>
      <c r="AS94" s="56"/>
    </row>
    <row r="95" spans="1:4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D95" s="56"/>
      <c r="AE95" s="56"/>
      <c r="AF95" s="56"/>
      <c r="AG95" s="56"/>
      <c r="AH95" s="56"/>
      <c r="AI95" s="56"/>
      <c r="AJ95" s="56"/>
      <c r="AQ95" s="56"/>
      <c r="AR95" s="56"/>
      <c r="AS95" s="56"/>
    </row>
    <row r="96" spans="1:4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D96" s="56"/>
      <c r="AE96" s="56"/>
      <c r="AF96" s="56"/>
      <c r="AG96" s="56"/>
      <c r="AH96" s="56"/>
      <c r="AI96" s="56"/>
      <c r="AJ96" s="56"/>
      <c r="AQ96" s="56"/>
      <c r="AR96" s="56"/>
      <c r="AS96" s="56"/>
    </row>
    <row r="97" spans="1:4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D97" s="56"/>
      <c r="AE97" s="56"/>
      <c r="AF97" s="56"/>
      <c r="AG97" s="56"/>
      <c r="AH97" s="56"/>
      <c r="AI97" s="56"/>
      <c r="AJ97" s="56"/>
      <c r="AQ97" s="56"/>
      <c r="AR97" s="56"/>
      <c r="AS97" s="56"/>
    </row>
    <row r="98" spans="1:4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D98" s="56"/>
      <c r="AE98" s="56"/>
      <c r="AF98" s="56"/>
      <c r="AG98" s="56"/>
      <c r="AH98" s="56"/>
      <c r="AI98" s="56"/>
      <c r="AJ98" s="56"/>
      <c r="AQ98" s="56"/>
      <c r="AR98" s="56"/>
      <c r="AS98" s="56"/>
    </row>
    <row r="99" spans="1:4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D99" s="56"/>
      <c r="AE99" s="56"/>
      <c r="AF99" s="56"/>
      <c r="AG99" s="56"/>
      <c r="AH99" s="56"/>
      <c r="AI99" s="56"/>
      <c r="AJ99" s="56"/>
      <c r="AQ99" s="56"/>
      <c r="AR99" s="56"/>
      <c r="AS99" s="56"/>
    </row>
    <row r="100" spans="1:4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D100" s="56"/>
      <c r="AE100" s="56"/>
      <c r="AF100" s="56"/>
      <c r="AG100" s="56"/>
      <c r="AH100" s="56"/>
      <c r="AI100" s="56"/>
      <c r="AJ100" s="56"/>
      <c r="AQ100" s="56"/>
      <c r="AR100" s="56"/>
      <c r="AS100" s="56"/>
    </row>
    <row r="101" spans="1:4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D101" s="56"/>
      <c r="AE101" s="56"/>
      <c r="AF101" s="56"/>
      <c r="AG101" s="56"/>
      <c r="AH101" s="56"/>
      <c r="AI101" s="56"/>
      <c r="AJ101" s="56"/>
      <c r="AQ101" s="56"/>
      <c r="AR101" s="56"/>
      <c r="AS101" s="56"/>
    </row>
    <row r="102" spans="1:4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D102" s="56"/>
      <c r="AE102" s="56"/>
      <c r="AF102" s="56"/>
      <c r="AG102" s="56"/>
      <c r="AH102" s="56"/>
      <c r="AI102" s="56"/>
      <c r="AJ102" s="56"/>
      <c r="AQ102" s="56"/>
      <c r="AR102" s="56"/>
      <c r="AS102" s="56"/>
    </row>
    <row r="103" spans="1:4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D103" s="56"/>
      <c r="AE103" s="56"/>
      <c r="AF103" s="56"/>
      <c r="AG103" s="56"/>
      <c r="AH103" s="56"/>
      <c r="AI103" s="56"/>
      <c r="AJ103" s="56"/>
      <c r="AQ103" s="56"/>
      <c r="AR103" s="56"/>
      <c r="AS103" s="56"/>
    </row>
    <row r="104" spans="1:4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D104" s="56"/>
      <c r="AE104" s="56"/>
      <c r="AF104" s="56"/>
      <c r="AG104" s="56"/>
      <c r="AH104" s="56"/>
      <c r="AI104" s="56"/>
      <c r="AJ104" s="56"/>
      <c r="AQ104" s="56"/>
      <c r="AR104" s="56"/>
      <c r="AS104" s="56"/>
    </row>
    <row r="105" spans="1:4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D105" s="56"/>
      <c r="AE105" s="56"/>
      <c r="AF105" s="56"/>
      <c r="AG105" s="56"/>
      <c r="AH105" s="56"/>
      <c r="AI105" s="56"/>
      <c r="AJ105" s="56"/>
      <c r="AQ105" s="56"/>
      <c r="AR105" s="56"/>
      <c r="AS105" s="56"/>
    </row>
    <row r="106" spans="1:4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D106" s="56"/>
      <c r="AE106" s="56"/>
      <c r="AF106" s="56"/>
      <c r="AG106" s="56"/>
      <c r="AH106" s="56"/>
      <c r="AI106" s="56"/>
      <c r="AJ106" s="56"/>
      <c r="AQ106" s="56"/>
      <c r="AR106" s="56"/>
      <c r="AS106" s="56"/>
    </row>
    <row r="107" spans="1:4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D107" s="56"/>
      <c r="AE107" s="56"/>
      <c r="AF107" s="56"/>
      <c r="AG107" s="56"/>
      <c r="AH107" s="56"/>
      <c r="AI107" s="56"/>
      <c r="AJ107" s="56"/>
      <c r="AQ107" s="56"/>
      <c r="AR107" s="56"/>
      <c r="AS107" s="56"/>
    </row>
    <row r="108" spans="1:4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D108" s="56"/>
      <c r="AE108" s="56"/>
      <c r="AF108" s="56"/>
      <c r="AG108" s="56"/>
      <c r="AH108" s="56"/>
      <c r="AI108" s="56"/>
      <c r="AJ108" s="56"/>
      <c r="AQ108" s="56"/>
      <c r="AR108" s="56"/>
      <c r="AS108" s="56"/>
    </row>
    <row r="109" spans="1:4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D109" s="56"/>
      <c r="AE109" s="56"/>
      <c r="AF109" s="56"/>
      <c r="AG109" s="56"/>
      <c r="AH109" s="56"/>
      <c r="AI109" s="56"/>
      <c r="AJ109" s="56"/>
      <c r="AQ109" s="56"/>
      <c r="AR109" s="56"/>
      <c r="AS109" s="56"/>
    </row>
    <row r="110" spans="1:4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D110" s="56"/>
      <c r="AE110" s="56"/>
      <c r="AF110" s="56"/>
      <c r="AG110" s="56"/>
      <c r="AH110" s="56"/>
      <c r="AI110" s="56"/>
      <c r="AJ110" s="56"/>
      <c r="AQ110" s="56"/>
      <c r="AR110" s="56"/>
      <c r="AS110" s="56"/>
    </row>
    <row r="111" spans="1:4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D111" s="56"/>
      <c r="AE111" s="56"/>
      <c r="AF111" s="56"/>
      <c r="AG111" s="56"/>
      <c r="AH111" s="56"/>
      <c r="AI111" s="56"/>
      <c r="AJ111" s="56"/>
      <c r="AQ111" s="56"/>
      <c r="AR111" s="56"/>
      <c r="AS111" s="56"/>
    </row>
    <row r="112" spans="1:4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D112" s="56"/>
      <c r="AE112" s="56"/>
      <c r="AF112" s="56"/>
      <c r="AG112" s="56"/>
      <c r="AH112" s="56"/>
      <c r="AI112" s="56"/>
      <c r="AJ112" s="56"/>
      <c r="AQ112" s="56"/>
      <c r="AR112" s="56"/>
      <c r="AS112" s="56"/>
    </row>
    <row r="113" spans="1:4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D113" s="56"/>
      <c r="AE113" s="56"/>
      <c r="AF113" s="56"/>
      <c r="AG113" s="56"/>
      <c r="AH113" s="56"/>
      <c r="AI113" s="56"/>
      <c r="AJ113" s="56"/>
      <c r="AQ113" s="56"/>
      <c r="AR113" s="56"/>
      <c r="AS113" s="56"/>
    </row>
    <row r="114" spans="1:4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D114" s="56"/>
      <c r="AE114" s="56"/>
      <c r="AF114" s="56"/>
      <c r="AG114" s="56"/>
      <c r="AH114" s="56"/>
      <c r="AI114" s="56"/>
      <c r="AJ114" s="56"/>
      <c r="AQ114" s="56"/>
      <c r="AR114" s="56"/>
      <c r="AS114" s="56"/>
    </row>
    <row r="115" spans="1:4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D115" s="56"/>
      <c r="AE115" s="56"/>
      <c r="AF115" s="56"/>
      <c r="AG115" s="56"/>
      <c r="AH115" s="56"/>
      <c r="AI115" s="56"/>
      <c r="AJ115" s="56"/>
      <c r="AQ115" s="56"/>
      <c r="AR115" s="56"/>
      <c r="AS115" s="56"/>
    </row>
    <row r="116" spans="1:4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D116" s="56"/>
      <c r="AE116" s="56"/>
      <c r="AF116" s="56"/>
      <c r="AG116" s="56"/>
      <c r="AH116" s="56"/>
      <c r="AI116" s="56"/>
      <c r="AJ116" s="56"/>
      <c r="AQ116" s="56"/>
      <c r="AR116" s="56"/>
      <c r="AS116" s="56"/>
    </row>
    <row r="117" spans="1:4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D117" s="56"/>
      <c r="AE117" s="56"/>
      <c r="AF117" s="56"/>
      <c r="AG117" s="56"/>
      <c r="AH117" s="56"/>
      <c r="AI117" s="56"/>
      <c r="AJ117" s="56"/>
      <c r="AQ117" s="56"/>
      <c r="AR117" s="56"/>
      <c r="AS117" s="56"/>
    </row>
    <row r="118" spans="1:4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D118" s="56"/>
      <c r="AE118" s="56"/>
      <c r="AF118" s="56"/>
      <c r="AG118" s="56"/>
      <c r="AH118" s="56"/>
      <c r="AI118" s="56"/>
      <c r="AJ118" s="56"/>
      <c r="AQ118" s="56"/>
      <c r="AR118" s="56"/>
      <c r="AS118" s="56"/>
    </row>
    <row r="119" spans="1:4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D119" s="56"/>
      <c r="AE119" s="56"/>
      <c r="AF119" s="56"/>
      <c r="AG119" s="56"/>
      <c r="AH119" s="56"/>
      <c r="AI119" s="56"/>
      <c r="AJ119" s="56"/>
      <c r="AQ119" s="56"/>
      <c r="AR119" s="56"/>
      <c r="AS119" s="56"/>
    </row>
    <row r="120" spans="1:4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D120" s="56"/>
      <c r="AE120" s="56"/>
      <c r="AF120" s="56"/>
      <c r="AG120" s="56"/>
      <c r="AH120" s="56"/>
      <c r="AI120" s="56"/>
      <c r="AJ120" s="56"/>
      <c r="AQ120" s="56"/>
      <c r="AR120" s="56"/>
      <c r="AS120" s="56"/>
    </row>
    <row r="121" spans="1:4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D121" s="56"/>
      <c r="AE121" s="56"/>
      <c r="AF121" s="56"/>
      <c r="AG121" s="56"/>
      <c r="AH121" s="56"/>
      <c r="AI121" s="56"/>
      <c r="AJ121" s="56"/>
      <c r="AQ121" s="56"/>
      <c r="AR121" s="56"/>
      <c r="AS121" s="56"/>
    </row>
    <row r="122" spans="1:4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D122" s="56"/>
      <c r="AE122" s="56"/>
      <c r="AF122" s="56"/>
      <c r="AG122" s="56"/>
      <c r="AH122" s="56"/>
      <c r="AI122" s="56"/>
      <c r="AJ122" s="56"/>
      <c r="AQ122" s="56"/>
      <c r="AR122" s="56"/>
      <c r="AS122" s="56"/>
    </row>
    <row r="123" spans="1:4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D123" s="56"/>
      <c r="AE123" s="56"/>
      <c r="AF123" s="56"/>
      <c r="AG123" s="56"/>
      <c r="AH123" s="56"/>
      <c r="AI123" s="56"/>
      <c r="AJ123" s="56"/>
      <c r="AQ123" s="56"/>
      <c r="AR123" s="56"/>
      <c r="AS123" s="56"/>
    </row>
    <row r="124" spans="1:4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D124" s="56"/>
      <c r="AE124" s="56"/>
      <c r="AF124" s="56"/>
      <c r="AG124" s="56"/>
      <c r="AH124" s="56"/>
      <c r="AI124" s="56"/>
      <c r="AJ124" s="56"/>
      <c r="AQ124" s="56"/>
      <c r="AR124" s="56"/>
      <c r="AS124" s="56"/>
    </row>
    <row r="125" spans="1:4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D125" s="56"/>
      <c r="AE125" s="56"/>
      <c r="AF125" s="56"/>
      <c r="AG125" s="56"/>
      <c r="AH125" s="56"/>
      <c r="AI125" s="56"/>
      <c r="AJ125" s="56"/>
      <c r="AQ125" s="56"/>
      <c r="AR125" s="56"/>
      <c r="AS125" s="56"/>
    </row>
    <row r="126" spans="1:4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D126" s="56"/>
      <c r="AE126" s="56"/>
      <c r="AF126" s="56"/>
      <c r="AG126" s="56"/>
      <c r="AH126" s="56"/>
      <c r="AI126" s="56"/>
      <c r="AJ126" s="56"/>
      <c r="AQ126" s="56"/>
      <c r="AR126" s="56"/>
      <c r="AS126" s="56"/>
    </row>
    <row r="127" spans="1:4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D127" s="56"/>
      <c r="AE127" s="56"/>
      <c r="AF127" s="56"/>
      <c r="AG127" s="56"/>
      <c r="AH127" s="56"/>
      <c r="AI127" s="56"/>
      <c r="AJ127" s="56"/>
      <c r="AQ127" s="56"/>
      <c r="AR127" s="56"/>
      <c r="AS127" s="56"/>
    </row>
    <row r="128" spans="1:4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D128" s="56"/>
      <c r="AE128" s="56"/>
      <c r="AF128" s="56"/>
      <c r="AG128" s="56"/>
      <c r="AH128" s="56"/>
      <c r="AI128" s="56"/>
      <c r="AJ128" s="56"/>
      <c r="AQ128" s="56"/>
      <c r="AR128" s="56"/>
      <c r="AS128" s="56"/>
    </row>
    <row r="129" spans="1:4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D129" s="56"/>
      <c r="AE129" s="56"/>
      <c r="AF129" s="56"/>
      <c r="AG129" s="56"/>
      <c r="AH129" s="56"/>
      <c r="AI129" s="56"/>
      <c r="AJ129" s="56"/>
      <c r="AQ129" s="56"/>
      <c r="AR129" s="56"/>
      <c r="AS129" s="56"/>
    </row>
    <row r="130" spans="1:4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D130" s="56"/>
      <c r="AE130" s="56"/>
      <c r="AF130" s="56"/>
      <c r="AG130" s="56"/>
      <c r="AH130" s="56"/>
      <c r="AI130" s="56"/>
      <c r="AJ130" s="56"/>
      <c r="AQ130" s="56"/>
      <c r="AR130" s="56"/>
      <c r="AS130" s="56"/>
    </row>
    <row r="131" spans="1:4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D131" s="56"/>
      <c r="AE131" s="56"/>
      <c r="AF131" s="56"/>
      <c r="AG131" s="56"/>
      <c r="AH131" s="56"/>
      <c r="AI131" s="56"/>
      <c r="AJ131" s="56"/>
      <c r="AQ131" s="56"/>
      <c r="AR131" s="56"/>
      <c r="AS131" s="56"/>
    </row>
    <row r="132" spans="1:4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D132" s="56"/>
      <c r="AE132" s="56"/>
      <c r="AF132" s="56"/>
      <c r="AG132" s="56"/>
      <c r="AH132" s="56"/>
      <c r="AI132" s="56"/>
      <c r="AJ132" s="56"/>
      <c r="AQ132" s="56"/>
      <c r="AR132" s="56"/>
      <c r="AS132" s="56"/>
    </row>
    <row r="133" spans="1:4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D133" s="56"/>
      <c r="AE133" s="56"/>
      <c r="AF133" s="56"/>
      <c r="AG133" s="56"/>
      <c r="AH133" s="56"/>
      <c r="AI133" s="56"/>
      <c r="AJ133" s="56"/>
      <c r="AQ133" s="56"/>
      <c r="AR133" s="56"/>
      <c r="AS133" s="56"/>
    </row>
    <row r="134" spans="1:4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D134" s="56"/>
      <c r="AE134" s="56"/>
      <c r="AF134" s="56"/>
      <c r="AG134" s="56"/>
      <c r="AH134" s="56"/>
      <c r="AI134" s="56"/>
      <c r="AJ134" s="56"/>
      <c r="AQ134" s="56"/>
      <c r="AR134" s="56"/>
      <c r="AS134" s="56"/>
    </row>
    <row r="135" spans="1:4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D135" s="56"/>
      <c r="AE135" s="56"/>
      <c r="AF135" s="56"/>
      <c r="AG135" s="56"/>
      <c r="AH135" s="56"/>
      <c r="AI135" s="56"/>
      <c r="AJ135" s="56"/>
      <c r="AQ135" s="56"/>
      <c r="AR135" s="56"/>
      <c r="AS135" s="56"/>
    </row>
    <row r="136" spans="1:4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D136" s="56"/>
      <c r="AE136" s="56"/>
      <c r="AF136" s="56"/>
      <c r="AG136" s="56"/>
      <c r="AH136" s="56"/>
      <c r="AI136" s="56"/>
      <c r="AJ136" s="56"/>
      <c r="AQ136" s="56"/>
      <c r="AR136" s="56"/>
      <c r="AS136" s="56"/>
    </row>
    <row r="137" spans="1:4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D137" s="56"/>
      <c r="AE137" s="56"/>
      <c r="AF137" s="56"/>
      <c r="AG137" s="56"/>
      <c r="AH137" s="56"/>
      <c r="AI137" s="56"/>
      <c r="AJ137" s="56"/>
      <c r="AQ137" s="56"/>
      <c r="AR137" s="56"/>
      <c r="AS137" s="56"/>
    </row>
    <row r="138" spans="1:4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D138" s="56"/>
      <c r="AE138" s="56"/>
      <c r="AF138" s="56"/>
      <c r="AG138" s="56"/>
      <c r="AH138" s="56"/>
      <c r="AI138" s="56"/>
      <c r="AJ138" s="56"/>
      <c r="AQ138" s="56"/>
      <c r="AR138" s="56"/>
      <c r="AS138" s="56"/>
    </row>
    <row r="139" spans="1:4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D139" s="56"/>
      <c r="AE139" s="56"/>
      <c r="AF139" s="56"/>
      <c r="AG139" s="56"/>
      <c r="AH139" s="56"/>
      <c r="AI139" s="56"/>
      <c r="AJ139" s="56"/>
      <c r="AQ139" s="56"/>
      <c r="AR139" s="56"/>
      <c r="AS139" s="56"/>
    </row>
    <row r="140" spans="1:4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D140" s="56"/>
      <c r="AE140" s="56"/>
      <c r="AF140" s="56"/>
      <c r="AG140" s="56"/>
      <c r="AH140" s="56"/>
      <c r="AI140" s="56"/>
      <c r="AJ140" s="56"/>
      <c r="AQ140" s="56"/>
      <c r="AR140" s="56"/>
      <c r="AS140" s="56"/>
    </row>
    <row r="141" spans="1:4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D141" s="56"/>
      <c r="AE141" s="56"/>
      <c r="AF141" s="56"/>
      <c r="AG141" s="56"/>
      <c r="AH141" s="56"/>
      <c r="AI141" s="56"/>
      <c r="AJ141" s="56"/>
      <c r="AQ141" s="56"/>
      <c r="AR141" s="56"/>
      <c r="AS141" s="56"/>
    </row>
    <row r="142" spans="1:4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D142" s="56"/>
      <c r="AE142" s="56"/>
      <c r="AF142" s="56"/>
      <c r="AG142" s="56"/>
      <c r="AH142" s="56"/>
      <c r="AI142" s="56"/>
      <c r="AJ142" s="56"/>
      <c r="AQ142" s="56"/>
      <c r="AR142" s="56"/>
      <c r="AS142" s="56"/>
    </row>
    <row r="143" spans="1:4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D143" s="56"/>
      <c r="AE143" s="56"/>
      <c r="AF143" s="56"/>
      <c r="AG143" s="56"/>
      <c r="AH143" s="56"/>
      <c r="AI143" s="56"/>
      <c r="AJ143" s="56"/>
      <c r="AQ143" s="56"/>
      <c r="AR143" s="56"/>
      <c r="AS143" s="56"/>
    </row>
    <row r="144" spans="1:4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D144" s="56"/>
      <c r="AE144" s="56"/>
      <c r="AF144" s="56"/>
      <c r="AG144" s="56"/>
      <c r="AH144" s="56"/>
      <c r="AI144" s="56"/>
      <c r="AJ144" s="56"/>
      <c r="AQ144" s="56"/>
      <c r="AR144" s="56"/>
      <c r="AS144" s="56"/>
    </row>
    <row r="145" spans="1:4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D145" s="56"/>
      <c r="AE145" s="56"/>
      <c r="AF145" s="56"/>
      <c r="AG145" s="56"/>
      <c r="AH145" s="56"/>
      <c r="AI145" s="56"/>
      <c r="AJ145" s="56"/>
      <c r="AQ145" s="56"/>
      <c r="AR145" s="56"/>
      <c r="AS145" s="56"/>
    </row>
    <row r="146" spans="1:4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D146" s="56"/>
      <c r="AE146" s="56"/>
      <c r="AF146" s="56"/>
      <c r="AG146" s="56"/>
      <c r="AH146" s="56"/>
      <c r="AI146" s="56"/>
      <c r="AJ146" s="56"/>
      <c r="AQ146" s="56"/>
      <c r="AR146" s="56"/>
      <c r="AS146" s="56"/>
    </row>
    <row r="147" spans="1:4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D147" s="56"/>
      <c r="AE147" s="56"/>
      <c r="AF147" s="56"/>
      <c r="AG147" s="56"/>
      <c r="AH147" s="56"/>
      <c r="AI147" s="56"/>
      <c r="AJ147" s="56"/>
      <c r="AQ147" s="56"/>
      <c r="AR147" s="56"/>
      <c r="AS147" s="56"/>
    </row>
    <row r="148" spans="1:4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D148" s="56"/>
      <c r="AE148" s="56"/>
      <c r="AF148" s="56"/>
      <c r="AG148" s="56"/>
      <c r="AH148" s="56"/>
      <c r="AI148" s="56"/>
      <c r="AJ148" s="56"/>
      <c r="AQ148" s="56"/>
      <c r="AR148" s="56"/>
      <c r="AS148" s="56"/>
    </row>
    <row r="149" spans="1:4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D149" s="56"/>
      <c r="AE149" s="56"/>
      <c r="AF149" s="56"/>
      <c r="AG149" s="56"/>
      <c r="AH149" s="56"/>
      <c r="AI149" s="56"/>
      <c r="AJ149" s="56"/>
      <c r="AQ149" s="56"/>
      <c r="AR149" s="56"/>
      <c r="AS149" s="56"/>
    </row>
    <row r="150" spans="1:4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D150" s="56"/>
      <c r="AE150" s="56"/>
      <c r="AF150" s="56"/>
      <c r="AG150" s="56"/>
      <c r="AH150" s="56"/>
      <c r="AI150" s="56"/>
      <c r="AJ150" s="56"/>
      <c r="AQ150" s="56"/>
      <c r="AR150" s="56"/>
      <c r="AS150" s="56"/>
    </row>
    <row r="151" spans="1:4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D151" s="56"/>
      <c r="AE151" s="56"/>
      <c r="AF151" s="56"/>
      <c r="AG151" s="56"/>
      <c r="AH151" s="56"/>
      <c r="AI151" s="56"/>
      <c r="AJ151" s="56"/>
      <c r="AQ151" s="56"/>
      <c r="AR151" s="56"/>
      <c r="AS151" s="56"/>
    </row>
    <row r="152" spans="1:4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D152" s="56"/>
      <c r="AE152" s="56"/>
      <c r="AF152" s="56"/>
      <c r="AG152" s="56"/>
      <c r="AH152" s="56"/>
      <c r="AI152" s="56"/>
      <c r="AJ152" s="56"/>
      <c r="AQ152" s="56"/>
      <c r="AR152" s="56"/>
      <c r="AS152" s="56"/>
    </row>
    <row r="153" spans="1:4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D153" s="56"/>
      <c r="AE153" s="56"/>
      <c r="AF153" s="56"/>
      <c r="AG153" s="56"/>
      <c r="AH153" s="56"/>
      <c r="AI153" s="56"/>
      <c r="AJ153" s="56"/>
      <c r="AQ153" s="56"/>
      <c r="AR153" s="56"/>
      <c r="AS153" s="56"/>
    </row>
    <row r="154" spans="1:4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D154" s="56"/>
      <c r="AE154" s="56"/>
      <c r="AF154" s="56"/>
      <c r="AG154" s="56"/>
      <c r="AH154" s="56"/>
      <c r="AI154" s="56"/>
      <c r="AJ154" s="56"/>
      <c r="AQ154" s="56"/>
      <c r="AR154" s="56"/>
      <c r="AS154" s="56"/>
    </row>
    <row r="155" spans="1:4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D155" s="56"/>
      <c r="AE155" s="56"/>
      <c r="AF155" s="56"/>
      <c r="AG155" s="56"/>
      <c r="AH155" s="56"/>
      <c r="AI155" s="56"/>
      <c r="AJ155" s="56"/>
      <c r="AQ155" s="56"/>
      <c r="AR155" s="56"/>
      <c r="AS155" s="56"/>
    </row>
    <row r="156" spans="1:4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D156" s="56"/>
      <c r="AE156" s="56"/>
      <c r="AF156" s="56"/>
      <c r="AG156" s="56"/>
      <c r="AH156" s="56"/>
      <c r="AI156" s="56"/>
      <c r="AJ156" s="56"/>
      <c r="AQ156" s="56"/>
      <c r="AR156" s="56"/>
      <c r="AS156" s="56"/>
    </row>
    <row r="157" spans="1:4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D157" s="56"/>
      <c r="AE157" s="56"/>
      <c r="AF157" s="56"/>
      <c r="AG157" s="56"/>
      <c r="AH157" s="56"/>
      <c r="AI157" s="56"/>
      <c r="AJ157" s="56"/>
      <c r="AQ157" s="56"/>
      <c r="AR157" s="56"/>
      <c r="AS157" s="56"/>
    </row>
    <row r="158" spans="1:4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D158" s="56"/>
      <c r="AE158" s="56"/>
      <c r="AF158" s="56"/>
      <c r="AG158" s="56"/>
      <c r="AH158" s="56"/>
      <c r="AI158" s="56"/>
      <c r="AJ158" s="56"/>
      <c r="AQ158" s="56"/>
      <c r="AR158" s="56"/>
      <c r="AS158" s="56"/>
    </row>
    <row r="159" spans="1:4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D159" s="56"/>
      <c r="AE159" s="56"/>
      <c r="AF159" s="56"/>
      <c r="AG159" s="56"/>
      <c r="AH159" s="56"/>
      <c r="AI159" s="56"/>
      <c r="AJ159" s="56"/>
      <c r="AQ159" s="56"/>
      <c r="AR159" s="56"/>
      <c r="AS159" s="56"/>
    </row>
    <row r="160" spans="1:4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D160" s="56"/>
      <c r="AE160" s="56"/>
      <c r="AF160" s="56"/>
      <c r="AG160" s="56"/>
      <c r="AH160" s="56"/>
      <c r="AI160" s="56"/>
      <c r="AJ160" s="56"/>
      <c r="AQ160" s="56"/>
      <c r="AR160" s="56"/>
      <c r="AS160" s="56"/>
    </row>
    <row r="161" spans="1:4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D161" s="56"/>
      <c r="AE161" s="56"/>
      <c r="AF161" s="56"/>
      <c r="AG161" s="56"/>
      <c r="AH161" s="56"/>
      <c r="AI161" s="56"/>
      <c r="AJ161" s="56"/>
      <c r="AQ161" s="56"/>
      <c r="AR161" s="56"/>
      <c r="AS161" s="56"/>
    </row>
    <row r="162" spans="1:4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D162" s="56"/>
      <c r="AE162" s="56"/>
      <c r="AF162" s="56"/>
      <c r="AG162" s="56"/>
      <c r="AH162" s="56"/>
      <c r="AI162" s="56"/>
      <c r="AJ162" s="56"/>
      <c r="AQ162" s="56"/>
      <c r="AR162" s="56"/>
      <c r="AS162" s="56"/>
    </row>
    <row r="163" spans="1:4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D163" s="56"/>
      <c r="AE163" s="56"/>
      <c r="AF163" s="56"/>
      <c r="AG163" s="56"/>
      <c r="AH163" s="56"/>
      <c r="AI163" s="56"/>
      <c r="AJ163" s="56"/>
      <c r="AQ163" s="56"/>
      <c r="AR163" s="56"/>
      <c r="AS163" s="56"/>
    </row>
    <row r="164" spans="1:4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D164" s="56"/>
      <c r="AE164" s="56"/>
      <c r="AF164" s="56"/>
      <c r="AG164" s="56"/>
      <c r="AH164" s="56"/>
      <c r="AI164" s="56"/>
      <c r="AJ164" s="56"/>
      <c r="AQ164" s="56"/>
      <c r="AR164" s="56"/>
      <c r="AS164" s="56"/>
    </row>
    <row r="165" spans="1:4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D165" s="56"/>
      <c r="AE165" s="56"/>
      <c r="AF165" s="56"/>
      <c r="AG165" s="56"/>
      <c r="AH165" s="56"/>
      <c r="AI165" s="56"/>
      <c r="AJ165" s="56"/>
      <c r="AQ165" s="56"/>
      <c r="AR165" s="56"/>
      <c r="AS165" s="56"/>
    </row>
    <row r="166" spans="1:4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D166" s="56"/>
      <c r="AE166" s="56"/>
      <c r="AF166" s="56"/>
      <c r="AG166" s="56"/>
      <c r="AH166" s="56"/>
      <c r="AI166" s="56"/>
      <c r="AJ166" s="56"/>
      <c r="AQ166" s="56"/>
      <c r="AR166" s="56"/>
      <c r="AS166" s="56"/>
    </row>
    <row r="167" spans="1:4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D167" s="56"/>
      <c r="AE167" s="56"/>
      <c r="AF167" s="56"/>
      <c r="AG167" s="56"/>
      <c r="AH167" s="56"/>
      <c r="AI167" s="56"/>
      <c r="AJ167" s="56"/>
      <c r="AQ167" s="56"/>
      <c r="AR167" s="56"/>
      <c r="AS167" s="56"/>
    </row>
    <row r="168" spans="1:4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D168" s="56"/>
      <c r="AE168" s="56"/>
      <c r="AF168" s="56"/>
      <c r="AG168" s="56"/>
      <c r="AH168" s="56"/>
      <c r="AI168" s="56"/>
      <c r="AJ168" s="56"/>
      <c r="AQ168" s="56"/>
      <c r="AR168" s="56"/>
      <c r="AS168" s="56"/>
    </row>
    <row r="169" spans="1:4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D169" s="56"/>
      <c r="AE169" s="56"/>
      <c r="AF169" s="56"/>
      <c r="AG169" s="56"/>
      <c r="AH169" s="56"/>
      <c r="AI169" s="56"/>
      <c r="AJ169" s="56"/>
      <c r="AQ169" s="56"/>
      <c r="AR169" s="56"/>
      <c r="AS169" s="56"/>
    </row>
    <row r="170" spans="1:4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D170" s="56"/>
      <c r="AE170" s="56"/>
      <c r="AF170" s="56"/>
      <c r="AG170" s="56"/>
      <c r="AH170" s="56"/>
      <c r="AI170" s="56"/>
      <c r="AJ170" s="56"/>
      <c r="AQ170" s="56"/>
      <c r="AR170" s="56"/>
      <c r="AS170" s="56"/>
    </row>
    <row r="171" spans="1:4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D171" s="56"/>
      <c r="AE171" s="56"/>
      <c r="AF171" s="56"/>
      <c r="AG171" s="56"/>
      <c r="AH171" s="56"/>
      <c r="AI171" s="56"/>
      <c r="AJ171" s="56"/>
      <c r="AQ171" s="56"/>
      <c r="AR171" s="56"/>
      <c r="AS171" s="56"/>
    </row>
    <row r="172" spans="1:4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D172" s="56"/>
      <c r="AE172" s="56"/>
      <c r="AF172" s="56"/>
      <c r="AG172" s="56"/>
      <c r="AH172" s="56"/>
      <c r="AI172" s="56"/>
      <c r="AJ172" s="56"/>
      <c r="AQ172" s="56"/>
      <c r="AR172" s="56"/>
      <c r="AS172" s="56"/>
    </row>
    <row r="173" spans="1:4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D173" s="56"/>
      <c r="AE173" s="56"/>
      <c r="AF173" s="56"/>
      <c r="AG173" s="56"/>
      <c r="AH173" s="56"/>
      <c r="AI173" s="56"/>
      <c r="AJ173" s="56"/>
      <c r="AQ173" s="56"/>
      <c r="AR173" s="56"/>
      <c r="AS173" s="56"/>
    </row>
    <row r="174" spans="1:4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D174" s="56"/>
      <c r="AE174" s="56"/>
      <c r="AF174" s="56"/>
      <c r="AG174" s="56"/>
      <c r="AH174" s="56"/>
      <c r="AI174" s="56"/>
      <c r="AJ174" s="56"/>
      <c r="AQ174" s="56"/>
      <c r="AR174" s="56"/>
      <c r="AS174" s="56"/>
    </row>
    <row r="175" spans="1:4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D175" s="56"/>
      <c r="AE175" s="56"/>
      <c r="AF175" s="56"/>
      <c r="AG175" s="56"/>
      <c r="AH175" s="56"/>
      <c r="AI175" s="56"/>
      <c r="AJ175" s="56"/>
      <c r="AQ175" s="56"/>
      <c r="AR175" s="56"/>
      <c r="AS175" s="56"/>
    </row>
    <row r="176" spans="1:4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D176" s="56"/>
      <c r="AE176" s="56"/>
      <c r="AF176" s="56"/>
      <c r="AG176" s="56"/>
      <c r="AH176" s="56"/>
      <c r="AI176" s="56"/>
      <c r="AJ176" s="56"/>
      <c r="AQ176" s="56"/>
      <c r="AR176" s="56"/>
      <c r="AS176" s="56"/>
    </row>
    <row r="177" spans="1:4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D177" s="56"/>
      <c r="AE177" s="56"/>
      <c r="AF177" s="56"/>
      <c r="AG177" s="56"/>
      <c r="AH177" s="56"/>
      <c r="AI177" s="56"/>
      <c r="AJ177" s="56"/>
      <c r="AQ177" s="56"/>
      <c r="AR177" s="56"/>
      <c r="AS177" s="56"/>
    </row>
    <row r="178" spans="1:4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D178" s="56"/>
      <c r="AE178" s="56"/>
      <c r="AF178" s="56"/>
      <c r="AG178" s="56"/>
      <c r="AH178" s="56"/>
      <c r="AI178" s="56"/>
      <c r="AJ178" s="56"/>
      <c r="AQ178" s="56"/>
      <c r="AR178" s="56"/>
      <c r="AS178" s="56"/>
    </row>
    <row r="179" spans="1:4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D179" s="56"/>
      <c r="AE179" s="56"/>
      <c r="AF179" s="56"/>
      <c r="AG179" s="56"/>
      <c r="AH179" s="56"/>
      <c r="AI179" s="56"/>
      <c r="AJ179" s="56"/>
      <c r="AQ179" s="56"/>
      <c r="AR179" s="56"/>
      <c r="AS179" s="56"/>
    </row>
    <row r="180" spans="1:4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D180" s="56"/>
      <c r="AE180" s="56"/>
      <c r="AF180" s="56"/>
      <c r="AG180" s="56"/>
      <c r="AH180" s="56"/>
      <c r="AI180" s="56"/>
      <c r="AJ180" s="56"/>
      <c r="AQ180" s="56"/>
      <c r="AR180" s="56"/>
      <c r="AS180" s="56"/>
    </row>
    <row r="181" spans="1:4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D181" s="56"/>
      <c r="AE181" s="56"/>
      <c r="AF181" s="56"/>
      <c r="AG181" s="56"/>
      <c r="AH181" s="56"/>
      <c r="AI181" s="56"/>
      <c r="AJ181" s="56"/>
      <c r="AQ181" s="56"/>
      <c r="AR181" s="56"/>
      <c r="AS181" s="56"/>
    </row>
    <row r="182" spans="1:4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D182" s="56"/>
      <c r="AE182" s="56"/>
      <c r="AF182" s="56"/>
      <c r="AG182" s="56"/>
      <c r="AH182" s="56"/>
      <c r="AI182" s="56"/>
      <c r="AJ182" s="56"/>
      <c r="AQ182" s="56"/>
      <c r="AR182" s="56"/>
      <c r="AS182" s="56"/>
    </row>
    <row r="183" spans="1:4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D183" s="56"/>
      <c r="AE183" s="56"/>
      <c r="AF183" s="56"/>
      <c r="AG183" s="56"/>
      <c r="AH183" s="56"/>
      <c r="AI183" s="56"/>
      <c r="AJ183" s="56"/>
      <c r="AQ183" s="56"/>
      <c r="AR183" s="56"/>
      <c r="AS183" s="56"/>
    </row>
    <row r="184" spans="1:4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D184" s="56"/>
      <c r="AE184" s="56"/>
      <c r="AF184" s="56"/>
      <c r="AG184" s="56"/>
      <c r="AH184" s="56"/>
      <c r="AI184" s="56"/>
      <c r="AJ184" s="56"/>
      <c r="AQ184" s="56"/>
      <c r="AR184" s="56"/>
      <c r="AS184" s="56"/>
    </row>
    <row r="185" spans="1:4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D185" s="56"/>
      <c r="AE185" s="56"/>
      <c r="AF185" s="56"/>
      <c r="AG185" s="56"/>
      <c r="AH185" s="56"/>
      <c r="AI185" s="56"/>
      <c r="AJ185" s="56"/>
      <c r="AQ185" s="56"/>
      <c r="AR185" s="56"/>
      <c r="AS185" s="56"/>
    </row>
    <row r="186" spans="1:4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D186" s="56"/>
      <c r="AE186" s="56"/>
      <c r="AF186" s="56"/>
      <c r="AG186" s="56"/>
      <c r="AH186" s="56"/>
      <c r="AI186" s="56"/>
      <c r="AJ186" s="56"/>
      <c r="AQ186" s="56"/>
      <c r="AR186" s="56"/>
      <c r="AS186" s="56"/>
    </row>
    <row r="187" spans="1:4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D187" s="56"/>
      <c r="AE187" s="56"/>
      <c r="AF187" s="56"/>
      <c r="AG187" s="56"/>
      <c r="AH187" s="56"/>
      <c r="AI187" s="56"/>
      <c r="AJ187" s="56"/>
      <c r="AQ187" s="56"/>
      <c r="AR187" s="56"/>
      <c r="AS187" s="56"/>
    </row>
    <row r="188" spans="1:4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D188" s="56"/>
      <c r="AE188" s="56"/>
      <c r="AF188" s="56"/>
      <c r="AG188" s="56"/>
      <c r="AH188" s="56"/>
      <c r="AI188" s="56"/>
      <c r="AJ188" s="56"/>
      <c r="AQ188" s="56"/>
      <c r="AR188" s="56"/>
      <c r="AS188" s="56"/>
    </row>
    <row r="189" spans="1:4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D189" s="56"/>
      <c r="AE189" s="56"/>
      <c r="AF189" s="56"/>
      <c r="AG189" s="56"/>
      <c r="AH189" s="56"/>
      <c r="AI189" s="56"/>
      <c r="AJ189" s="56"/>
      <c r="AQ189" s="56"/>
      <c r="AR189" s="56"/>
      <c r="AS189" s="56"/>
    </row>
    <row r="190" spans="1:4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D190" s="56"/>
      <c r="AE190" s="56"/>
      <c r="AF190" s="56"/>
      <c r="AG190" s="56"/>
      <c r="AH190" s="56"/>
      <c r="AI190" s="56"/>
      <c r="AJ190" s="56"/>
      <c r="AQ190" s="56"/>
      <c r="AR190" s="56"/>
      <c r="AS190" s="56"/>
    </row>
    <row r="191" spans="1:4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D191" s="56"/>
      <c r="AE191" s="56"/>
      <c r="AF191" s="56"/>
      <c r="AG191" s="56"/>
      <c r="AH191" s="56"/>
      <c r="AI191" s="56"/>
      <c r="AJ191" s="56"/>
      <c r="AQ191" s="56"/>
      <c r="AR191" s="56"/>
      <c r="AS191" s="56"/>
    </row>
    <row r="192" spans="1:4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D192" s="56"/>
      <c r="AE192" s="56"/>
      <c r="AF192" s="56"/>
      <c r="AG192" s="56"/>
      <c r="AH192" s="56"/>
      <c r="AI192" s="56"/>
      <c r="AJ192" s="56"/>
      <c r="AQ192" s="56"/>
      <c r="AR192" s="56"/>
      <c r="AS192" s="56"/>
    </row>
    <row r="193" spans="1:4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D193" s="56"/>
      <c r="AE193" s="56"/>
      <c r="AF193" s="56"/>
      <c r="AG193" s="56"/>
      <c r="AH193" s="56"/>
      <c r="AI193" s="56"/>
      <c r="AJ193" s="56"/>
      <c r="AQ193" s="56"/>
      <c r="AR193" s="56"/>
      <c r="AS193" s="56"/>
    </row>
    <row r="194" spans="1:4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D194" s="56"/>
      <c r="AE194" s="56"/>
      <c r="AF194" s="56"/>
      <c r="AG194" s="56"/>
      <c r="AH194" s="56"/>
      <c r="AI194" s="56"/>
      <c r="AJ194" s="56"/>
      <c r="AQ194" s="56"/>
      <c r="AR194" s="56"/>
      <c r="AS194" s="56"/>
    </row>
    <row r="195" spans="1:4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D195" s="56"/>
      <c r="AE195" s="56"/>
      <c r="AF195" s="56"/>
      <c r="AG195" s="56"/>
      <c r="AH195" s="56"/>
      <c r="AI195" s="56"/>
      <c r="AJ195" s="56"/>
      <c r="AQ195" s="56"/>
      <c r="AR195" s="56"/>
      <c r="AS195" s="56"/>
    </row>
    <row r="196" spans="1:4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D196" s="56"/>
      <c r="AE196" s="56"/>
      <c r="AF196" s="56"/>
      <c r="AG196" s="56"/>
      <c r="AH196" s="56"/>
      <c r="AI196" s="56"/>
      <c r="AJ196" s="56"/>
      <c r="AQ196" s="56"/>
      <c r="AR196" s="56"/>
      <c r="AS196" s="56"/>
    </row>
    <row r="197" spans="1:4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D197" s="56"/>
      <c r="AE197" s="56"/>
      <c r="AF197" s="56"/>
      <c r="AG197" s="56"/>
      <c r="AH197" s="56"/>
      <c r="AI197" s="56"/>
      <c r="AJ197" s="56"/>
      <c r="AQ197" s="56"/>
      <c r="AR197" s="56"/>
      <c r="AS197" s="56"/>
    </row>
    <row r="198" spans="1:4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D198" s="56"/>
      <c r="AE198" s="56"/>
      <c r="AF198" s="56"/>
      <c r="AG198" s="56"/>
      <c r="AH198" s="56"/>
      <c r="AI198" s="56"/>
      <c r="AJ198" s="56"/>
      <c r="AQ198" s="56"/>
      <c r="AR198" s="56"/>
      <c r="AS198" s="56"/>
    </row>
    <row r="199" spans="1:4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D199" s="56"/>
      <c r="AE199" s="56"/>
      <c r="AF199" s="56"/>
      <c r="AG199" s="56"/>
      <c r="AH199" s="56"/>
      <c r="AI199" s="56"/>
      <c r="AJ199" s="56"/>
      <c r="AQ199" s="56"/>
      <c r="AR199" s="56"/>
      <c r="AS199" s="56"/>
    </row>
    <row r="200" spans="1:4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D200" s="56"/>
      <c r="AE200" s="56"/>
      <c r="AF200" s="56"/>
      <c r="AG200" s="56"/>
      <c r="AH200" s="56"/>
      <c r="AI200" s="56"/>
      <c r="AJ200" s="56"/>
      <c r="AQ200" s="56"/>
      <c r="AR200" s="56"/>
      <c r="AS200" s="56"/>
    </row>
    <row r="201" spans="1:4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D201" s="56"/>
      <c r="AE201" s="56"/>
      <c r="AF201" s="56"/>
      <c r="AG201" s="56"/>
      <c r="AH201" s="56"/>
      <c r="AI201" s="56"/>
      <c r="AJ201" s="56"/>
      <c r="AQ201" s="56"/>
      <c r="AR201" s="56"/>
      <c r="AS201" s="56"/>
    </row>
    <row r="202" spans="1:4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D202" s="56"/>
      <c r="AE202" s="56"/>
      <c r="AF202" s="56"/>
      <c r="AG202" s="56"/>
      <c r="AH202" s="56"/>
      <c r="AI202" s="56"/>
      <c r="AJ202" s="56"/>
      <c r="AQ202" s="56"/>
      <c r="AR202" s="56"/>
      <c r="AS202" s="56"/>
    </row>
    <row r="203" spans="1:4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D203" s="56"/>
      <c r="AE203" s="56"/>
      <c r="AF203" s="56"/>
      <c r="AG203" s="56"/>
      <c r="AH203" s="56"/>
      <c r="AI203" s="56"/>
      <c r="AJ203" s="56"/>
      <c r="AQ203" s="56"/>
      <c r="AR203" s="56"/>
      <c r="AS203" s="56"/>
    </row>
    <row r="204" spans="1:4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D204" s="56"/>
      <c r="AE204" s="56"/>
      <c r="AF204" s="56"/>
      <c r="AG204" s="56"/>
      <c r="AH204" s="56"/>
      <c r="AI204" s="56"/>
      <c r="AJ204" s="56"/>
      <c r="AQ204" s="56"/>
      <c r="AR204" s="56"/>
      <c r="AS204" s="56"/>
    </row>
    <row r="205" spans="1:4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D205" s="56"/>
      <c r="AE205" s="56"/>
      <c r="AF205" s="56"/>
      <c r="AG205" s="56"/>
      <c r="AH205" s="56"/>
      <c r="AI205" s="56"/>
      <c r="AJ205" s="56"/>
      <c r="AQ205" s="56"/>
      <c r="AR205" s="56"/>
      <c r="AS205" s="56"/>
    </row>
    <row r="206" spans="1:4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D206" s="56"/>
      <c r="AE206" s="56"/>
      <c r="AF206" s="56"/>
      <c r="AG206" s="56"/>
      <c r="AH206" s="56"/>
      <c r="AI206" s="56"/>
      <c r="AJ206" s="56"/>
      <c r="AQ206" s="56"/>
      <c r="AR206" s="56"/>
      <c r="AS206" s="56"/>
    </row>
    <row r="207" spans="1:4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D207" s="56"/>
      <c r="AE207" s="56"/>
      <c r="AF207" s="56"/>
      <c r="AG207" s="56"/>
      <c r="AH207" s="56"/>
      <c r="AI207" s="56"/>
      <c r="AJ207" s="56"/>
      <c r="AQ207" s="56"/>
      <c r="AR207" s="56"/>
      <c r="AS207" s="56"/>
    </row>
    <row r="208" spans="1:4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D208" s="56"/>
      <c r="AE208" s="56"/>
      <c r="AF208" s="56"/>
      <c r="AG208" s="56"/>
      <c r="AH208" s="56"/>
      <c r="AI208" s="56"/>
      <c r="AJ208" s="56"/>
      <c r="AQ208" s="56"/>
      <c r="AR208" s="56"/>
      <c r="AS208" s="56"/>
    </row>
    <row r="209" spans="1:4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D209" s="56"/>
      <c r="AE209" s="56"/>
      <c r="AF209" s="56"/>
      <c r="AG209" s="56"/>
      <c r="AH209" s="56"/>
      <c r="AI209" s="56"/>
      <c r="AJ209" s="56"/>
      <c r="AQ209" s="56"/>
      <c r="AR209" s="56"/>
      <c r="AS209" s="56"/>
    </row>
    <row r="210" spans="1:4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D210" s="56"/>
      <c r="AE210" s="56"/>
      <c r="AF210" s="56"/>
      <c r="AG210" s="56"/>
      <c r="AH210" s="56"/>
      <c r="AI210" s="56"/>
      <c r="AJ210" s="56"/>
      <c r="AQ210" s="56"/>
      <c r="AR210" s="56"/>
      <c r="AS210" s="56"/>
    </row>
    <row r="211" spans="1:4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D211" s="56"/>
      <c r="AE211" s="56"/>
      <c r="AF211" s="56"/>
      <c r="AG211" s="56"/>
      <c r="AH211" s="56"/>
      <c r="AI211" s="56"/>
      <c r="AJ211" s="56"/>
      <c r="AQ211" s="56"/>
      <c r="AR211" s="56"/>
      <c r="AS211" s="56"/>
    </row>
    <row r="212" spans="1:4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D212" s="56"/>
      <c r="AE212" s="56"/>
      <c r="AF212" s="56"/>
      <c r="AG212" s="56"/>
      <c r="AH212" s="56"/>
      <c r="AI212" s="56"/>
      <c r="AJ212" s="56"/>
      <c r="AQ212" s="56"/>
      <c r="AR212" s="56"/>
      <c r="AS212" s="56"/>
    </row>
    <row r="213" spans="1:4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D213" s="56"/>
      <c r="AE213" s="56"/>
      <c r="AF213" s="56"/>
      <c r="AG213" s="56"/>
      <c r="AH213" s="56"/>
      <c r="AI213" s="56"/>
      <c r="AJ213" s="56"/>
      <c r="AQ213" s="56"/>
      <c r="AR213" s="56"/>
      <c r="AS213" s="56"/>
    </row>
    <row r="214" spans="1:4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D214" s="56"/>
      <c r="AE214" s="56"/>
      <c r="AF214" s="56"/>
      <c r="AG214" s="56"/>
      <c r="AH214" s="56"/>
      <c r="AI214" s="56"/>
      <c r="AJ214" s="56"/>
      <c r="AQ214" s="56"/>
      <c r="AR214" s="56"/>
      <c r="AS214" s="56"/>
    </row>
    <row r="215" spans="1:4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D215" s="56"/>
      <c r="AE215" s="56"/>
      <c r="AF215" s="56"/>
      <c r="AG215" s="56"/>
      <c r="AH215" s="56"/>
      <c r="AI215" s="56"/>
      <c r="AJ215" s="56"/>
      <c r="AQ215" s="56"/>
      <c r="AR215" s="56"/>
      <c r="AS215" s="56"/>
    </row>
    <row r="216" spans="1:4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D216" s="56"/>
      <c r="AE216" s="56"/>
      <c r="AF216" s="56"/>
      <c r="AG216" s="56"/>
      <c r="AH216" s="56"/>
      <c r="AI216" s="56"/>
      <c r="AJ216" s="56"/>
      <c r="AQ216" s="56"/>
      <c r="AR216" s="56"/>
      <c r="AS216" s="56"/>
    </row>
    <row r="217" spans="1:4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D217" s="56"/>
      <c r="AE217" s="56"/>
      <c r="AF217" s="56"/>
      <c r="AG217" s="56"/>
      <c r="AH217" s="56"/>
      <c r="AI217" s="56"/>
      <c r="AJ217" s="56"/>
      <c r="AQ217" s="56"/>
      <c r="AR217" s="56"/>
      <c r="AS217" s="56"/>
    </row>
    <row r="218" spans="1:4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D218" s="56"/>
      <c r="AE218" s="56"/>
      <c r="AF218" s="56"/>
      <c r="AG218" s="56"/>
      <c r="AH218" s="56"/>
      <c r="AI218" s="56"/>
      <c r="AJ218" s="56"/>
      <c r="AQ218" s="56"/>
      <c r="AR218" s="56"/>
      <c r="AS218" s="56"/>
    </row>
    <row r="219" spans="1:4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D219" s="56"/>
      <c r="AE219" s="56"/>
      <c r="AF219" s="56"/>
      <c r="AG219" s="56"/>
      <c r="AH219" s="56"/>
      <c r="AI219" s="56"/>
      <c r="AJ219" s="56"/>
      <c r="AQ219" s="56"/>
      <c r="AR219" s="56"/>
      <c r="AS219" s="56"/>
    </row>
    <row r="220" spans="1:4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D220" s="56"/>
      <c r="AE220" s="56"/>
      <c r="AF220" s="56"/>
      <c r="AG220" s="56"/>
      <c r="AH220" s="56"/>
      <c r="AI220" s="56"/>
      <c r="AJ220" s="56"/>
      <c r="AQ220" s="56"/>
      <c r="AR220" s="56"/>
      <c r="AS220" s="56"/>
    </row>
    <row r="221" spans="1:4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D221" s="56"/>
      <c r="AE221" s="56"/>
      <c r="AF221" s="56"/>
      <c r="AG221" s="56"/>
      <c r="AH221" s="56"/>
      <c r="AI221" s="56"/>
      <c r="AJ221" s="56"/>
      <c r="AQ221" s="56"/>
      <c r="AR221" s="56"/>
      <c r="AS221" s="56"/>
    </row>
    <row r="222" spans="1:4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D222" s="56"/>
      <c r="AE222" s="56"/>
      <c r="AF222" s="56"/>
      <c r="AG222" s="56"/>
      <c r="AH222" s="56"/>
      <c r="AI222" s="56"/>
      <c r="AJ222" s="56"/>
      <c r="AQ222" s="56"/>
      <c r="AR222" s="56"/>
      <c r="AS222" s="56"/>
    </row>
    <row r="223" spans="1:4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D223" s="56"/>
      <c r="AE223" s="56"/>
      <c r="AF223" s="56"/>
      <c r="AG223" s="56"/>
      <c r="AH223" s="56"/>
      <c r="AI223" s="56"/>
      <c r="AJ223" s="56"/>
      <c r="AQ223" s="56"/>
      <c r="AR223" s="56"/>
      <c r="AS223" s="56"/>
    </row>
    <row r="224" spans="1:4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D224" s="56"/>
      <c r="AE224" s="56"/>
      <c r="AF224" s="56"/>
      <c r="AG224" s="56"/>
      <c r="AH224" s="56"/>
      <c r="AI224" s="56"/>
      <c r="AJ224" s="56"/>
      <c r="AQ224" s="56"/>
      <c r="AR224" s="56"/>
      <c r="AS224" s="56"/>
    </row>
    <row r="225" spans="1:4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D225" s="56"/>
      <c r="AE225" s="56"/>
      <c r="AF225" s="56"/>
      <c r="AG225" s="56"/>
      <c r="AH225" s="56"/>
      <c r="AI225" s="56"/>
      <c r="AJ225" s="56"/>
      <c r="AQ225" s="56"/>
      <c r="AR225" s="56"/>
      <c r="AS225" s="56"/>
    </row>
    <row r="226" spans="1:4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D226" s="56"/>
      <c r="AE226" s="56"/>
      <c r="AF226" s="56"/>
      <c r="AG226" s="56"/>
      <c r="AH226" s="56"/>
      <c r="AI226" s="56"/>
      <c r="AJ226" s="56"/>
      <c r="AQ226" s="56"/>
      <c r="AR226" s="56"/>
      <c r="AS226" s="56"/>
    </row>
    <row r="227" spans="1:4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D227" s="56"/>
      <c r="AE227" s="56"/>
      <c r="AF227" s="56"/>
      <c r="AG227" s="56"/>
      <c r="AH227" s="56"/>
      <c r="AI227" s="56"/>
      <c r="AJ227" s="56"/>
      <c r="AQ227" s="56"/>
      <c r="AR227" s="56"/>
      <c r="AS227" s="56"/>
    </row>
    <row r="228" spans="1:4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D228" s="56"/>
      <c r="AE228" s="56"/>
      <c r="AF228" s="56"/>
      <c r="AG228" s="56"/>
      <c r="AH228" s="56"/>
      <c r="AI228" s="56"/>
      <c r="AJ228" s="56"/>
      <c r="AQ228" s="56"/>
      <c r="AR228" s="56"/>
      <c r="AS228" s="56"/>
    </row>
    <row r="229" spans="1:4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D229" s="56"/>
      <c r="AE229" s="56"/>
      <c r="AF229" s="56"/>
      <c r="AG229" s="56"/>
      <c r="AH229" s="56"/>
      <c r="AI229" s="56"/>
      <c r="AJ229" s="56"/>
      <c r="AQ229" s="56"/>
      <c r="AR229" s="56"/>
      <c r="AS229" s="56"/>
    </row>
    <row r="230" spans="1:4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D230" s="56"/>
      <c r="AE230" s="56"/>
      <c r="AF230" s="56"/>
      <c r="AG230" s="56"/>
      <c r="AH230" s="56"/>
      <c r="AI230" s="56"/>
      <c r="AJ230" s="56"/>
      <c r="AQ230" s="56"/>
      <c r="AR230" s="56"/>
      <c r="AS230" s="56"/>
    </row>
    <row r="231" spans="1:4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D231" s="56"/>
      <c r="AE231" s="56"/>
      <c r="AF231" s="56"/>
      <c r="AG231" s="56"/>
      <c r="AH231" s="56"/>
      <c r="AI231" s="56"/>
      <c r="AJ231" s="56"/>
      <c r="AQ231" s="56"/>
      <c r="AR231" s="56"/>
      <c r="AS231" s="56"/>
    </row>
    <row r="232" spans="1:4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D232" s="56"/>
      <c r="AE232" s="56"/>
      <c r="AF232" s="56"/>
      <c r="AG232" s="56"/>
      <c r="AH232" s="56"/>
      <c r="AI232" s="56"/>
      <c r="AJ232" s="56"/>
      <c r="AQ232" s="56"/>
      <c r="AR232" s="56"/>
      <c r="AS232" s="56"/>
    </row>
    <row r="233" spans="1:4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D233" s="56"/>
      <c r="AE233" s="56"/>
      <c r="AF233" s="56"/>
      <c r="AG233" s="56"/>
      <c r="AH233" s="56"/>
      <c r="AI233" s="56"/>
      <c r="AJ233" s="56"/>
      <c r="AQ233" s="56"/>
      <c r="AR233" s="56"/>
      <c r="AS233" s="56"/>
    </row>
    <row r="234" spans="1:4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D234" s="56"/>
      <c r="AE234" s="56"/>
      <c r="AF234" s="56"/>
      <c r="AG234" s="56"/>
      <c r="AH234" s="56"/>
      <c r="AI234" s="56"/>
      <c r="AJ234" s="56"/>
      <c r="AQ234" s="56"/>
      <c r="AR234" s="56"/>
      <c r="AS234" s="56"/>
    </row>
    <row r="235" spans="1:4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D235" s="56"/>
      <c r="AE235" s="56"/>
      <c r="AF235" s="56"/>
      <c r="AG235" s="56"/>
      <c r="AH235" s="56"/>
      <c r="AI235" s="56"/>
      <c r="AJ235" s="56"/>
      <c r="AQ235" s="56"/>
      <c r="AR235" s="56"/>
      <c r="AS235" s="56"/>
    </row>
    <row r="236" spans="1:4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D236" s="56"/>
      <c r="AE236" s="56"/>
      <c r="AF236" s="56"/>
      <c r="AG236" s="56"/>
      <c r="AH236" s="56"/>
      <c r="AI236" s="56"/>
      <c r="AJ236" s="56"/>
      <c r="AQ236" s="56"/>
      <c r="AR236" s="56"/>
      <c r="AS236" s="56"/>
    </row>
    <row r="237" spans="1:4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D237" s="56"/>
      <c r="AE237" s="56"/>
      <c r="AF237" s="56"/>
      <c r="AG237" s="56"/>
      <c r="AH237" s="56"/>
      <c r="AI237" s="56"/>
      <c r="AJ237" s="56"/>
      <c r="AQ237" s="56"/>
      <c r="AR237" s="56"/>
      <c r="AS237" s="56"/>
    </row>
    <row r="238" spans="1:4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D238" s="56"/>
      <c r="AE238" s="56"/>
      <c r="AF238" s="56"/>
      <c r="AG238" s="56"/>
      <c r="AH238" s="56"/>
      <c r="AI238" s="56"/>
      <c r="AJ238" s="56"/>
      <c r="AQ238" s="56"/>
      <c r="AR238" s="56"/>
      <c r="AS238" s="56"/>
    </row>
    <row r="239" spans="1:4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D239" s="56"/>
      <c r="AE239" s="56"/>
      <c r="AF239" s="56"/>
      <c r="AG239" s="56"/>
      <c r="AH239" s="56"/>
      <c r="AI239" s="56"/>
      <c r="AJ239" s="56"/>
      <c r="AQ239" s="56"/>
      <c r="AR239" s="56"/>
      <c r="AS239" s="56"/>
    </row>
    <row r="240" spans="1:4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D240" s="56"/>
      <c r="AE240" s="56"/>
      <c r="AF240" s="56"/>
      <c r="AG240" s="56"/>
      <c r="AH240" s="56"/>
      <c r="AI240" s="56"/>
      <c r="AJ240" s="56"/>
      <c r="AQ240" s="56"/>
      <c r="AR240" s="56"/>
      <c r="AS240" s="56"/>
    </row>
    <row r="241" spans="1:4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D241" s="56"/>
      <c r="AE241" s="56"/>
      <c r="AF241" s="56"/>
      <c r="AG241" s="56"/>
      <c r="AH241" s="56"/>
      <c r="AI241" s="56"/>
      <c r="AJ241" s="56"/>
      <c r="AQ241" s="56"/>
      <c r="AR241" s="56"/>
      <c r="AS241" s="56"/>
    </row>
    <row r="242" spans="1:4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D242" s="56"/>
      <c r="AE242" s="56"/>
      <c r="AF242" s="56"/>
      <c r="AG242" s="56"/>
      <c r="AH242" s="56"/>
      <c r="AI242" s="56"/>
      <c r="AJ242" s="56"/>
      <c r="AQ242" s="56"/>
      <c r="AR242" s="56"/>
      <c r="AS242" s="56"/>
    </row>
    <row r="243" spans="1:4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D243" s="56"/>
      <c r="AE243" s="56"/>
      <c r="AF243" s="56"/>
      <c r="AG243" s="56"/>
      <c r="AH243" s="56"/>
      <c r="AI243" s="56"/>
      <c r="AJ243" s="56"/>
      <c r="AQ243" s="56"/>
      <c r="AR243" s="56"/>
      <c r="AS243" s="56"/>
    </row>
    <row r="244" spans="1:4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D244" s="56"/>
      <c r="AE244" s="56"/>
      <c r="AF244" s="56"/>
      <c r="AG244" s="56"/>
      <c r="AH244" s="56"/>
      <c r="AI244" s="56"/>
      <c r="AJ244" s="56"/>
      <c r="AQ244" s="56"/>
      <c r="AR244" s="56"/>
      <c r="AS244" s="56"/>
    </row>
    <row r="245" spans="1:4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D245" s="56"/>
      <c r="AE245" s="56"/>
      <c r="AF245" s="56"/>
      <c r="AG245" s="56"/>
      <c r="AH245" s="56"/>
      <c r="AI245" s="56"/>
      <c r="AJ245" s="56"/>
      <c r="AQ245" s="56"/>
      <c r="AR245" s="56"/>
      <c r="AS245" s="56"/>
    </row>
    <row r="246" spans="1:4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D246" s="56"/>
      <c r="AE246" s="56"/>
      <c r="AF246" s="56"/>
      <c r="AG246" s="56"/>
      <c r="AH246" s="56"/>
      <c r="AI246" s="56"/>
      <c r="AJ246" s="56"/>
      <c r="AQ246" s="56"/>
      <c r="AR246" s="56"/>
      <c r="AS246" s="56"/>
    </row>
    <row r="247" spans="1:4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D247" s="56"/>
      <c r="AE247" s="56"/>
      <c r="AF247" s="56"/>
      <c r="AG247" s="56"/>
      <c r="AH247" s="56"/>
      <c r="AI247" s="56"/>
      <c r="AJ247" s="56"/>
      <c r="AQ247" s="56"/>
      <c r="AR247" s="56"/>
      <c r="AS247" s="56"/>
    </row>
    <row r="248" spans="1:4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D248" s="56"/>
      <c r="AE248" s="56"/>
      <c r="AF248" s="56"/>
      <c r="AG248" s="56"/>
      <c r="AH248" s="56"/>
      <c r="AI248" s="56"/>
      <c r="AJ248" s="56"/>
      <c r="AQ248" s="56"/>
      <c r="AR248" s="56"/>
      <c r="AS248" s="56"/>
    </row>
    <row r="249" spans="1:4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D249" s="56"/>
      <c r="AE249" s="56"/>
      <c r="AF249" s="56"/>
      <c r="AG249" s="56"/>
      <c r="AH249" s="56"/>
      <c r="AI249" s="56"/>
      <c r="AJ249" s="56"/>
      <c r="AQ249" s="56"/>
      <c r="AR249" s="56"/>
      <c r="AS249" s="56"/>
    </row>
    <row r="250" spans="1:4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D250" s="56"/>
      <c r="AE250" s="56"/>
      <c r="AF250" s="56"/>
      <c r="AG250" s="56"/>
      <c r="AH250" s="56"/>
      <c r="AI250" s="56"/>
      <c r="AJ250" s="56"/>
      <c r="AQ250" s="56"/>
      <c r="AR250" s="56"/>
      <c r="AS250" s="56"/>
    </row>
    <row r="251" spans="1:4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D251" s="56"/>
      <c r="AE251" s="56"/>
      <c r="AF251" s="56"/>
      <c r="AG251" s="56"/>
      <c r="AH251" s="56"/>
      <c r="AI251" s="56"/>
      <c r="AJ251" s="56"/>
      <c r="AQ251" s="56"/>
      <c r="AR251" s="56"/>
      <c r="AS251" s="56"/>
    </row>
    <row r="252" spans="1:4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D252" s="56"/>
      <c r="AE252" s="56"/>
      <c r="AF252" s="56"/>
      <c r="AG252" s="56"/>
      <c r="AH252" s="56"/>
      <c r="AI252" s="56"/>
      <c r="AJ252" s="56"/>
      <c r="AQ252" s="56"/>
      <c r="AR252" s="56"/>
      <c r="AS252" s="56"/>
    </row>
    <row r="253" spans="1:4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D253" s="56"/>
      <c r="AE253" s="56"/>
      <c r="AF253" s="56"/>
      <c r="AG253" s="56"/>
      <c r="AH253" s="56"/>
      <c r="AI253" s="56"/>
      <c r="AJ253" s="56"/>
      <c r="AQ253" s="56"/>
      <c r="AR253" s="56"/>
      <c r="AS253" s="56"/>
    </row>
    <row r="254" spans="1:4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D254" s="56"/>
      <c r="AE254" s="56"/>
      <c r="AF254" s="56"/>
      <c r="AG254" s="56"/>
      <c r="AH254" s="56"/>
      <c r="AI254" s="56"/>
      <c r="AJ254" s="56"/>
      <c r="AQ254" s="56"/>
      <c r="AR254" s="56"/>
      <c r="AS254" s="56"/>
    </row>
    <row r="255" spans="1:4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D255" s="56"/>
      <c r="AE255" s="56"/>
      <c r="AF255" s="56"/>
      <c r="AG255" s="56"/>
      <c r="AH255" s="56"/>
      <c r="AI255" s="56"/>
      <c r="AJ255" s="56"/>
      <c r="AQ255" s="56"/>
      <c r="AR255" s="56"/>
      <c r="AS255" s="56"/>
    </row>
    <row r="256" spans="1:4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D256" s="56"/>
      <c r="AE256" s="56"/>
      <c r="AF256" s="56"/>
      <c r="AG256" s="56"/>
      <c r="AH256" s="56"/>
      <c r="AI256" s="56"/>
      <c r="AJ256" s="56"/>
      <c r="AQ256" s="56"/>
      <c r="AR256" s="56"/>
      <c r="AS256" s="56"/>
    </row>
    <row r="257" spans="1:4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D257" s="56"/>
      <c r="AE257" s="56"/>
      <c r="AF257" s="56"/>
      <c r="AG257" s="56"/>
      <c r="AH257" s="56"/>
      <c r="AI257" s="56"/>
      <c r="AJ257" s="56"/>
      <c r="AQ257" s="56"/>
      <c r="AR257" s="56"/>
      <c r="AS257" s="56"/>
    </row>
    <row r="258" spans="1:4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D258" s="56"/>
      <c r="AE258" s="56"/>
      <c r="AF258" s="56"/>
      <c r="AG258" s="56"/>
      <c r="AH258" s="56"/>
      <c r="AI258" s="56"/>
      <c r="AJ258" s="56"/>
      <c r="AQ258" s="56"/>
      <c r="AR258" s="56"/>
      <c r="AS258" s="56"/>
    </row>
    <row r="259" spans="1:4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D259" s="56"/>
      <c r="AE259" s="56"/>
      <c r="AF259" s="56"/>
      <c r="AG259" s="56"/>
      <c r="AH259" s="56"/>
      <c r="AI259" s="56"/>
      <c r="AJ259" s="56"/>
      <c r="AQ259" s="56"/>
      <c r="AR259" s="56"/>
      <c r="AS259" s="56"/>
    </row>
    <row r="260" spans="1:4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D260" s="56"/>
      <c r="AE260" s="56"/>
      <c r="AF260" s="56"/>
      <c r="AG260" s="56"/>
      <c r="AH260" s="56"/>
      <c r="AI260" s="56"/>
      <c r="AJ260" s="56"/>
      <c r="AQ260" s="56"/>
      <c r="AR260" s="56"/>
      <c r="AS260" s="56"/>
    </row>
    <row r="261" spans="1:4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D261" s="56"/>
      <c r="AE261" s="56"/>
      <c r="AF261" s="56"/>
      <c r="AG261" s="56"/>
      <c r="AH261" s="56"/>
      <c r="AI261" s="56"/>
      <c r="AJ261" s="56"/>
      <c r="AQ261" s="56"/>
      <c r="AR261" s="56"/>
      <c r="AS261" s="56"/>
    </row>
    <row r="262" spans="1:4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D262" s="56"/>
      <c r="AE262" s="56"/>
      <c r="AF262" s="56"/>
      <c r="AG262" s="56"/>
      <c r="AH262" s="56"/>
      <c r="AI262" s="56"/>
      <c r="AJ262" s="56"/>
      <c r="AQ262" s="56"/>
      <c r="AR262" s="56"/>
      <c r="AS262" s="56"/>
    </row>
    <row r="263" spans="1:4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D263" s="56"/>
      <c r="AE263" s="56"/>
      <c r="AF263" s="56"/>
      <c r="AG263" s="56"/>
      <c r="AH263" s="56"/>
      <c r="AI263" s="56"/>
      <c r="AJ263" s="56"/>
      <c r="AQ263" s="56"/>
      <c r="AR263" s="56"/>
      <c r="AS263" s="56"/>
    </row>
    <row r="264" spans="1:4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D264" s="56"/>
      <c r="AE264" s="56"/>
      <c r="AF264" s="56"/>
      <c r="AG264" s="56"/>
      <c r="AH264" s="56"/>
      <c r="AI264" s="56"/>
      <c r="AJ264" s="56"/>
      <c r="AQ264" s="56"/>
      <c r="AR264" s="56"/>
      <c r="AS264" s="56"/>
    </row>
    <row r="265" spans="1:4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D265" s="56"/>
      <c r="AE265" s="56"/>
      <c r="AF265" s="56"/>
      <c r="AG265" s="56"/>
      <c r="AH265" s="56"/>
      <c r="AI265" s="56"/>
      <c r="AJ265" s="56"/>
      <c r="AQ265" s="56"/>
      <c r="AR265" s="56"/>
      <c r="AS265" s="56"/>
    </row>
    <row r="266" spans="1:4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D266" s="56"/>
      <c r="AE266" s="56"/>
      <c r="AF266" s="56"/>
      <c r="AG266" s="56"/>
      <c r="AH266" s="56"/>
      <c r="AI266" s="56"/>
      <c r="AJ266" s="56"/>
      <c r="AQ266" s="56"/>
      <c r="AR266" s="56"/>
      <c r="AS266" s="56"/>
    </row>
    <row r="267" spans="1:4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D267" s="56"/>
      <c r="AE267" s="56"/>
      <c r="AF267" s="56"/>
      <c r="AG267" s="56"/>
      <c r="AH267" s="56"/>
      <c r="AI267" s="56"/>
      <c r="AJ267" s="56"/>
      <c r="AQ267" s="56"/>
      <c r="AR267" s="56"/>
      <c r="AS267" s="56"/>
    </row>
    <row r="268" spans="1:4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D268" s="56"/>
      <c r="AE268" s="56"/>
      <c r="AF268" s="56"/>
      <c r="AG268" s="56"/>
      <c r="AH268" s="56"/>
      <c r="AI268" s="56"/>
      <c r="AJ268" s="56"/>
      <c r="AQ268" s="56"/>
      <c r="AR268" s="56"/>
      <c r="AS268" s="56"/>
    </row>
    <row r="269" spans="1:4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D269" s="56"/>
      <c r="AE269" s="56"/>
      <c r="AF269" s="56"/>
      <c r="AG269" s="56"/>
      <c r="AH269" s="56"/>
      <c r="AI269" s="56"/>
      <c r="AJ269" s="56"/>
      <c r="AQ269" s="56"/>
      <c r="AR269" s="56"/>
      <c r="AS269" s="56"/>
    </row>
    <row r="270" spans="1:4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D270" s="56"/>
      <c r="AE270" s="56"/>
      <c r="AF270" s="56"/>
      <c r="AG270" s="56"/>
      <c r="AH270" s="56"/>
      <c r="AI270" s="56"/>
      <c r="AJ270" s="56"/>
      <c r="AQ270" s="56"/>
      <c r="AR270" s="56"/>
      <c r="AS270" s="56"/>
    </row>
    <row r="271" spans="1:4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D271" s="56"/>
      <c r="AE271" s="56"/>
      <c r="AF271" s="56"/>
      <c r="AG271" s="56"/>
      <c r="AH271" s="56"/>
      <c r="AI271" s="56"/>
      <c r="AJ271" s="56"/>
      <c r="AQ271" s="56"/>
      <c r="AR271" s="56"/>
      <c r="AS271" s="56"/>
    </row>
    <row r="272" spans="1:4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D272" s="56"/>
      <c r="AE272" s="56"/>
      <c r="AF272" s="56"/>
      <c r="AG272" s="56"/>
      <c r="AH272" s="56"/>
      <c r="AI272" s="56"/>
      <c r="AJ272" s="56"/>
      <c r="AQ272" s="56"/>
      <c r="AR272" s="56"/>
      <c r="AS272" s="56"/>
    </row>
    <row r="273" spans="1:4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D273" s="56"/>
      <c r="AE273" s="56"/>
      <c r="AF273" s="56"/>
      <c r="AG273" s="56"/>
      <c r="AH273" s="56"/>
      <c r="AI273" s="56"/>
      <c r="AJ273" s="56"/>
      <c r="AQ273" s="56"/>
      <c r="AR273" s="56"/>
      <c r="AS273" s="56"/>
    </row>
    <row r="274" spans="1:4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D274" s="56"/>
      <c r="AE274" s="56"/>
      <c r="AF274" s="56"/>
      <c r="AG274" s="56"/>
      <c r="AH274" s="56"/>
      <c r="AI274" s="56"/>
      <c r="AJ274" s="56"/>
      <c r="AQ274" s="56"/>
      <c r="AR274" s="56"/>
      <c r="AS274" s="56"/>
    </row>
    <row r="275" spans="1:4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D275" s="56"/>
      <c r="AE275" s="56"/>
      <c r="AF275" s="56"/>
      <c r="AG275" s="56"/>
      <c r="AH275" s="56"/>
      <c r="AI275" s="56"/>
      <c r="AJ275" s="56"/>
      <c r="AQ275" s="56"/>
      <c r="AR275" s="56"/>
      <c r="AS275" s="56"/>
    </row>
    <row r="276" spans="1:4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D276" s="56"/>
      <c r="AE276" s="56"/>
      <c r="AF276" s="56"/>
      <c r="AG276" s="56"/>
      <c r="AH276" s="56"/>
      <c r="AI276" s="56"/>
      <c r="AJ276" s="56"/>
      <c r="AQ276" s="56"/>
      <c r="AR276" s="56"/>
      <c r="AS276" s="56"/>
    </row>
    <row r="277" spans="1:4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D277" s="56"/>
      <c r="AE277" s="56"/>
      <c r="AF277" s="56"/>
      <c r="AG277" s="56"/>
      <c r="AH277" s="56"/>
      <c r="AI277" s="56"/>
      <c r="AJ277" s="56"/>
      <c r="AQ277" s="56"/>
      <c r="AR277" s="56"/>
      <c r="AS277" s="56"/>
    </row>
    <row r="278" spans="1:4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D278" s="56"/>
      <c r="AE278" s="56"/>
      <c r="AF278" s="56"/>
      <c r="AG278" s="56"/>
      <c r="AH278" s="56"/>
      <c r="AI278" s="56"/>
      <c r="AJ278" s="56"/>
      <c r="AQ278" s="56"/>
      <c r="AR278" s="56"/>
      <c r="AS278" s="56"/>
    </row>
    <row r="279" spans="1:4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D279" s="56"/>
      <c r="AE279" s="56"/>
      <c r="AF279" s="56"/>
      <c r="AG279" s="56"/>
      <c r="AH279" s="56"/>
      <c r="AI279" s="56"/>
      <c r="AJ279" s="56"/>
      <c r="AQ279" s="56"/>
      <c r="AR279" s="56"/>
      <c r="AS279" s="56"/>
    </row>
    <row r="280" spans="1:4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D280" s="56"/>
      <c r="AE280" s="56"/>
      <c r="AF280" s="56"/>
      <c r="AG280" s="56"/>
      <c r="AH280" s="56"/>
      <c r="AI280" s="56"/>
      <c r="AJ280" s="56"/>
      <c r="AQ280" s="56"/>
      <c r="AR280" s="56"/>
      <c r="AS280" s="56"/>
    </row>
    <row r="281" spans="1:4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D281" s="56"/>
      <c r="AE281" s="56"/>
      <c r="AF281" s="56"/>
      <c r="AG281" s="56"/>
      <c r="AH281" s="56"/>
      <c r="AI281" s="56"/>
      <c r="AJ281" s="56"/>
      <c r="AQ281" s="56"/>
      <c r="AR281" s="56"/>
      <c r="AS281" s="56"/>
    </row>
    <row r="282" spans="1:4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D282" s="56"/>
      <c r="AE282" s="56"/>
      <c r="AF282" s="56"/>
      <c r="AG282" s="56"/>
      <c r="AH282" s="56"/>
      <c r="AI282" s="56"/>
      <c r="AJ282" s="56"/>
      <c r="AQ282" s="56"/>
      <c r="AR282" s="56"/>
      <c r="AS282" s="56"/>
    </row>
    <row r="283" spans="1:4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D283" s="56"/>
      <c r="AE283" s="56"/>
      <c r="AF283" s="56"/>
      <c r="AG283" s="56"/>
      <c r="AH283" s="56"/>
      <c r="AI283" s="56"/>
      <c r="AJ283" s="56"/>
      <c r="AQ283" s="56"/>
      <c r="AR283" s="56"/>
      <c r="AS283" s="56"/>
    </row>
    <row r="284" spans="1:4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D284" s="56"/>
      <c r="AE284" s="56"/>
      <c r="AF284" s="56"/>
      <c r="AG284" s="56"/>
      <c r="AH284" s="56"/>
      <c r="AI284" s="56"/>
      <c r="AJ284" s="56"/>
      <c r="AQ284" s="56"/>
      <c r="AR284" s="56"/>
      <c r="AS284" s="56"/>
    </row>
    <row r="285" spans="1:4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D285" s="56"/>
      <c r="AE285" s="56"/>
      <c r="AF285" s="56"/>
      <c r="AG285" s="56"/>
      <c r="AH285" s="56"/>
      <c r="AI285" s="56"/>
      <c r="AJ285" s="56"/>
      <c r="AQ285" s="56"/>
      <c r="AR285" s="56"/>
      <c r="AS285" s="56"/>
    </row>
    <row r="286" spans="1:4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D286" s="56"/>
      <c r="AE286" s="56"/>
      <c r="AF286" s="56"/>
      <c r="AG286" s="56"/>
      <c r="AH286" s="56"/>
      <c r="AI286" s="56"/>
      <c r="AJ286" s="56"/>
      <c r="AQ286" s="56"/>
      <c r="AR286" s="56"/>
      <c r="AS286" s="56"/>
    </row>
    <row r="287" spans="1:4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D287" s="56"/>
      <c r="AE287" s="56"/>
      <c r="AF287" s="56"/>
      <c r="AG287" s="56"/>
      <c r="AH287" s="56"/>
      <c r="AI287" s="56"/>
      <c r="AJ287" s="56"/>
      <c r="AQ287" s="56"/>
      <c r="AR287" s="56"/>
      <c r="AS287" s="56"/>
    </row>
    <row r="288" spans="1:4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D288" s="56"/>
      <c r="AE288" s="56"/>
      <c r="AF288" s="56"/>
      <c r="AG288" s="56"/>
      <c r="AH288" s="56"/>
      <c r="AI288" s="56"/>
      <c r="AJ288" s="56"/>
      <c r="AQ288" s="56"/>
      <c r="AR288" s="56"/>
      <c r="AS288" s="56"/>
    </row>
    <row r="289" spans="1:4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D289" s="56"/>
      <c r="AE289" s="56"/>
      <c r="AF289" s="56"/>
      <c r="AG289" s="56"/>
      <c r="AH289" s="56"/>
      <c r="AI289" s="56"/>
      <c r="AJ289" s="56"/>
      <c r="AQ289" s="56"/>
      <c r="AR289" s="56"/>
      <c r="AS289" s="56"/>
    </row>
    <row r="290" spans="1:4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D290" s="56"/>
      <c r="AE290" s="56"/>
      <c r="AF290" s="56"/>
      <c r="AG290" s="56"/>
      <c r="AH290" s="56"/>
      <c r="AI290" s="56"/>
      <c r="AJ290" s="56"/>
      <c r="AQ290" s="56"/>
      <c r="AR290" s="56"/>
      <c r="AS290" s="56"/>
    </row>
    <row r="291" spans="1:4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D291" s="56"/>
      <c r="AE291" s="56"/>
      <c r="AF291" s="56"/>
      <c r="AG291" s="56"/>
      <c r="AH291" s="56"/>
      <c r="AI291" s="56"/>
      <c r="AJ291" s="56"/>
      <c r="AQ291" s="56"/>
      <c r="AR291" s="56"/>
      <c r="AS291" s="56"/>
    </row>
    <row r="292" spans="1:4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D292" s="56"/>
      <c r="AE292" s="56"/>
      <c r="AF292" s="56"/>
      <c r="AG292" s="56"/>
      <c r="AH292" s="56"/>
      <c r="AI292" s="56"/>
      <c r="AJ292" s="56"/>
      <c r="AQ292" s="56"/>
      <c r="AR292" s="56"/>
      <c r="AS292" s="56"/>
    </row>
    <row r="293" spans="1:4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D293" s="56"/>
      <c r="AE293" s="56"/>
      <c r="AF293" s="56"/>
      <c r="AG293" s="56"/>
      <c r="AH293" s="56"/>
      <c r="AI293" s="56"/>
      <c r="AJ293" s="56"/>
      <c r="AQ293" s="56"/>
      <c r="AR293" s="56"/>
      <c r="AS293" s="56"/>
    </row>
    <row r="294" spans="1:4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D294" s="56"/>
      <c r="AE294" s="56"/>
      <c r="AF294" s="56"/>
      <c r="AG294" s="56"/>
      <c r="AH294" s="56"/>
      <c r="AI294" s="56"/>
      <c r="AJ294" s="56"/>
      <c r="AQ294" s="56"/>
      <c r="AR294" s="56"/>
      <c r="AS294" s="56"/>
    </row>
    <row r="295" spans="1:4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D295" s="56"/>
      <c r="AE295" s="56"/>
      <c r="AF295" s="56"/>
      <c r="AG295" s="56"/>
      <c r="AH295" s="56"/>
      <c r="AI295" s="56"/>
      <c r="AJ295" s="56"/>
      <c r="AQ295" s="56"/>
      <c r="AR295" s="56"/>
      <c r="AS295" s="56"/>
    </row>
    <row r="296" spans="1:4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D296" s="56"/>
      <c r="AE296" s="56"/>
      <c r="AF296" s="56"/>
      <c r="AG296" s="56"/>
      <c r="AH296" s="56"/>
      <c r="AI296" s="56"/>
      <c r="AJ296" s="56"/>
      <c r="AQ296" s="56"/>
      <c r="AR296" s="56"/>
      <c r="AS296" s="56"/>
    </row>
    <row r="297" spans="1:4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D297" s="56"/>
      <c r="AE297" s="56"/>
      <c r="AF297" s="56"/>
      <c r="AG297" s="56"/>
      <c r="AH297" s="56"/>
      <c r="AI297" s="56"/>
      <c r="AJ297" s="56"/>
      <c r="AQ297" s="56"/>
      <c r="AR297" s="56"/>
      <c r="AS297" s="56"/>
    </row>
    <row r="298" spans="1:4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D298" s="56"/>
      <c r="AE298" s="56"/>
      <c r="AF298" s="56"/>
      <c r="AG298" s="56"/>
      <c r="AH298" s="56"/>
      <c r="AI298" s="56"/>
      <c r="AJ298" s="56"/>
      <c r="AQ298" s="56"/>
      <c r="AR298" s="56"/>
      <c r="AS298" s="56"/>
    </row>
    <row r="299" spans="1:4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D299" s="56"/>
      <c r="AE299" s="56"/>
      <c r="AF299" s="56"/>
      <c r="AG299" s="56"/>
      <c r="AH299" s="56"/>
      <c r="AI299" s="56"/>
      <c r="AJ299" s="56"/>
      <c r="AQ299" s="56"/>
      <c r="AR299" s="56"/>
      <c r="AS299" s="56"/>
    </row>
    <row r="300" spans="1:4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D300" s="56"/>
      <c r="AE300" s="56"/>
      <c r="AF300" s="56"/>
      <c r="AG300" s="56"/>
      <c r="AH300" s="56"/>
      <c r="AI300" s="56"/>
      <c r="AJ300" s="56"/>
      <c r="AQ300" s="56"/>
      <c r="AR300" s="56"/>
      <c r="AS300" s="56"/>
    </row>
    <row r="301" spans="1:4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D301" s="56"/>
      <c r="AE301" s="56"/>
      <c r="AF301" s="56"/>
      <c r="AG301" s="56"/>
      <c r="AH301" s="56"/>
      <c r="AI301" s="56"/>
      <c r="AJ301" s="56"/>
      <c r="AQ301" s="56"/>
      <c r="AR301" s="56"/>
      <c r="AS301" s="56"/>
    </row>
    <row r="302" spans="1:4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D302" s="56"/>
      <c r="AE302" s="56"/>
      <c r="AF302" s="56"/>
      <c r="AG302" s="56"/>
      <c r="AH302" s="56"/>
      <c r="AI302" s="56"/>
      <c r="AJ302" s="56"/>
      <c r="AQ302" s="56"/>
      <c r="AR302" s="56"/>
      <c r="AS302" s="56"/>
    </row>
    <row r="303" spans="1:4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D303" s="56"/>
      <c r="AE303" s="56"/>
      <c r="AF303" s="56"/>
      <c r="AG303" s="56"/>
      <c r="AH303" s="56"/>
      <c r="AI303" s="56"/>
      <c r="AJ303" s="56"/>
      <c r="AQ303" s="56"/>
      <c r="AR303" s="56"/>
      <c r="AS303" s="56"/>
    </row>
    <row r="304" spans="1:4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D304" s="56"/>
      <c r="AE304" s="56"/>
      <c r="AF304" s="56"/>
      <c r="AG304" s="56"/>
      <c r="AH304" s="56"/>
      <c r="AI304" s="56"/>
      <c r="AJ304" s="56"/>
      <c r="AQ304" s="56"/>
      <c r="AR304" s="56"/>
      <c r="AS304" s="56"/>
    </row>
    <row r="305" spans="1:4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D305" s="56"/>
      <c r="AE305" s="56"/>
      <c r="AF305" s="56"/>
      <c r="AG305" s="56"/>
      <c r="AH305" s="56"/>
      <c r="AI305" s="56"/>
      <c r="AJ305" s="56"/>
      <c r="AQ305" s="56"/>
      <c r="AR305" s="56"/>
      <c r="AS305" s="56"/>
    </row>
    <row r="306" spans="1:4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D306" s="56"/>
      <c r="AE306" s="56"/>
      <c r="AF306" s="56"/>
      <c r="AG306" s="56"/>
      <c r="AH306" s="56"/>
      <c r="AI306" s="56"/>
      <c r="AJ306" s="56"/>
      <c r="AQ306" s="56"/>
      <c r="AR306" s="56"/>
      <c r="AS306" s="56"/>
    </row>
    <row r="307" spans="1:4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D307" s="56"/>
      <c r="AE307" s="56"/>
      <c r="AF307" s="56"/>
      <c r="AG307" s="56"/>
      <c r="AH307" s="56"/>
      <c r="AI307" s="56"/>
      <c r="AJ307" s="56"/>
      <c r="AQ307" s="56"/>
      <c r="AR307" s="56"/>
      <c r="AS307" s="56"/>
    </row>
    <row r="308" spans="1:4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D308" s="56"/>
      <c r="AE308" s="56"/>
      <c r="AF308" s="56"/>
      <c r="AG308" s="56"/>
      <c r="AH308" s="56"/>
      <c r="AI308" s="56"/>
      <c r="AJ308" s="56"/>
      <c r="AQ308" s="56"/>
      <c r="AR308" s="56"/>
      <c r="AS308" s="56"/>
    </row>
    <row r="309" spans="1:4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D309" s="56"/>
      <c r="AE309" s="56"/>
      <c r="AF309" s="56"/>
      <c r="AG309" s="56"/>
      <c r="AH309" s="56"/>
      <c r="AI309" s="56"/>
      <c r="AJ309" s="56"/>
      <c r="AQ309" s="56"/>
      <c r="AR309" s="56"/>
      <c r="AS309" s="56"/>
    </row>
    <row r="310" spans="1:4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D310" s="56"/>
      <c r="AE310" s="56"/>
      <c r="AF310" s="56"/>
      <c r="AG310" s="56"/>
      <c r="AH310" s="56"/>
      <c r="AI310" s="56"/>
      <c r="AJ310" s="56"/>
      <c r="AQ310" s="56"/>
      <c r="AR310" s="56"/>
      <c r="AS310" s="56"/>
    </row>
    <row r="311" spans="1:4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D311" s="56"/>
      <c r="AE311" s="56"/>
      <c r="AF311" s="56"/>
      <c r="AG311" s="56"/>
      <c r="AH311" s="56"/>
      <c r="AI311" s="56"/>
      <c r="AJ311" s="56"/>
      <c r="AQ311" s="56"/>
      <c r="AR311" s="56"/>
      <c r="AS311" s="56"/>
    </row>
    <row r="312" spans="1:4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D312" s="56"/>
      <c r="AE312" s="56"/>
      <c r="AF312" s="56"/>
      <c r="AG312" s="56"/>
      <c r="AH312" s="56"/>
      <c r="AI312" s="56"/>
      <c r="AJ312" s="56"/>
      <c r="AQ312" s="56"/>
      <c r="AR312" s="56"/>
      <c r="AS312" s="56"/>
    </row>
    <row r="313" spans="1:4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D313" s="56"/>
      <c r="AE313" s="56"/>
      <c r="AF313" s="56"/>
      <c r="AG313" s="56"/>
      <c r="AH313" s="56"/>
      <c r="AI313" s="56"/>
      <c r="AJ313" s="56"/>
      <c r="AQ313" s="56"/>
      <c r="AR313" s="56"/>
      <c r="AS313" s="56"/>
    </row>
    <row r="314" spans="1:4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D314" s="56"/>
      <c r="AE314" s="56"/>
      <c r="AF314" s="56"/>
      <c r="AG314" s="56"/>
      <c r="AH314" s="56"/>
      <c r="AI314" s="56"/>
      <c r="AJ314" s="56"/>
      <c r="AQ314" s="56"/>
      <c r="AR314" s="56"/>
      <c r="AS314" s="56"/>
    </row>
    <row r="315" spans="1:4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D315" s="56"/>
      <c r="AE315" s="56"/>
      <c r="AF315" s="56"/>
      <c r="AG315" s="56"/>
      <c r="AH315" s="56"/>
      <c r="AI315" s="56"/>
      <c r="AJ315" s="56"/>
      <c r="AQ315" s="56"/>
      <c r="AR315" s="56"/>
      <c r="AS315" s="56"/>
    </row>
    <row r="316" spans="1:4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D316" s="56"/>
      <c r="AE316" s="56"/>
      <c r="AF316" s="56"/>
      <c r="AG316" s="56"/>
      <c r="AH316" s="56"/>
      <c r="AI316" s="56"/>
      <c r="AJ316" s="56"/>
      <c r="AQ316" s="56"/>
      <c r="AR316" s="56"/>
      <c r="AS316" s="56"/>
    </row>
    <row r="317" spans="1:4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D317" s="56"/>
      <c r="AE317" s="56"/>
      <c r="AF317" s="56"/>
      <c r="AG317" s="56"/>
      <c r="AH317" s="56"/>
      <c r="AI317" s="56"/>
      <c r="AJ317" s="56"/>
      <c r="AQ317" s="56"/>
      <c r="AR317" s="56"/>
      <c r="AS317" s="56"/>
    </row>
    <row r="318" spans="1:4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D318" s="56"/>
      <c r="AE318" s="56"/>
      <c r="AF318" s="56"/>
      <c r="AG318" s="56"/>
      <c r="AH318" s="56"/>
      <c r="AI318" s="56"/>
      <c r="AJ318" s="56"/>
      <c r="AQ318" s="56"/>
      <c r="AR318" s="56"/>
      <c r="AS318" s="56"/>
    </row>
    <row r="319" spans="1:4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D319" s="56"/>
      <c r="AE319" s="56"/>
      <c r="AF319" s="56"/>
      <c r="AG319" s="56"/>
      <c r="AH319" s="56"/>
      <c r="AI319" s="56"/>
      <c r="AJ319" s="56"/>
      <c r="AQ319" s="56"/>
      <c r="AR319" s="56"/>
      <c r="AS319" s="56"/>
    </row>
    <row r="320" spans="1:4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D320" s="56"/>
      <c r="AE320" s="56"/>
      <c r="AF320" s="56"/>
      <c r="AG320" s="56"/>
      <c r="AH320" s="56"/>
      <c r="AI320" s="56"/>
      <c r="AJ320" s="56"/>
      <c r="AQ320" s="56"/>
      <c r="AR320" s="56"/>
      <c r="AS320" s="56"/>
    </row>
    <row r="321" spans="1:4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D321" s="56"/>
      <c r="AE321" s="56"/>
      <c r="AF321" s="56"/>
      <c r="AG321" s="56"/>
      <c r="AH321" s="56"/>
      <c r="AI321" s="56"/>
      <c r="AJ321" s="56"/>
      <c r="AQ321" s="56"/>
      <c r="AR321" s="56"/>
      <c r="AS321" s="56"/>
    </row>
    <row r="322" spans="1:4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D322" s="56"/>
      <c r="AE322" s="56"/>
      <c r="AF322" s="56"/>
      <c r="AG322" s="56"/>
      <c r="AH322" s="56"/>
      <c r="AI322" s="56"/>
      <c r="AJ322" s="56"/>
      <c r="AQ322" s="56"/>
      <c r="AR322" s="56"/>
      <c r="AS322" s="56"/>
    </row>
    <row r="323" spans="1:4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D323" s="56"/>
      <c r="AE323" s="56"/>
      <c r="AF323" s="56"/>
      <c r="AG323" s="56"/>
      <c r="AH323" s="56"/>
      <c r="AI323" s="56"/>
      <c r="AJ323" s="56"/>
      <c r="AQ323" s="56"/>
      <c r="AR323" s="56"/>
      <c r="AS323" s="56"/>
    </row>
    <row r="324" spans="1:4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D324" s="56"/>
      <c r="AE324" s="56"/>
      <c r="AF324" s="56"/>
      <c r="AG324" s="56"/>
      <c r="AH324" s="56"/>
      <c r="AI324" s="56"/>
      <c r="AJ324" s="56"/>
      <c r="AQ324" s="56"/>
      <c r="AR324" s="56"/>
      <c r="AS324" s="56"/>
    </row>
    <row r="325" spans="1:4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D325" s="56"/>
      <c r="AE325" s="56"/>
      <c r="AF325" s="56"/>
      <c r="AG325" s="56"/>
      <c r="AH325" s="56"/>
      <c r="AI325" s="56"/>
      <c r="AJ325" s="56"/>
      <c r="AQ325" s="56"/>
      <c r="AR325" s="56"/>
      <c r="AS325" s="56"/>
    </row>
    <row r="326" spans="1:4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D326" s="56"/>
      <c r="AE326" s="56"/>
      <c r="AF326" s="56"/>
      <c r="AG326" s="56"/>
      <c r="AH326" s="56"/>
      <c r="AI326" s="56"/>
      <c r="AJ326" s="56"/>
      <c r="AQ326" s="56"/>
      <c r="AR326" s="56"/>
      <c r="AS326" s="56"/>
    </row>
    <row r="327" spans="1:4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D327" s="56"/>
      <c r="AE327" s="56"/>
      <c r="AF327" s="56"/>
      <c r="AG327" s="56"/>
      <c r="AH327" s="56"/>
      <c r="AI327" s="56"/>
      <c r="AJ327" s="56"/>
      <c r="AQ327" s="56"/>
      <c r="AR327" s="56"/>
      <c r="AS327" s="56"/>
    </row>
    <row r="328" spans="1:4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D328" s="56"/>
      <c r="AE328" s="56"/>
      <c r="AF328" s="56"/>
      <c r="AG328" s="56"/>
      <c r="AH328" s="56"/>
      <c r="AI328" s="56"/>
      <c r="AJ328" s="56"/>
      <c r="AQ328" s="56"/>
      <c r="AR328" s="56"/>
      <c r="AS328" s="56"/>
    </row>
    <row r="329" spans="1:4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D329" s="56"/>
      <c r="AE329" s="56"/>
      <c r="AF329" s="56"/>
      <c r="AG329" s="56"/>
      <c r="AH329" s="56"/>
      <c r="AI329" s="56"/>
      <c r="AJ329" s="56"/>
      <c r="AQ329" s="56"/>
      <c r="AR329" s="56"/>
      <c r="AS329" s="56"/>
    </row>
    <row r="330" spans="1:4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D330" s="56"/>
      <c r="AE330" s="56"/>
      <c r="AF330" s="56"/>
      <c r="AG330" s="56"/>
      <c r="AH330" s="56"/>
      <c r="AI330" s="56"/>
      <c r="AJ330" s="56"/>
      <c r="AQ330" s="56"/>
      <c r="AR330" s="56"/>
      <c r="AS330" s="56"/>
    </row>
    <row r="331" spans="1:4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D331" s="56"/>
      <c r="AE331" s="56"/>
      <c r="AF331" s="56"/>
      <c r="AG331" s="56"/>
      <c r="AH331" s="56"/>
      <c r="AI331" s="56"/>
      <c r="AJ331" s="56"/>
      <c r="AQ331" s="56"/>
      <c r="AR331" s="56"/>
      <c r="AS331" s="56"/>
    </row>
    <row r="332" spans="1:4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D332" s="56"/>
      <c r="AE332" s="56"/>
      <c r="AF332" s="56"/>
      <c r="AG332" s="56"/>
      <c r="AH332" s="56"/>
      <c r="AI332" s="56"/>
      <c r="AJ332" s="56"/>
      <c r="AQ332" s="56"/>
      <c r="AR332" s="56"/>
      <c r="AS332" s="56"/>
    </row>
    <row r="333" spans="1:4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D333" s="56"/>
      <c r="AE333" s="56"/>
      <c r="AF333" s="56"/>
      <c r="AG333" s="56"/>
      <c r="AH333" s="56"/>
      <c r="AI333" s="56"/>
      <c r="AJ333" s="56"/>
      <c r="AQ333" s="56"/>
      <c r="AR333" s="56"/>
      <c r="AS333" s="56"/>
    </row>
    <row r="334" spans="1:4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D334" s="56"/>
      <c r="AE334" s="56"/>
      <c r="AF334" s="56"/>
      <c r="AG334" s="56"/>
      <c r="AH334" s="56"/>
      <c r="AI334" s="56"/>
      <c r="AJ334" s="56"/>
      <c r="AQ334" s="56"/>
      <c r="AR334" s="56"/>
      <c r="AS334" s="56"/>
    </row>
    <row r="335" spans="1:4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D335" s="56"/>
      <c r="AE335" s="56"/>
      <c r="AF335" s="56"/>
      <c r="AG335" s="56"/>
      <c r="AH335" s="56"/>
      <c r="AI335" s="56"/>
      <c r="AJ335" s="56"/>
      <c r="AQ335" s="56"/>
      <c r="AR335" s="56"/>
      <c r="AS335" s="56"/>
    </row>
    <row r="336" spans="1:4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D336" s="56"/>
      <c r="AE336" s="56"/>
      <c r="AF336" s="56"/>
      <c r="AG336" s="56"/>
      <c r="AH336" s="56"/>
      <c r="AI336" s="56"/>
      <c r="AJ336" s="56"/>
      <c r="AQ336" s="56"/>
      <c r="AR336" s="56"/>
      <c r="AS336" s="56"/>
    </row>
    <row r="337" spans="1:4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D337" s="56"/>
      <c r="AE337" s="56"/>
      <c r="AF337" s="56"/>
      <c r="AG337" s="56"/>
      <c r="AH337" s="56"/>
      <c r="AI337" s="56"/>
      <c r="AJ337" s="56"/>
      <c r="AQ337" s="56"/>
      <c r="AR337" s="56"/>
      <c r="AS337" s="56"/>
    </row>
    <row r="338" spans="1:4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D338" s="56"/>
      <c r="AE338" s="56"/>
      <c r="AF338" s="56"/>
      <c r="AG338" s="56"/>
      <c r="AH338" s="56"/>
      <c r="AI338" s="56"/>
      <c r="AJ338" s="56"/>
      <c r="AQ338" s="56"/>
      <c r="AR338" s="56"/>
      <c r="AS338" s="56"/>
    </row>
    <row r="339" spans="1:4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D339" s="56"/>
      <c r="AE339" s="56"/>
      <c r="AF339" s="56"/>
      <c r="AG339" s="56"/>
      <c r="AH339" s="56"/>
      <c r="AI339" s="56"/>
      <c r="AJ339" s="56"/>
      <c r="AQ339" s="56"/>
      <c r="AR339" s="56"/>
      <c r="AS339" s="56"/>
    </row>
    <row r="340" spans="1:4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D340" s="56"/>
      <c r="AE340" s="56"/>
      <c r="AF340" s="56"/>
      <c r="AG340" s="56"/>
      <c r="AH340" s="56"/>
      <c r="AI340" s="56"/>
      <c r="AJ340" s="56"/>
      <c r="AQ340" s="56"/>
      <c r="AR340" s="56"/>
      <c r="AS340" s="56"/>
    </row>
    <row r="341" spans="1:4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D341" s="56"/>
      <c r="AE341" s="56"/>
      <c r="AF341" s="56"/>
      <c r="AG341" s="56"/>
      <c r="AH341" s="56"/>
      <c r="AI341" s="56"/>
      <c r="AJ341" s="56"/>
      <c r="AQ341" s="56"/>
      <c r="AR341" s="56"/>
      <c r="AS341" s="56"/>
    </row>
    <row r="342" spans="1:4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D342" s="56"/>
      <c r="AE342" s="56"/>
      <c r="AF342" s="56"/>
      <c r="AG342" s="56"/>
      <c r="AH342" s="56"/>
      <c r="AI342" s="56"/>
      <c r="AJ342" s="56"/>
      <c r="AQ342" s="56"/>
      <c r="AR342" s="56"/>
      <c r="AS342" s="56"/>
    </row>
    <row r="343" spans="1:4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D343" s="56"/>
      <c r="AE343" s="56"/>
      <c r="AF343" s="56"/>
      <c r="AG343" s="56"/>
      <c r="AH343" s="56"/>
      <c r="AI343" s="56"/>
      <c r="AJ343" s="56"/>
      <c r="AQ343" s="56"/>
      <c r="AR343" s="56"/>
      <c r="AS343" s="56"/>
    </row>
    <row r="344" spans="1:4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D344" s="56"/>
      <c r="AE344" s="56"/>
      <c r="AF344" s="56"/>
      <c r="AG344" s="56"/>
      <c r="AH344" s="56"/>
      <c r="AI344" s="56"/>
      <c r="AJ344" s="56"/>
      <c r="AQ344" s="56"/>
      <c r="AR344" s="56"/>
      <c r="AS344" s="56"/>
    </row>
    <row r="345" spans="1:4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D345" s="56"/>
      <c r="AE345" s="56"/>
      <c r="AF345" s="56"/>
      <c r="AG345" s="56"/>
      <c r="AH345" s="56"/>
      <c r="AI345" s="56"/>
      <c r="AJ345" s="56"/>
      <c r="AQ345" s="56"/>
      <c r="AR345" s="56"/>
      <c r="AS345" s="56"/>
    </row>
    <row r="346" spans="1:4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D346" s="56"/>
      <c r="AE346" s="56"/>
      <c r="AF346" s="56"/>
      <c r="AG346" s="56"/>
      <c r="AH346" s="56"/>
      <c r="AI346" s="56"/>
      <c r="AJ346" s="56"/>
      <c r="AQ346" s="56"/>
      <c r="AR346" s="56"/>
      <c r="AS346" s="56"/>
    </row>
    <row r="347" spans="1:4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D347" s="56"/>
      <c r="AE347" s="56"/>
      <c r="AF347" s="56"/>
      <c r="AG347" s="56"/>
      <c r="AH347" s="56"/>
      <c r="AI347" s="56"/>
      <c r="AJ347" s="56"/>
      <c r="AQ347" s="56"/>
      <c r="AR347" s="56"/>
      <c r="AS347" s="56"/>
    </row>
    <row r="348" spans="1:4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D348" s="56"/>
      <c r="AE348" s="56"/>
      <c r="AF348" s="56"/>
      <c r="AG348" s="56"/>
      <c r="AH348" s="56"/>
      <c r="AI348" s="56"/>
      <c r="AJ348" s="56"/>
      <c r="AQ348" s="56"/>
      <c r="AR348" s="56"/>
      <c r="AS348" s="56"/>
    </row>
    <row r="349" spans="1:4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D349" s="56"/>
      <c r="AE349" s="56"/>
      <c r="AF349" s="56"/>
      <c r="AG349" s="56"/>
      <c r="AH349" s="56"/>
      <c r="AI349" s="56"/>
      <c r="AJ349" s="56"/>
      <c r="AQ349" s="56"/>
      <c r="AR349" s="56"/>
      <c r="AS349" s="56"/>
    </row>
    <row r="350" spans="1:4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D350" s="56"/>
      <c r="AE350" s="56"/>
      <c r="AF350" s="56"/>
      <c r="AG350" s="56"/>
      <c r="AH350" s="56"/>
      <c r="AI350" s="56"/>
      <c r="AJ350" s="56"/>
      <c r="AQ350" s="56"/>
      <c r="AR350" s="56"/>
      <c r="AS350" s="56"/>
    </row>
    <row r="351" spans="1:4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D351" s="56"/>
      <c r="AE351" s="56"/>
      <c r="AF351" s="56"/>
      <c r="AG351" s="56"/>
      <c r="AH351" s="56"/>
      <c r="AI351" s="56"/>
      <c r="AJ351" s="56"/>
      <c r="AQ351" s="56"/>
      <c r="AR351" s="56"/>
      <c r="AS351" s="56"/>
    </row>
    <row r="352" spans="1:4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D352" s="56"/>
      <c r="AE352" s="56"/>
      <c r="AF352" s="56"/>
      <c r="AG352" s="56"/>
      <c r="AH352" s="56"/>
      <c r="AI352" s="56"/>
      <c r="AJ352" s="56"/>
      <c r="AQ352" s="56"/>
      <c r="AR352" s="56"/>
      <c r="AS352" s="56"/>
    </row>
    <row r="353" spans="1:4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D353" s="56"/>
      <c r="AE353" s="56"/>
      <c r="AF353" s="56"/>
      <c r="AG353" s="56"/>
      <c r="AH353" s="56"/>
      <c r="AI353" s="56"/>
      <c r="AJ353" s="56"/>
      <c r="AQ353" s="56"/>
      <c r="AR353" s="56"/>
      <c r="AS353" s="56"/>
    </row>
    <row r="354" spans="1:4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D354" s="56"/>
      <c r="AE354" s="56"/>
      <c r="AF354" s="56"/>
      <c r="AG354" s="56"/>
      <c r="AH354" s="56"/>
      <c r="AI354" s="56"/>
      <c r="AJ354" s="56"/>
      <c r="AQ354" s="56"/>
      <c r="AR354" s="56"/>
      <c r="AS354" s="56"/>
    </row>
    <row r="355" spans="1:4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D355" s="56"/>
      <c r="AE355" s="56"/>
      <c r="AF355" s="56"/>
      <c r="AG355" s="56"/>
      <c r="AH355" s="56"/>
      <c r="AI355" s="56"/>
      <c r="AJ355" s="56"/>
      <c r="AQ355" s="56"/>
      <c r="AR355" s="56"/>
      <c r="AS355" s="56"/>
    </row>
    <row r="356" spans="1:4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D356" s="56"/>
      <c r="AE356" s="56"/>
      <c r="AF356" s="56"/>
      <c r="AG356" s="56"/>
      <c r="AH356" s="56"/>
      <c r="AI356" s="56"/>
      <c r="AJ356" s="56"/>
      <c r="AQ356" s="56"/>
      <c r="AR356" s="56"/>
      <c r="AS356" s="56"/>
    </row>
    <row r="357" spans="1:4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D357" s="56"/>
      <c r="AE357" s="56"/>
      <c r="AF357" s="56"/>
      <c r="AG357" s="56"/>
      <c r="AH357" s="56"/>
      <c r="AI357" s="56"/>
      <c r="AJ357" s="56"/>
      <c r="AQ357" s="56"/>
      <c r="AR357" s="56"/>
      <c r="AS357" s="56"/>
    </row>
    <row r="358" spans="1:4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D358" s="56"/>
      <c r="AE358" s="56"/>
      <c r="AF358" s="56"/>
      <c r="AG358" s="56"/>
      <c r="AH358" s="56"/>
      <c r="AI358" s="56"/>
      <c r="AJ358" s="56"/>
      <c r="AQ358" s="56"/>
      <c r="AR358" s="56"/>
      <c r="AS358" s="56"/>
    </row>
    <row r="359" spans="1:4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D359" s="56"/>
      <c r="AE359" s="56"/>
      <c r="AF359" s="56"/>
      <c r="AG359" s="56"/>
      <c r="AH359" s="56"/>
      <c r="AI359" s="56"/>
      <c r="AJ359" s="56"/>
      <c r="AQ359" s="56"/>
      <c r="AR359" s="56"/>
      <c r="AS359" s="56"/>
    </row>
    <row r="360" spans="1:4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D360" s="56"/>
      <c r="AE360" s="56"/>
      <c r="AF360" s="56"/>
      <c r="AG360" s="56"/>
      <c r="AH360" s="56"/>
      <c r="AI360" s="56"/>
      <c r="AJ360" s="56"/>
      <c r="AQ360" s="56"/>
      <c r="AR360" s="56"/>
      <c r="AS360" s="56"/>
    </row>
    <row r="361" spans="1:4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D361" s="56"/>
      <c r="AE361" s="56"/>
      <c r="AF361" s="56"/>
      <c r="AG361" s="56"/>
      <c r="AH361" s="56"/>
      <c r="AI361" s="56"/>
      <c r="AJ361" s="56"/>
      <c r="AQ361" s="56"/>
      <c r="AR361" s="56"/>
      <c r="AS361" s="56"/>
    </row>
    <row r="362" spans="1:4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D362" s="56"/>
      <c r="AE362" s="56"/>
      <c r="AF362" s="56"/>
      <c r="AG362" s="56"/>
      <c r="AH362" s="56"/>
      <c r="AI362" s="56"/>
      <c r="AJ362" s="56"/>
      <c r="AQ362" s="56"/>
      <c r="AR362" s="56"/>
      <c r="AS362" s="56"/>
    </row>
    <row r="363" spans="1:4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D363" s="56"/>
      <c r="AE363" s="56"/>
      <c r="AF363" s="56"/>
      <c r="AG363" s="56"/>
      <c r="AH363" s="56"/>
      <c r="AI363" s="56"/>
      <c r="AJ363" s="56"/>
      <c r="AQ363" s="56"/>
      <c r="AR363" s="56"/>
      <c r="AS363" s="56"/>
    </row>
    <row r="364" spans="1:4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D364" s="56"/>
      <c r="AE364" s="56"/>
      <c r="AF364" s="56"/>
      <c r="AG364" s="56"/>
      <c r="AH364" s="56"/>
      <c r="AI364" s="56"/>
      <c r="AJ364" s="56"/>
      <c r="AQ364" s="56"/>
      <c r="AR364" s="56"/>
      <c r="AS364" s="56"/>
    </row>
    <row r="365" spans="1:4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D365" s="56"/>
      <c r="AE365" s="56"/>
      <c r="AF365" s="56"/>
      <c r="AG365" s="56"/>
      <c r="AH365" s="56"/>
      <c r="AI365" s="56"/>
      <c r="AJ365" s="56"/>
      <c r="AQ365" s="56"/>
      <c r="AR365" s="56"/>
      <c r="AS365" s="56"/>
    </row>
    <row r="366" spans="1:4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D366" s="56"/>
      <c r="AE366" s="56"/>
      <c r="AF366" s="56"/>
      <c r="AG366" s="56"/>
      <c r="AH366" s="56"/>
      <c r="AI366" s="56"/>
      <c r="AJ366" s="56"/>
      <c r="AQ366" s="56"/>
      <c r="AR366" s="56"/>
      <c r="AS366" s="56"/>
    </row>
    <row r="367" spans="1:4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D367" s="56"/>
      <c r="AE367" s="56"/>
      <c r="AF367" s="56"/>
      <c r="AG367" s="56"/>
      <c r="AH367" s="56"/>
      <c r="AI367" s="56"/>
      <c r="AJ367" s="56"/>
      <c r="AQ367" s="56"/>
      <c r="AR367" s="56"/>
      <c r="AS367" s="56"/>
    </row>
    <row r="368" spans="1:4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D368" s="56"/>
      <c r="AE368" s="56"/>
      <c r="AF368" s="56"/>
      <c r="AG368" s="56"/>
      <c r="AH368" s="56"/>
      <c r="AI368" s="56"/>
      <c r="AJ368" s="56"/>
      <c r="AQ368" s="56"/>
      <c r="AR368" s="56"/>
      <c r="AS368" s="56"/>
    </row>
    <row r="369" spans="1:4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D369" s="56"/>
      <c r="AE369" s="56"/>
      <c r="AF369" s="56"/>
      <c r="AG369" s="56"/>
      <c r="AH369" s="56"/>
      <c r="AI369" s="56"/>
      <c r="AJ369" s="56"/>
      <c r="AQ369" s="56"/>
      <c r="AR369" s="56"/>
      <c r="AS369" s="56"/>
    </row>
    <row r="370" spans="1:4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D370" s="56"/>
      <c r="AE370" s="56"/>
      <c r="AF370" s="56"/>
      <c r="AG370" s="56"/>
      <c r="AH370" s="56"/>
      <c r="AI370" s="56"/>
      <c r="AJ370" s="56"/>
      <c r="AQ370" s="56"/>
      <c r="AR370" s="56"/>
      <c r="AS370" s="56"/>
    </row>
    <row r="371" spans="1:4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D371" s="56"/>
      <c r="AE371" s="56"/>
      <c r="AF371" s="56"/>
      <c r="AG371" s="56"/>
      <c r="AH371" s="56"/>
      <c r="AI371" s="56"/>
      <c r="AJ371" s="56"/>
      <c r="AQ371" s="56"/>
      <c r="AR371" s="56"/>
      <c r="AS371" s="56"/>
    </row>
    <row r="372" spans="1:4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D372" s="56"/>
      <c r="AE372" s="56"/>
      <c r="AF372" s="56"/>
      <c r="AG372" s="56"/>
      <c r="AH372" s="56"/>
      <c r="AI372" s="56"/>
      <c r="AJ372" s="56"/>
      <c r="AQ372" s="56"/>
      <c r="AR372" s="56"/>
      <c r="AS372" s="56"/>
    </row>
    <row r="373" spans="1:4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D373" s="56"/>
      <c r="AE373" s="56"/>
      <c r="AF373" s="56"/>
      <c r="AG373" s="56"/>
      <c r="AH373" s="56"/>
      <c r="AI373" s="56"/>
      <c r="AJ373" s="56"/>
      <c r="AQ373" s="56"/>
      <c r="AR373" s="56"/>
      <c r="AS373" s="56"/>
    </row>
    <row r="374" spans="1:4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D374" s="56"/>
      <c r="AE374" s="56"/>
      <c r="AF374" s="56"/>
      <c r="AG374" s="56"/>
      <c r="AH374" s="56"/>
      <c r="AI374" s="56"/>
      <c r="AJ374" s="56"/>
      <c r="AQ374" s="56"/>
      <c r="AR374" s="56"/>
      <c r="AS374" s="56"/>
    </row>
    <row r="375" spans="1:4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D375" s="56"/>
      <c r="AE375" s="56"/>
      <c r="AF375" s="56"/>
      <c r="AG375" s="56"/>
      <c r="AH375" s="56"/>
      <c r="AI375" s="56"/>
      <c r="AJ375" s="56"/>
      <c r="AQ375" s="56"/>
      <c r="AR375" s="56"/>
      <c r="AS375" s="56"/>
    </row>
    <row r="376" spans="1:4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D376" s="56"/>
      <c r="AE376" s="56"/>
      <c r="AF376" s="56"/>
      <c r="AG376" s="56"/>
      <c r="AH376" s="56"/>
      <c r="AI376" s="56"/>
      <c r="AJ376" s="56"/>
      <c r="AQ376" s="56"/>
      <c r="AR376" s="56"/>
      <c r="AS376" s="56"/>
    </row>
    <row r="377" spans="1:4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D377" s="56"/>
      <c r="AE377" s="56"/>
      <c r="AF377" s="56"/>
      <c r="AG377" s="56"/>
      <c r="AH377" s="56"/>
      <c r="AI377" s="56"/>
      <c r="AJ377" s="56"/>
      <c r="AQ377" s="56"/>
      <c r="AR377" s="56"/>
      <c r="AS377" s="56"/>
    </row>
    <row r="378" spans="1:4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D378" s="56"/>
      <c r="AE378" s="56"/>
      <c r="AF378" s="56"/>
      <c r="AG378" s="56"/>
      <c r="AH378" s="56"/>
      <c r="AI378" s="56"/>
      <c r="AJ378" s="56"/>
      <c r="AQ378" s="56"/>
      <c r="AR378" s="56"/>
      <c r="AS378" s="56"/>
    </row>
    <row r="379" spans="1:4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D379" s="56"/>
      <c r="AE379" s="56"/>
      <c r="AF379" s="56"/>
      <c r="AG379" s="56"/>
      <c r="AH379" s="56"/>
      <c r="AI379" s="56"/>
      <c r="AJ379" s="56"/>
      <c r="AQ379" s="56"/>
      <c r="AR379" s="56"/>
      <c r="AS379" s="56"/>
    </row>
    <row r="380" spans="1:4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D380" s="56"/>
      <c r="AE380" s="56"/>
      <c r="AF380" s="56"/>
      <c r="AG380" s="56"/>
      <c r="AH380" s="56"/>
      <c r="AI380" s="56"/>
      <c r="AJ380" s="56"/>
      <c r="AQ380" s="56"/>
      <c r="AR380" s="56"/>
      <c r="AS380" s="56"/>
    </row>
    <row r="381" spans="1:4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D381" s="56"/>
      <c r="AE381" s="56"/>
      <c r="AF381" s="56"/>
      <c r="AG381" s="56"/>
      <c r="AH381" s="56"/>
      <c r="AI381" s="56"/>
      <c r="AJ381" s="56"/>
      <c r="AQ381" s="56"/>
      <c r="AR381" s="56"/>
      <c r="AS381" s="56"/>
    </row>
    <row r="382" spans="1:4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D382" s="56"/>
      <c r="AE382" s="56"/>
      <c r="AF382" s="56"/>
      <c r="AG382" s="56"/>
      <c r="AH382" s="56"/>
      <c r="AI382" s="56"/>
      <c r="AJ382" s="56"/>
      <c r="AQ382" s="56"/>
      <c r="AR382" s="56"/>
      <c r="AS382" s="56"/>
    </row>
    <row r="383" spans="1:4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D383" s="56"/>
      <c r="AE383" s="56"/>
      <c r="AF383" s="56"/>
      <c r="AG383" s="56"/>
      <c r="AH383" s="56"/>
      <c r="AI383" s="56"/>
      <c r="AJ383" s="56"/>
      <c r="AQ383" s="56"/>
      <c r="AR383" s="56"/>
      <c r="AS383" s="56"/>
    </row>
    <row r="384" spans="1:4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D384" s="56"/>
      <c r="AE384" s="56"/>
      <c r="AF384" s="56"/>
      <c r="AG384" s="56"/>
      <c r="AH384" s="56"/>
      <c r="AI384" s="56"/>
      <c r="AJ384" s="56"/>
      <c r="AQ384" s="56"/>
      <c r="AR384" s="56"/>
      <c r="AS384" s="56"/>
    </row>
    <row r="385" spans="1:4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D385" s="56"/>
      <c r="AE385" s="56"/>
      <c r="AF385" s="56"/>
      <c r="AG385" s="56"/>
      <c r="AH385" s="56"/>
      <c r="AI385" s="56"/>
      <c r="AJ385" s="56"/>
      <c r="AQ385" s="56"/>
      <c r="AR385" s="56"/>
      <c r="AS385" s="56"/>
    </row>
    <row r="386" spans="1:4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D386" s="56"/>
      <c r="AE386" s="56"/>
      <c r="AF386" s="56"/>
      <c r="AG386" s="56"/>
      <c r="AH386" s="56"/>
      <c r="AI386" s="56"/>
      <c r="AJ386" s="56"/>
      <c r="AQ386" s="56"/>
      <c r="AR386" s="56"/>
      <c r="AS386" s="56"/>
    </row>
    <row r="387" spans="1:4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D387" s="56"/>
      <c r="AE387" s="56"/>
      <c r="AF387" s="56"/>
      <c r="AG387" s="56"/>
      <c r="AH387" s="56"/>
      <c r="AI387" s="56"/>
      <c r="AJ387" s="56"/>
      <c r="AQ387" s="56"/>
      <c r="AR387" s="56"/>
      <c r="AS387" s="56"/>
    </row>
    <row r="388" spans="1:4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D388" s="56"/>
      <c r="AE388" s="56"/>
      <c r="AF388" s="56"/>
      <c r="AG388" s="56"/>
      <c r="AH388" s="56"/>
      <c r="AI388" s="56"/>
      <c r="AJ388" s="56"/>
      <c r="AQ388" s="56"/>
      <c r="AR388" s="56"/>
      <c r="AS388" s="56"/>
    </row>
    <row r="389" spans="1:4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D389" s="56"/>
      <c r="AE389" s="56"/>
      <c r="AF389" s="56"/>
      <c r="AG389" s="56"/>
      <c r="AH389" s="56"/>
      <c r="AI389" s="56"/>
      <c r="AJ389" s="56"/>
      <c r="AQ389" s="56"/>
      <c r="AR389" s="56"/>
      <c r="AS389" s="56"/>
    </row>
    <row r="390" spans="1:4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D390" s="56"/>
      <c r="AE390" s="56"/>
      <c r="AF390" s="56"/>
      <c r="AG390" s="56"/>
      <c r="AH390" s="56"/>
      <c r="AI390" s="56"/>
      <c r="AJ390" s="56"/>
      <c r="AQ390" s="56"/>
      <c r="AR390" s="56"/>
      <c r="AS390" s="56"/>
    </row>
    <row r="391" spans="1:4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D391" s="56"/>
      <c r="AE391" s="56"/>
      <c r="AF391" s="56"/>
      <c r="AG391" s="56"/>
      <c r="AH391" s="56"/>
      <c r="AI391" s="56"/>
      <c r="AJ391" s="56"/>
      <c r="AQ391" s="56"/>
      <c r="AR391" s="56"/>
      <c r="AS391" s="56"/>
    </row>
    <row r="392" spans="1:4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D392" s="56"/>
      <c r="AE392" s="56"/>
      <c r="AF392" s="56"/>
      <c r="AG392" s="56"/>
      <c r="AH392" s="56"/>
      <c r="AI392" s="56"/>
      <c r="AJ392" s="56"/>
      <c r="AQ392" s="56"/>
      <c r="AR392" s="56"/>
      <c r="AS392" s="56"/>
    </row>
    <row r="393" spans="1:4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D393" s="56"/>
      <c r="AE393" s="56"/>
      <c r="AF393" s="56"/>
      <c r="AG393" s="56"/>
      <c r="AH393" s="56"/>
      <c r="AI393" s="56"/>
      <c r="AJ393" s="56"/>
      <c r="AQ393" s="56"/>
      <c r="AR393" s="56"/>
      <c r="AS393" s="56"/>
    </row>
    <row r="394" spans="1:4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D394" s="56"/>
      <c r="AE394" s="56"/>
      <c r="AF394" s="56"/>
      <c r="AG394" s="56"/>
      <c r="AH394" s="56"/>
      <c r="AI394" s="56"/>
      <c r="AJ394" s="56"/>
      <c r="AQ394" s="56"/>
      <c r="AR394" s="56"/>
      <c r="AS394" s="56"/>
    </row>
    <row r="395" spans="1:4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D395" s="56"/>
      <c r="AE395" s="56"/>
      <c r="AF395" s="56"/>
      <c r="AG395" s="56"/>
      <c r="AH395" s="56"/>
      <c r="AI395" s="56"/>
      <c r="AJ395" s="56"/>
      <c r="AQ395" s="56"/>
      <c r="AR395" s="56"/>
      <c r="AS395" s="56"/>
    </row>
    <row r="396" spans="1:4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D396" s="56"/>
      <c r="AE396" s="56"/>
      <c r="AF396" s="56"/>
      <c r="AG396" s="56"/>
      <c r="AH396" s="56"/>
      <c r="AI396" s="56"/>
      <c r="AJ396" s="56"/>
      <c r="AQ396" s="56"/>
      <c r="AR396" s="56"/>
      <c r="AS396" s="56"/>
    </row>
    <row r="397" spans="1:4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D397" s="56"/>
      <c r="AE397" s="56"/>
      <c r="AF397" s="56"/>
      <c r="AG397" s="56"/>
      <c r="AH397" s="56"/>
      <c r="AI397" s="56"/>
      <c r="AJ397" s="56"/>
      <c r="AQ397" s="56"/>
      <c r="AR397" s="56"/>
      <c r="AS397" s="56"/>
    </row>
    <row r="398" spans="1:4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D398" s="56"/>
      <c r="AE398" s="56"/>
      <c r="AF398" s="56"/>
      <c r="AG398" s="56"/>
      <c r="AH398" s="56"/>
      <c r="AI398" s="56"/>
      <c r="AJ398" s="56"/>
      <c r="AQ398" s="56"/>
      <c r="AR398" s="56"/>
      <c r="AS398" s="56"/>
    </row>
    <row r="399" spans="1:4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D399" s="56"/>
      <c r="AE399" s="56"/>
      <c r="AF399" s="56"/>
      <c r="AG399" s="56"/>
      <c r="AH399" s="56"/>
      <c r="AI399" s="56"/>
      <c r="AJ399" s="56"/>
      <c r="AQ399" s="56"/>
      <c r="AR399" s="56"/>
      <c r="AS399" s="56"/>
    </row>
    <row r="400" spans="1:4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D400" s="56"/>
      <c r="AE400" s="56"/>
      <c r="AF400" s="56"/>
      <c r="AG400" s="56"/>
      <c r="AH400" s="56"/>
      <c r="AI400" s="56"/>
      <c r="AJ400" s="56"/>
      <c r="AQ400" s="56"/>
      <c r="AR400" s="56"/>
      <c r="AS400" s="56"/>
    </row>
    <row r="401" spans="1:4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D401" s="56"/>
      <c r="AE401" s="56"/>
      <c r="AF401" s="56"/>
      <c r="AG401" s="56"/>
      <c r="AH401" s="56"/>
      <c r="AI401" s="56"/>
      <c r="AJ401" s="56"/>
      <c r="AQ401" s="56"/>
      <c r="AR401" s="56"/>
      <c r="AS401" s="56"/>
    </row>
    <row r="402" spans="1:4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D402" s="56"/>
      <c r="AE402" s="56"/>
      <c r="AF402" s="56"/>
      <c r="AG402" s="56"/>
      <c r="AH402" s="56"/>
      <c r="AI402" s="56"/>
      <c r="AJ402" s="56"/>
      <c r="AQ402" s="56"/>
      <c r="AR402" s="56"/>
      <c r="AS402" s="56"/>
    </row>
    <row r="403" spans="1:4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D403" s="56"/>
      <c r="AE403" s="56"/>
      <c r="AF403" s="56"/>
      <c r="AG403" s="56"/>
      <c r="AH403" s="56"/>
      <c r="AI403" s="56"/>
      <c r="AJ403" s="56"/>
      <c r="AQ403" s="56"/>
      <c r="AR403" s="56"/>
      <c r="AS403" s="56"/>
    </row>
    <row r="404" spans="1:4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D404" s="56"/>
      <c r="AE404" s="56"/>
      <c r="AF404" s="56"/>
      <c r="AG404" s="56"/>
      <c r="AH404" s="56"/>
      <c r="AI404" s="56"/>
      <c r="AJ404" s="56"/>
      <c r="AQ404" s="56"/>
      <c r="AR404" s="56"/>
      <c r="AS404" s="56"/>
    </row>
    <row r="405" spans="1:4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D405" s="56"/>
      <c r="AE405" s="56"/>
      <c r="AF405" s="56"/>
      <c r="AG405" s="56"/>
      <c r="AH405" s="56"/>
      <c r="AI405" s="56"/>
      <c r="AJ405" s="56"/>
      <c r="AQ405" s="56"/>
      <c r="AR405" s="56"/>
      <c r="AS405" s="56"/>
    </row>
    <row r="406" spans="1:4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D406" s="56"/>
      <c r="AE406" s="56"/>
      <c r="AF406" s="56"/>
      <c r="AG406" s="56"/>
      <c r="AH406" s="56"/>
      <c r="AI406" s="56"/>
      <c r="AJ406" s="56"/>
      <c r="AQ406" s="56"/>
      <c r="AR406" s="56"/>
      <c r="AS406" s="56"/>
    </row>
    <row r="407" spans="1:4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D407" s="56"/>
      <c r="AE407" s="56"/>
      <c r="AF407" s="56"/>
      <c r="AG407" s="56"/>
      <c r="AH407" s="56"/>
      <c r="AI407" s="56"/>
      <c r="AJ407" s="56"/>
      <c r="AQ407" s="56"/>
      <c r="AR407" s="56"/>
      <c r="AS407" s="56"/>
    </row>
    <row r="408" spans="1:4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D408" s="56"/>
      <c r="AE408" s="56"/>
      <c r="AF408" s="56"/>
      <c r="AG408" s="56"/>
      <c r="AH408" s="56"/>
      <c r="AI408" s="56"/>
      <c r="AJ408" s="56"/>
      <c r="AQ408" s="56"/>
      <c r="AR408" s="56"/>
      <c r="AS408" s="56"/>
    </row>
    <row r="409" spans="1:4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D409" s="56"/>
      <c r="AE409" s="56"/>
      <c r="AF409" s="56"/>
      <c r="AG409" s="56"/>
      <c r="AH409" s="56"/>
      <c r="AI409" s="56"/>
      <c r="AJ409" s="56"/>
      <c r="AQ409" s="56"/>
      <c r="AR409" s="56"/>
      <c r="AS409" s="56"/>
    </row>
    <row r="410" spans="1:4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D410" s="56"/>
      <c r="AE410" s="56"/>
      <c r="AF410" s="56"/>
      <c r="AG410" s="56"/>
      <c r="AH410" s="56"/>
      <c r="AI410" s="56"/>
      <c r="AJ410" s="56"/>
      <c r="AQ410" s="56"/>
      <c r="AR410" s="56"/>
      <c r="AS410" s="56"/>
    </row>
    <row r="411" spans="1:4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D411" s="56"/>
      <c r="AE411" s="56"/>
      <c r="AF411" s="56"/>
      <c r="AG411" s="56"/>
      <c r="AH411" s="56"/>
      <c r="AI411" s="56"/>
      <c r="AJ411" s="56"/>
      <c r="AQ411" s="56"/>
      <c r="AR411" s="56"/>
      <c r="AS411" s="56"/>
    </row>
    <row r="412" spans="1:4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D412" s="56"/>
      <c r="AE412" s="56"/>
      <c r="AF412" s="56"/>
      <c r="AG412" s="56"/>
      <c r="AH412" s="56"/>
      <c r="AI412" s="56"/>
      <c r="AJ412" s="56"/>
      <c r="AQ412" s="56"/>
      <c r="AR412" s="56"/>
      <c r="AS412" s="56"/>
    </row>
    <row r="413" spans="1:4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D413" s="56"/>
      <c r="AE413" s="56"/>
      <c r="AF413" s="56"/>
      <c r="AG413" s="56"/>
      <c r="AH413" s="56"/>
      <c r="AI413" s="56"/>
      <c r="AJ413" s="56"/>
      <c r="AQ413" s="56"/>
      <c r="AR413" s="56"/>
      <c r="AS413" s="56"/>
    </row>
    <row r="414" spans="1:4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D414" s="56"/>
      <c r="AE414" s="56"/>
      <c r="AF414" s="56"/>
      <c r="AG414" s="56"/>
      <c r="AH414" s="56"/>
      <c r="AI414" s="56"/>
      <c r="AJ414" s="56"/>
      <c r="AQ414" s="56"/>
      <c r="AR414" s="56"/>
      <c r="AS414" s="56"/>
    </row>
    <row r="415" spans="1:4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D415" s="56"/>
      <c r="AE415" s="56"/>
      <c r="AF415" s="56"/>
      <c r="AG415" s="56"/>
      <c r="AH415" s="56"/>
      <c r="AI415" s="56"/>
      <c r="AJ415" s="56"/>
      <c r="AQ415" s="56"/>
      <c r="AR415" s="56"/>
      <c r="AS415" s="56"/>
    </row>
    <row r="416" spans="1:4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D416" s="56"/>
      <c r="AE416" s="56"/>
      <c r="AF416" s="56"/>
      <c r="AG416" s="56"/>
      <c r="AH416" s="56"/>
      <c r="AI416" s="56"/>
      <c r="AJ416" s="56"/>
      <c r="AQ416" s="56"/>
      <c r="AR416" s="56"/>
      <c r="AS416" s="56"/>
    </row>
    <row r="417" spans="1:4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D417" s="56"/>
      <c r="AE417" s="56"/>
      <c r="AF417" s="56"/>
      <c r="AG417" s="56"/>
      <c r="AH417" s="56"/>
      <c r="AI417" s="56"/>
      <c r="AJ417" s="56"/>
      <c r="AQ417" s="56"/>
      <c r="AR417" s="56"/>
      <c r="AS417" s="56"/>
    </row>
    <row r="418" spans="1:4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D418" s="56"/>
      <c r="AE418" s="56"/>
      <c r="AF418" s="56"/>
      <c r="AG418" s="56"/>
      <c r="AH418" s="56"/>
      <c r="AI418" s="56"/>
      <c r="AJ418" s="56"/>
      <c r="AQ418" s="56"/>
      <c r="AR418" s="56"/>
      <c r="AS418" s="56"/>
    </row>
    <row r="419" spans="1:4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D419" s="56"/>
      <c r="AE419" s="56"/>
      <c r="AF419" s="56"/>
      <c r="AG419" s="56"/>
      <c r="AH419" s="56"/>
      <c r="AI419" s="56"/>
      <c r="AJ419" s="56"/>
      <c r="AQ419" s="56"/>
      <c r="AR419" s="56"/>
      <c r="AS419" s="56"/>
    </row>
    <row r="420" spans="1:4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D420" s="56"/>
      <c r="AE420" s="56"/>
      <c r="AF420" s="56"/>
      <c r="AG420" s="56"/>
      <c r="AH420" s="56"/>
      <c r="AI420" s="56"/>
      <c r="AJ420" s="56"/>
      <c r="AQ420" s="56"/>
      <c r="AR420" s="56"/>
      <c r="AS420" s="56"/>
    </row>
    <row r="421" spans="1:4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D421" s="56"/>
      <c r="AE421" s="56"/>
      <c r="AF421" s="56"/>
      <c r="AG421" s="56"/>
      <c r="AH421" s="56"/>
      <c r="AI421" s="56"/>
      <c r="AJ421" s="56"/>
      <c r="AQ421" s="56"/>
      <c r="AR421" s="56"/>
      <c r="AS421" s="56"/>
    </row>
    <row r="422" spans="1:4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D422" s="56"/>
      <c r="AE422" s="56"/>
      <c r="AF422" s="56"/>
      <c r="AG422" s="56"/>
      <c r="AH422" s="56"/>
      <c r="AI422" s="56"/>
      <c r="AJ422" s="56"/>
      <c r="AQ422" s="56"/>
      <c r="AR422" s="56"/>
      <c r="AS422" s="56"/>
    </row>
    <row r="423" spans="1:4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D423" s="56"/>
      <c r="AE423" s="56"/>
      <c r="AF423" s="56"/>
      <c r="AG423" s="56"/>
      <c r="AH423" s="56"/>
      <c r="AI423" s="56"/>
      <c r="AJ423" s="56"/>
      <c r="AQ423" s="56"/>
      <c r="AR423" s="56"/>
      <c r="AS423" s="56"/>
    </row>
    <row r="424" spans="1:4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D424" s="56"/>
      <c r="AE424" s="56"/>
      <c r="AF424" s="56"/>
      <c r="AG424" s="56"/>
      <c r="AH424" s="56"/>
      <c r="AI424" s="56"/>
      <c r="AJ424" s="56"/>
      <c r="AQ424" s="56"/>
      <c r="AR424" s="56"/>
      <c r="AS424" s="56"/>
    </row>
    <row r="425" spans="1:4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D425" s="56"/>
      <c r="AE425" s="56"/>
      <c r="AF425" s="56"/>
      <c r="AG425" s="56"/>
      <c r="AH425" s="56"/>
      <c r="AI425" s="56"/>
      <c r="AJ425" s="56"/>
      <c r="AQ425" s="56"/>
      <c r="AR425" s="56"/>
      <c r="AS425" s="56"/>
    </row>
    <row r="426" spans="1:4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D426" s="56"/>
      <c r="AE426" s="56"/>
      <c r="AF426" s="56"/>
      <c r="AG426" s="56"/>
      <c r="AH426" s="56"/>
      <c r="AI426" s="56"/>
      <c r="AJ426" s="56"/>
      <c r="AQ426" s="56"/>
      <c r="AR426" s="56"/>
      <c r="AS426" s="56"/>
    </row>
    <row r="427" spans="1:4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D427" s="56"/>
      <c r="AE427" s="56"/>
      <c r="AF427" s="56"/>
      <c r="AG427" s="56"/>
      <c r="AH427" s="56"/>
      <c r="AI427" s="56"/>
      <c r="AJ427" s="56"/>
      <c r="AQ427" s="56"/>
      <c r="AR427" s="56"/>
      <c r="AS427" s="56"/>
    </row>
    <row r="428" spans="1:4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D428" s="56"/>
      <c r="AE428" s="56"/>
      <c r="AF428" s="56"/>
      <c r="AG428" s="56"/>
      <c r="AH428" s="56"/>
      <c r="AI428" s="56"/>
      <c r="AJ428" s="56"/>
      <c r="AQ428" s="56"/>
      <c r="AR428" s="56"/>
      <c r="AS428" s="56"/>
    </row>
    <row r="429" spans="1:4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D429" s="56"/>
      <c r="AE429" s="56"/>
      <c r="AF429" s="56"/>
      <c r="AG429" s="56"/>
      <c r="AH429" s="56"/>
      <c r="AI429" s="56"/>
      <c r="AJ429" s="56"/>
      <c r="AQ429" s="56"/>
      <c r="AR429" s="56"/>
      <c r="AS429" s="56"/>
    </row>
    <row r="430" spans="1:4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D430" s="56"/>
      <c r="AE430" s="56"/>
      <c r="AF430" s="56"/>
      <c r="AG430" s="56"/>
      <c r="AH430" s="56"/>
      <c r="AI430" s="56"/>
      <c r="AJ430" s="56"/>
      <c r="AQ430" s="56"/>
      <c r="AR430" s="56"/>
      <c r="AS430" s="56"/>
    </row>
    <row r="431" spans="1:4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D431" s="56"/>
      <c r="AE431" s="56"/>
      <c r="AF431" s="56"/>
      <c r="AG431" s="56"/>
      <c r="AH431" s="56"/>
      <c r="AI431" s="56"/>
      <c r="AJ431" s="56"/>
      <c r="AQ431" s="56"/>
      <c r="AR431" s="56"/>
      <c r="AS431" s="56"/>
    </row>
    <row r="432" spans="1:4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D432" s="56"/>
      <c r="AE432" s="56"/>
      <c r="AF432" s="56"/>
      <c r="AG432" s="56"/>
      <c r="AH432" s="56"/>
      <c r="AI432" s="56"/>
      <c r="AJ432" s="56"/>
      <c r="AQ432" s="56"/>
      <c r="AR432" s="56"/>
      <c r="AS432" s="56"/>
    </row>
    <row r="433" spans="1:4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D433" s="56"/>
      <c r="AE433" s="56"/>
      <c r="AF433" s="56"/>
      <c r="AG433" s="56"/>
      <c r="AH433" s="56"/>
      <c r="AI433" s="56"/>
      <c r="AJ433" s="56"/>
      <c r="AQ433" s="56"/>
      <c r="AR433" s="56"/>
      <c r="AS433" s="56"/>
    </row>
    <row r="434" spans="1:4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D434" s="56"/>
      <c r="AE434" s="56"/>
      <c r="AF434" s="56"/>
      <c r="AG434" s="56"/>
      <c r="AH434" s="56"/>
      <c r="AI434" s="56"/>
      <c r="AJ434" s="56"/>
      <c r="AQ434" s="56"/>
      <c r="AR434" s="56"/>
      <c r="AS434" s="56"/>
    </row>
    <row r="435" spans="1:4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D435" s="56"/>
      <c r="AE435" s="56"/>
      <c r="AF435" s="56"/>
      <c r="AG435" s="56"/>
      <c r="AH435" s="56"/>
      <c r="AI435" s="56"/>
      <c r="AJ435" s="56"/>
      <c r="AQ435" s="56"/>
      <c r="AR435" s="56"/>
      <c r="AS435" s="56"/>
    </row>
    <row r="436" spans="1:4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D436" s="56"/>
      <c r="AE436" s="56"/>
      <c r="AF436" s="56"/>
      <c r="AG436" s="56"/>
      <c r="AH436" s="56"/>
      <c r="AI436" s="56"/>
      <c r="AJ436" s="56"/>
      <c r="AQ436" s="56"/>
      <c r="AR436" s="56"/>
      <c r="AS436" s="56"/>
    </row>
    <row r="437" spans="1:4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D437" s="56"/>
      <c r="AE437" s="56"/>
      <c r="AF437" s="56"/>
      <c r="AG437" s="56"/>
      <c r="AH437" s="56"/>
      <c r="AI437" s="56"/>
      <c r="AJ437" s="56"/>
      <c r="AQ437" s="56"/>
      <c r="AR437" s="56"/>
      <c r="AS437" s="56"/>
    </row>
    <row r="438" spans="1:4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D438" s="56"/>
      <c r="AE438" s="56"/>
      <c r="AF438" s="56"/>
      <c r="AG438" s="56"/>
      <c r="AH438" s="56"/>
      <c r="AI438" s="56"/>
      <c r="AJ438" s="56"/>
      <c r="AQ438" s="56"/>
      <c r="AR438" s="56"/>
      <c r="AS438" s="56"/>
    </row>
    <row r="439" spans="1:4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D439" s="56"/>
      <c r="AE439" s="56"/>
      <c r="AF439" s="56"/>
      <c r="AG439" s="56"/>
      <c r="AH439" s="56"/>
      <c r="AI439" s="56"/>
      <c r="AJ439" s="56"/>
      <c r="AQ439" s="56"/>
      <c r="AR439" s="56"/>
      <c r="AS439" s="56"/>
    </row>
    <row r="440" spans="1:4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D440" s="56"/>
      <c r="AE440" s="56"/>
      <c r="AF440" s="56"/>
      <c r="AG440" s="56"/>
      <c r="AH440" s="56"/>
      <c r="AI440" s="56"/>
      <c r="AJ440" s="56"/>
      <c r="AQ440" s="56"/>
      <c r="AR440" s="56"/>
      <c r="AS440" s="56"/>
    </row>
    <row r="441" spans="1:4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D441" s="56"/>
      <c r="AE441" s="56"/>
      <c r="AF441" s="56"/>
      <c r="AG441" s="56"/>
      <c r="AH441" s="56"/>
      <c r="AI441" s="56"/>
      <c r="AJ441" s="56"/>
      <c r="AQ441" s="56"/>
      <c r="AR441" s="56"/>
      <c r="AS441" s="56"/>
    </row>
    <row r="442" spans="1:4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D442" s="56"/>
      <c r="AE442" s="56"/>
      <c r="AF442" s="56"/>
      <c r="AG442" s="56"/>
      <c r="AH442" s="56"/>
      <c r="AI442" s="56"/>
      <c r="AJ442" s="56"/>
      <c r="AQ442" s="56"/>
      <c r="AR442" s="56"/>
      <c r="AS442" s="56"/>
    </row>
    <row r="443" spans="1:4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D443" s="56"/>
      <c r="AE443" s="56"/>
      <c r="AF443" s="56"/>
      <c r="AG443" s="56"/>
      <c r="AH443" s="56"/>
      <c r="AI443" s="56"/>
      <c r="AJ443" s="56"/>
      <c r="AQ443" s="56"/>
      <c r="AR443" s="56"/>
      <c r="AS443" s="56"/>
    </row>
    <row r="444" spans="1:4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D444" s="56"/>
      <c r="AE444" s="56"/>
      <c r="AF444" s="56"/>
      <c r="AG444" s="56"/>
      <c r="AH444" s="56"/>
      <c r="AI444" s="56"/>
      <c r="AJ444" s="56"/>
      <c r="AQ444" s="56"/>
      <c r="AR444" s="56"/>
      <c r="AS444" s="56"/>
    </row>
    <row r="445" spans="1:4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D445" s="56"/>
      <c r="AE445" s="56"/>
      <c r="AF445" s="56"/>
      <c r="AG445" s="56"/>
      <c r="AH445" s="56"/>
      <c r="AI445" s="56"/>
      <c r="AJ445" s="56"/>
      <c r="AQ445" s="56"/>
      <c r="AR445" s="56"/>
      <c r="AS445" s="56"/>
    </row>
    <row r="446" spans="1:4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D446" s="56"/>
      <c r="AE446" s="56"/>
      <c r="AF446" s="56"/>
      <c r="AG446" s="56"/>
      <c r="AH446" s="56"/>
      <c r="AI446" s="56"/>
      <c r="AJ446" s="56"/>
      <c r="AQ446" s="56"/>
      <c r="AR446" s="56"/>
      <c r="AS446" s="56"/>
    </row>
    <row r="447" spans="1:4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D447" s="56"/>
      <c r="AE447" s="56"/>
      <c r="AF447" s="56"/>
      <c r="AG447" s="56"/>
      <c r="AH447" s="56"/>
      <c r="AI447" s="56"/>
      <c r="AJ447" s="56"/>
      <c r="AQ447" s="56"/>
      <c r="AR447" s="56"/>
      <c r="AS447" s="56"/>
    </row>
    <row r="448" spans="1:4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D448" s="56"/>
      <c r="AE448" s="56"/>
      <c r="AF448" s="56"/>
      <c r="AG448" s="56"/>
      <c r="AH448" s="56"/>
      <c r="AI448" s="56"/>
      <c r="AJ448" s="56"/>
      <c r="AQ448" s="56"/>
      <c r="AR448" s="56"/>
      <c r="AS448" s="56"/>
    </row>
    <row r="449" spans="1:4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D449" s="56"/>
      <c r="AE449" s="56"/>
      <c r="AF449" s="56"/>
      <c r="AG449" s="56"/>
      <c r="AH449" s="56"/>
      <c r="AI449" s="56"/>
      <c r="AJ449" s="56"/>
      <c r="AQ449" s="56"/>
      <c r="AR449" s="56"/>
      <c r="AS449" s="56"/>
    </row>
    <row r="450" spans="1:4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D450" s="56"/>
      <c r="AE450" s="56"/>
      <c r="AF450" s="56"/>
      <c r="AG450" s="56"/>
      <c r="AH450" s="56"/>
      <c r="AI450" s="56"/>
      <c r="AJ450" s="56"/>
      <c r="AQ450" s="56"/>
      <c r="AR450" s="56"/>
      <c r="AS450" s="56"/>
    </row>
    <row r="451" spans="1:4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D451" s="56"/>
      <c r="AE451" s="56"/>
      <c r="AF451" s="56"/>
      <c r="AG451" s="56"/>
      <c r="AH451" s="56"/>
      <c r="AI451" s="56"/>
      <c r="AJ451" s="56"/>
      <c r="AQ451" s="56"/>
      <c r="AR451" s="56"/>
      <c r="AS451" s="56"/>
    </row>
    <row r="452" spans="1:4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D452" s="56"/>
      <c r="AE452" s="56"/>
      <c r="AF452" s="56"/>
      <c r="AG452" s="56"/>
      <c r="AH452" s="56"/>
      <c r="AI452" s="56"/>
      <c r="AJ452" s="56"/>
      <c r="AQ452" s="56"/>
      <c r="AR452" s="56"/>
      <c r="AS452" s="56"/>
    </row>
    <row r="453" spans="1:4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D453" s="56"/>
      <c r="AE453" s="56"/>
      <c r="AF453" s="56"/>
      <c r="AG453" s="56"/>
      <c r="AH453" s="56"/>
      <c r="AI453" s="56"/>
      <c r="AJ453" s="56"/>
      <c r="AQ453" s="56"/>
      <c r="AR453" s="56"/>
      <c r="AS453" s="56"/>
    </row>
    <row r="454" spans="1:4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D454" s="56"/>
      <c r="AE454" s="56"/>
      <c r="AF454" s="56"/>
      <c r="AG454" s="56"/>
      <c r="AH454" s="56"/>
      <c r="AI454" s="56"/>
      <c r="AJ454" s="56"/>
      <c r="AQ454" s="56"/>
      <c r="AR454" s="56"/>
      <c r="AS454" s="56"/>
    </row>
    <row r="455" spans="1:4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D455" s="56"/>
      <c r="AE455" s="56"/>
      <c r="AF455" s="56"/>
      <c r="AG455" s="56"/>
      <c r="AH455" s="56"/>
      <c r="AI455" s="56"/>
      <c r="AJ455" s="56"/>
      <c r="AQ455" s="56"/>
      <c r="AR455" s="56"/>
      <c r="AS455" s="56"/>
    </row>
    <row r="456" spans="1:4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D456" s="56"/>
      <c r="AE456" s="56"/>
      <c r="AF456" s="56"/>
      <c r="AG456" s="56"/>
      <c r="AH456" s="56"/>
      <c r="AI456" s="56"/>
      <c r="AJ456" s="56"/>
      <c r="AQ456" s="56"/>
      <c r="AR456" s="56"/>
      <c r="AS456" s="56"/>
    </row>
    <row r="457" spans="1:4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D457" s="56"/>
      <c r="AE457" s="56"/>
      <c r="AF457" s="56"/>
      <c r="AG457" s="56"/>
      <c r="AH457" s="56"/>
      <c r="AI457" s="56"/>
      <c r="AJ457" s="56"/>
      <c r="AQ457" s="56"/>
      <c r="AR457" s="56"/>
      <c r="AS457" s="56"/>
    </row>
    <row r="458" spans="1:4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D458" s="56"/>
      <c r="AE458" s="56"/>
      <c r="AF458" s="56"/>
      <c r="AG458" s="56"/>
      <c r="AH458" s="56"/>
      <c r="AI458" s="56"/>
      <c r="AJ458" s="56"/>
      <c r="AQ458" s="56"/>
      <c r="AR458" s="56"/>
      <c r="AS458" s="56"/>
    </row>
    <row r="459" spans="1:4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D459" s="56"/>
      <c r="AE459" s="56"/>
      <c r="AF459" s="56"/>
      <c r="AG459" s="56"/>
      <c r="AH459" s="56"/>
      <c r="AI459" s="56"/>
      <c r="AJ459" s="56"/>
      <c r="AQ459" s="56"/>
      <c r="AR459" s="56"/>
      <c r="AS459" s="56"/>
    </row>
    <row r="460" spans="1:4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D460" s="56"/>
      <c r="AE460" s="56"/>
      <c r="AF460" s="56"/>
      <c r="AG460" s="56"/>
      <c r="AH460" s="56"/>
      <c r="AI460" s="56"/>
      <c r="AJ460" s="56"/>
      <c r="AQ460" s="56"/>
      <c r="AR460" s="56"/>
      <c r="AS460" s="56"/>
    </row>
    <row r="461" spans="1:4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D461" s="56"/>
      <c r="AE461" s="56"/>
      <c r="AF461" s="56"/>
      <c r="AG461" s="56"/>
      <c r="AH461" s="56"/>
      <c r="AI461" s="56"/>
      <c r="AJ461" s="56"/>
      <c r="AQ461" s="56"/>
      <c r="AR461" s="56"/>
      <c r="AS461" s="56"/>
    </row>
    <row r="462" spans="1:4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D462" s="56"/>
      <c r="AE462" s="56"/>
      <c r="AF462" s="56"/>
      <c r="AG462" s="56"/>
      <c r="AH462" s="56"/>
      <c r="AI462" s="56"/>
      <c r="AJ462" s="56"/>
      <c r="AQ462" s="56"/>
      <c r="AR462" s="56"/>
      <c r="AS462" s="56"/>
    </row>
    <row r="463" spans="1:4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D463" s="56"/>
      <c r="AE463" s="56"/>
      <c r="AF463" s="56"/>
      <c r="AG463" s="56"/>
      <c r="AH463" s="56"/>
      <c r="AI463" s="56"/>
      <c r="AJ463" s="56"/>
      <c r="AQ463" s="56"/>
      <c r="AR463" s="56"/>
      <c r="AS463" s="56"/>
    </row>
    <row r="464" spans="1:4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D464" s="56"/>
      <c r="AE464" s="56"/>
      <c r="AF464" s="56"/>
      <c r="AG464" s="56"/>
      <c r="AH464" s="56"/>
      <c r="AI464" s="56"/>
      <c r="AJ464" s="56"/>
      <c r="AQ464" s="56"/>
      <c r="AR464" s="56"/>
      <c r="AS464" s="56"/>
    </row>
    <row r="465" spans="1:4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D465" s="56"/>
      <c r="AE465" s="56"/>
      <c r="AF465" s="56"/>
      <c r="AG465" s="56"/>
      <c r="AH465" s="56"/>
      <c r="AI465" s="56"/>
      <c r="AJ465" s="56"/>
      <c r="AQ465" s="56"/>
      <c r="AR465" s="56"/>
      <c r="AS465" s="56"/>
    </row>
    <row r="466" spans="1:4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D466" s="56"/>
      <c r="AE466" s="56"/>
      <c r="AF466" s="56"/>
      <c r="AG466" s="56"/>
      <c r="AH466" s="56"/>
      <c r="AI466" s="56"/>
      <c r="AJ466" s="56"/>
      <c r="AQ466" s="56"/>
      <c r="AR466" s="56"/>
      <c r="AS466" s="56"/>
    </row>
    <row r="467" spans="1:4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D467" s="56"/>
      <c r="AE467" s="56"/>
      <c r="AF467" s="56"/>
      <c r="AG467" s="56"/>
      <c r="AH467" s="56"/>
      <c r="AI467" s="56"/>
      <c r="AJ467" s="56"/>
      <c r="AQ467" s="56"/>
      <c r="AR467" s="56"/>
      <c r="AS467" s="56"/>
    </row>
    <row r="468" spans="1:4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D468" s="56"/>
      <c r="AE468" s="56"/>
      <c r="AF468" s="56"/>
      <c r="AG468" s="56"/>
      <c r="AH468" s="56"/>
      <c r="AI468" s="56"/>
      <c r="AJ468" s="56"/>
      <c r="AQ468" s="56"/>
      <c r="AR468" s="56"/>
      <c r="AS468" s="56"/>
    </row>
    <row r="469" spans="1:4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D469" s="56"/>
      <c r="AE469" s="56"/>
      <c r="AF469" s="56"/>
      <c r="AG469" s="56"/>
      <c r="AH469" s="56"/>
      <c r="AI469" s="56"/>
      <c r="AJ469" s="56"/>
      <c r="AQ469" s="56"/>
      <c r="AR469" s="56"/>
      <c r="AS469" s="56"/>
    </row>
    <row r="470" spans="1:4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D470" s="56"/>
      <c r="AE470" s="56"/>
      <c r="AF470" s="56"/>
      <c r="AG470" s="56"/>
      <c r="AH470" s="56"/>
      <c r="AI470" s="56"/>
      <c r="AJ470" s="56"/>
      <c r="AQ470" s="56"/>
      <c r="AR470" s="56"/>
      <c r="AS470" s="56"/>
    </row>
    <row r="471" spans="1:4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D471" s="56"/>
      <c r="AE471" s="56"/>
      <c r="AF471" s="56"/>
      <c r="AG471" s="56"/>
      <c r="AH471" s="56"/>
      <c r="AI471" s="56"/>
      <c r="AJ471" s="56"/>
      <c r="AQ471" s="56"/>
      <c r="AR471" s="56"/>
      <c r="AS471" s="56"/>
    </row>
    <row r="472" spans="1:4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D472" s="56"/>
      <c r="AE472" s="56"/>
      <c r="AF472" s="56"/>
      <c r="AG472" s="56"/>
      <c r="AH472" s="56"/>
      <c r="AI472" s="56"/>
      <c r="AJ472" s="56"/>
      <c r="AQ472" s="56"/>
      <c r="AR472" s="56"/>
      <c r="AS472" s="56"/>
    </row>
    <row r="473" spans="1:4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D473" s="56"/>
      <c r="AE473" s="56"/>
      <c r="AF473" s="56"/>
      <c r="AG473" s="56"/>
      <c r="AH473" s="56"/>
      <c r="AI473" s="56"/>
      <c r="AJ473" s="56"/>
      <c r="AQ473" s="56"/>
      <c r="AR473" s="56"/>
      <c r="AS473" s="56"/>
    </row>
    <row r="474" spans="1:4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D474" s="56"/>
      <c r="AE474" s="56"/>
      <c r="AF474" s="56"/>
      <c r="AG474" s="56"/>
      <c r="AH474" s="56"/>
      <c r="AI474" s="56"/>
      <c r="AJ474" s="56"/>
      <c r="AQ474" s="56"/>
      <c r="AR474" s="56"/>
      <c r="AS474" s="56"/>
    </row>
    <row r="475" spans="1:4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D475" s="56"/>
      <c r="AE475" s="56"/>
      <c r="AF475" s="56"/>
      <c r="AG475" s="56"/>
      <c r="AH475" s="56"/>
      <c r="AI475" s="56"/>
      <c r="AJ475" s="56"/>
      <c r="AQ475" s="56"/>
      <c r="AR475" s="56"/>
      <c r="AS475" s="56"/>
    </row>
    <row r="476" spans="1:4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D476" s="56"/>
      <c r="AE476" s="56"/>
      <c r="AF476" s="56"/>
      <c r="AG476" s="56"/>
      <c r="AH476" s="56"/>
      <c r="AI476" s="56"/>
      <c r="AJ476" s="56"/>
      <c r="AQ476" s="56"/>
      <c r="AR476" s="56"/>
      <c r="AS476" s="56"/>
    </row>
    <row r="477" spans="1:4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D477" s="56"/>
      <c r="AE477" s="56"/>
      <c r="AF477" s="56"/>
      <c r="AG477" s="56"/>
      <c r="AH477" s="56"/>
      <c r="AI477" s="56"/>
      <c r="AJ477" s="56"/>
      <c r="AQ477" s="56"/>
      <c r="AR477" s="56"/>
      <c r="AS477" s="56"/>
    </row>
    <row r="478" spans="1:4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D478" s="56"/>
      <c r="AE478" s="56"/>
      <c r="AF478" s="56"/>
      <c r="AG478" s="56"/>
      <c r="AH478" s="56"/>
      <c r="AI478" s="56"/>
      <c r="AJ478" s="56"/>
      <c r="AQ478" s="56"/>
      <c r="AR478" s="56"/>
      <c r="AS478" s="56"/>
    </row>
    <row r="479" spans="1:4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D479" s="56"/>
      <c r="AE479" s="56"/>
      <c r="AF479" s="56"/>
      <c r="AG479" s="56"/>
      <c r="AH479" s="56"/>
      <c r="AI479" s="56"/>
      <c r="AJ479" s="56"/>
      <c r="AQ479" s="56"/>
      <c r="AR479" s="56"/>
      <c r="AS479" s="56"/>
    </row>
    <row r="480" spans="1:4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D480" s="56"/>
      <c r="AE480" s="56"/>
      <c r="AF480" s="56"/>
      <c r="AG480" s="56"/>
      <c r="AH480" s="56"/>
      <c r="AI480" s="56"/>
      <c r="AJ480" s="56"/>
      <c r="AQ480" s="56"/>
      <c r="AR480" s="56"/>
      <c r="AS480" s="56"/>
    </row>
    <row r="481" spans="1:4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D481" s="56"/>
      <c r="AE481" s="56"/>
      <c r="AF481" s="56"/>
      <c r="AG481" s="56"/>
      <c r="AH481" s="56"/>
      <c r="AI481" s="56"/>
      <c r="AJ481" s="56"/>
      <c r="AQ481" s="56"/>
      <c r="AR481" s="56"/>
      <c r="AS481" s="56"/>
    </row>
    <row r="482" spans="1:4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D482" s="56"/>
      <c r="AE482" s="56"/>
      <c r="AF482" s="56"/>
      <c r="AG482" s="56"/>
      <c r="AH482" s="56"/>
      <c r="AI482" s="56"/>
      <c r="AJ482" s="56"/>
      <c r="AQ482" s="56"/>
      <c r="AR482" s="56"/>
      <c r="AS482" s="56"/>
    </row>
    <row r="483" spans="1:4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D483" s="56"/>
      <c r="AE483" s="56"/>
      <c r="AF483" s="56"/>
      <c r="AG483" s="56"/>
      <c r="AH483" s="56"/>
      <c r="AI483" s="56"/>
      <c r="AJ483" s="56"/>
      <c r="AQ483" s="56"/>
      <c r="AR483" s="56"/>
      <c r="AS483" s="56"/>
    </row>
    <row r="484" spans="1:4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D484" s="56"/>
      <c r="AE484" s="56"/>
      <c r="AF484" s="56"/>
      <c r="AG484" s="56"/>
      <c r="AH484" s="56"/>
      <c r="AI484" s="56"/>
      <c r="AJ484" s="56"/>
      <c r="AQ484" s="56"/>
      <c r="AR484" s="56"/>
      <c r="AS484" s="56"/>
    </row>
    <row r="485" spans="1:4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D485" s="56"/>
      <c r="AE485" s="56"/>
      <c r="AF485" s="56"/>
      <c r="AG485" s="56"/>
      <c r="AH485" s="56"/>
      <c r="AI485" s="56"/>
      <c r="AJ485" s="56"/>
      <c r="AQ485" s="56"/>
      <c r="AR485" s="56"/>
      <c r="AS485" s="56"/>
    </row>
    <row r="486" spans="1:4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D486" s="56"/>
      <c r="AE486" s="56"/>
      <c r="AF486" s="56"/>
      <c r="AG486" s="56"/>
      <c r="AH486" s="56"/>
      <c r="AI486" s="56"/>
      <c r="AJ486" s="56"/>
      <c r="AQ486" s="56"/>
      <c r="AR486" s="56"/>
      <c r="AS486" s="56"/>
    </row>
    <row r="487" spans="1:4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D487" s="56"/>
      <c r="AE487" s="56"/>
      <c r="AF487" s="56"/>
      <c r="AG487" s="56"/>
      <c r="AH487" s="56"/>
      <c r="AI487" s="56"/>
      <c r="AJ487" s="56"/>
      <c r="AQ487" s="56"/>
      <c r="AR487" s="56"/>
      <c r="AS487" s="56"/>
    </row>
    <row r="488" spans="1:4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D488" s="56"/>
      <c r="AE488" s="56"/>
      <c r="AF488" s="56"/>
      <c r="AG488" s="56"/>
      <c r="AH488" s="56"/>
      <c r="AI488" s="56"/>
      <c r="AJ488" s="56"/>
      <c r="AQ488" s="56"/>
      <c r="AR488" s="56"/>
      <c r="AS488" s="56"/>
    </row>
    <row r="489" spans="1:4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D489" s="56"/>
      <c r="AE489" s="56"/>
      <c r="AF489" s="56"/>
      <c r="AG489" s="56"/>
      <c r="AH489" s="56"/>
      <c r="AI489" s="56"/>
      <c r="AJ489" s="56"/>
      <c r="AQ489" s="56"/>
      <c r="AR489" s="56"/>
      <c r="AS489" s="56"/>
    </row>
    <row r="490" spans="1:4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D490" s="56"/>
      <c r="AE490" s="56"/>
      <c r="AF490" s="56"/>
      <c r="AG490" s="56"/>
      <c r="AH490" s="56"/>
      <c r="AI490" s="56"/>
      <c r="AJ490" s="56"/>
      <c r="AQ490" s="56"/>
      <c r="AR490" s="56"/>
      <c r="AS490" s="56"/>
    </row>
    <row r="491" spans="1:4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D491" s="56"/>
      <c r="AE491" s="56"/>
      <c r="AF491" s="56"/>
      <c r="AG491" s="56"/>
      <c r="AH491" s="56"/>
      <c r="AI491" s="56"/>
      <c r="AJ491" s="56"/>
      <c r="AQ491" s="56"/>
      <c r="AR491" s="56"/>
      <c r="AS491" s="56"/>
    </row>
    <row r="492" spans="1:4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D492" s="56"/>
      <c r="AE492" s="56"/>
      <c r="AF492" s="56"/>
      <c r="AG492" s="56"/>
      <c r="AH492" s="56"/>
      <c r="AI492" s="56"/>
      <c r="AJ492" s="56"/>
      <c r="AQ492" s="56"/>
      <c r="AR492" s="56"/>
      <c r="AS492" s="56"/>
    </row>
    <row r="493" spans="1:4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D493" s="56"/>
      <c r="AE493" s="56"/>
      <c r="AF493" s="56"/>
      <c r="AG493" s="56"/>
      <c r="AH493" s="56"/>
      <c r="AI493" s="56"/>
      <c r="AJ493" s="56"/>
      <c r="AQ493" s="56"/>
      <c r="AR493" s="56"/>
      <c r="AS493" s="56"/>
    </row>
    <row r="494" spans="1:4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D494" s="56"/>
      <c r="AE494" s="56"/>
      <c r="AF494" s="56"/>
      <c r="AG494" s="56"/>
      <c r="AH494" s="56"/>
      <c r="AI494" s="56"/>
      <c r="AJ494" s="56"/>
      <c r="AQ494" s="56"/>
      <c r="AR494" s="56"/>
      <c r="AS494" s="56"/>
    </row>
    <row r="495" spans="1:4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D495" s="56"/>
      <c r="AE495" s="56"/>
      <c r="AF495" s="56"/>
      <c r="AG495" s="56"/>
      <c r="AH495" s="56"/>
      <c r="AI495" s="56"/>
      <c r="AJ495" s="56"/>
      <c r="AQ495" s="56"/>
      <c r="AR495" s="56"/>
      <c r="AS495" s="56"/>
    </row>
    <row r="496" spans="1:4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D496" s="56"/>
      <c r="AE496" s="56"/>
      <c r="AF496" s="56"/>
      <c r="AG496" s="56"/>
      <c r="AH496" s="56"/>
      <c r="AI496" s="56"/>
      <c r="AJ496" s="56"/>
      <c r="AQ496" s="56"/>
      <c r="AR496" s="56"/>
      <c r="AS496" s="56"/>
    </row>
    <row r="497" spans="1:4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D497" s="56"/>
      <c r="AE497" s="56"/>
      <c r="AF497" s="56"/>
      <c r="AG497" s="56"/>
      <c r="AH497" s="56"/>
      <c r="AI497" s="56"/>
      <c r="AJ497" s="56"/>
      <c r="AQ497" s="56"/>
      <c r="AR497" s="56"/>
      <c r="AS497" s="56"/>
    </row>
    <row r="498" spans="1:4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D498" s="56"/>
      <c r="AE498" s="56"/>
      <c r="AF498" s="56"/>
      <c r="AG498" s="56"/>
      <c r="AH498" s="56"/>
      <c r="AI498" s="56"/>
      <c r="AJ498" s="56"/>
      <c r="AQ498" s="56"/>
      <c r="AR498" s="56"/>
      <c r="AS498" s="56"/>
    </row>
    <row r="499" spans="1:4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D499" s="56"/>
      <c r="AE499" s="56"/>
      <c r="AF499" s="56"/>
      <c r="AG499" s="56"/>
      <c r="AH499" s="56"/>
      <c r="AI499" s="56"/>
      <c r="AJ499" s="56"/>
      <c r="AQ499" s="56"/>
      <c r="AR499" s="56"/>
      <c r="AS499" s="56"/>
    </row>
    <row r="500" spans="1:4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D500" s="56"/>
      <c r="AE500" s="56"/>
      <c r="AF500" s="56"/>
      <c r="AG500" s="56"/>
      <c r="AH500" s="56"/>
      <c r="AI500" s="56"/>
      <c r="AJ500" s="56"/>
      <c r="AQ500" s="56"/>
      <c r="AR500" s="56"/>
      <c r="AS500" s="56"/>
    </row>
    <row r="501" spans="1:4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D501" s="56"/>
      <c r="AE501" s="56"/>
      <c r="AF501" s="56"/>
      <c r="AG501" s="56"/>
      <c r="AH501" s="56"/>
      <c r="AI501" s="56"/>
      <c r="AJ501" s="56"/>
      <c r="AQ501" s="56"/>
      <c r="AR501" s="56"/>
      <c r="AS501" s="56"/>
    </row>
    <row r="502" spans="1:4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D502" s="56"/>
      <c r="AE502" s="56"/>
      <c r="AF502" s="56"/>
      <c r="AG502" s="56"/>
      <c r="AH502" s="56"/>
      <c r="AI502" s="56"/>
      <c r="AJ502" s="56"/>
      <c r="AQ502" s="56"/>
      <c r="AR502" s="56"/>
      <c r="AS502" s="56"/>
    </row>
    <row r="503" spans="1:4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D503" s="56"/>
      <c r="AE503" s="56"/>
      <c r="AF503" s="56"/>
      <c r="AG503" s="56"/>
      <c r="AH503" s="56"/>
      <c r="AI503" s="56"/>
      <c r="AJ503" s="56"/>
      <c r="AQ503" s="56"/>
      <c r="AR503" s="56"/>
      <c r="AS503" s="56"/>
    </row>
    <row r="504" spans="1:4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D504" s="56"/>
      <c r="AE504" s="56"/>
      <c r="AF504" s="56"/>
      <c r="AG504" s="56"/>
      <c r="AH504" s="56"/>
      <c r="AI504" s="56"/>
      <c r="AJ504" s="56"/>
      <c r="AQ504" s="56"/>
      <c r="AR504" s="56"/>
      <c r="AS504" s="56"/>
    </row>
    <row r="505" spans="1:4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D505" s="56"/>
      <c r="AE505" s="56"/>
      <c r="AF505" s="56"/>
      <c r="AG505" s="56"/>
      <c r="AH505" s="56"/>
      <c r="AI505" s="56"/>
      <c r="AJ505" s="56"/>
      <c r="AQ505" s="56"/>
      <c r="AR505" s="56"/>
      <c r="AS505" s="56"/>
    </row>
    <row r="506" spans="1:4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D506" s="56"/>
      <c r="AE506" s="56"/>
      <c r="AF506" s="56"/>
      <c r="AG506" s="56"/>
      <c r="AH506" s="56"/>
      <c r="AI506" s="56"/>
      <c r="AJ506" s="56"/>
      <c r="AQ506" s="56"/>
      <c r="AR506" s="56"/>
      <c r="AS506" s="56"/>
    </row>
    <row r="507" spans="1:4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D507" s="56"/>
      <c r="AE507" s="56"/>
      <c r="AF507" s="56"/>
      <c r="AG507" s="56"/>
      <c r="AH507" s="56"/>
      <c r="AI507" s="56"/>
      <c r="AJ507" s="56"/>
      <c r="AQ507" s="56"/>
      <c r="AR507" s="56"/>
      <c r="AS507" s="56"/>
    </row>
    <row r="508" spans="1:4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D508" s="56"/>
      <c r="AE508" s="56"/>
      <c r="AF508" s="56"/>
      <c r="AG508" s="56"/>
      <c r="AH508" s="56"/>
      <c r="AI508" s="56"/>
      <c r="AJ508" s="56"/>
      <c r="AQ508" s="56"/>
      <c r="AR508" s="56"/>
      <c r="AS508" s="56"/>
    </row>
    <row r="509" spans="1:4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D509" s="56"/>
      <c r="AE509" s="56"/>
      <c r="AF509" s="56"/>
      <c r="AG509" s="56"/>
      <c r="AH509" s="56"/>
      <c r="AI509" s="56"/>
      <c r="AJ509" s="56"/>
      <c r="AQ509" s="56"/>
      <c r="AR509" s="56"/>
      <c r="AS509" s="56"/>
    </row>
    <row r="510" spans="1:4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D510" s="56"/>
      <c r="AE510" s="56"/>
      <c r="AF510" s="56"/>
      <c r="AG510" s="56"/>
      <c r="AH510" s="56"/>
      <c r="AI510" s="56"/>
      <c r="AJ510" s="56"/>
      <c r="AQ510" s="56"/>
      <c r="AR510" s="56"/>
      <c r="AS510" s="56"/>
    </row>
    <row r="511" spans="1:4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D511" s="56"/>
      <c r="AE511" s="56"/>
      <c r="AF511" s="56"/>
      <c r="AG511" s="56"/>
      <c r="AH511" s="56"/>
      <c r="AI511" s="56"/>
      <c r="AJ511" s="56"/>
      <c r="AQ511" s="56"/>
      <c r="AR511" s="56"/>
      <c r="AS511" s="56"/>
    </row>
    <row r="512" spans="1:4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D512" s="56"/>
      <c r="AE512" s="56"/>
      <c r="AF512" s="56"/>
      <c r="AG512" s="56"/>
      <c r="AH512" s="56"/>
      <c r="AI512" s="56"/>
      <c r="AJ512" s="56"/>
      <c r="AQ512" s="56"/>
      <c r="AR512" s="56"/>
      <c r="AS512" s="56"/>
    </row>
    <row r="513" spans="1:4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D513" s="56"/>
      <c r="AE513" s="56"/>
      <c r="AF513" s="56"/>
      <c r="AG513" s="56"/>
      <c r="AH513" s="56"/>
      <c r="AI513" s="56"/>
      <c r="AJ513" s="56"/>
      <c r="AQ513" s="56"/>
      <c r="AR513" s="56"/>
      <c r="AS513" s="56"/>
    </row>
    <row r="514" spans="1:4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D514" s="56"/>
      <c r="AE514" s="56"/>
      <c r="AF514" s="56"/>
      <c r="AG514" s="56"/>
      <c r="AH514" s="56"/>
      <c r="AI514" s="56"/>
      <c r="AJ514" s="56"/>
      <c r="AQ514" s="56"/>
      <c r="AR514" s="56"/>
      <c r="AS514" s="56"/>
    </row>
    <row r="515" spans="1:4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D515" s="56"/>
      <c r="AE515" s="56"/>
      <c r="AF515" s="56"/>
      <c r="AG515" s="56"/>
      <c r="AH515" s="56"/>
      <c r="AI515" s="56"/>
      <c r="AJ515" s="56"/>
      <c r="AQ515" s="56"/>
      <c r="AR515" s="56"/>
      <c r="AS515" s="56"/>
    </row>
    <row r="516" spans="1:4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D516" s="56"/>
      <c r="AE516" s="56"/>
      <c r="AF516" s="56"/>
      <c r="AG516" s="56"/>
      <c r="AH516" s="56"/>
      <c r="AI516" s="56"/>
      <c r="AJ516" s="56"/>
      <c r="AQ516" s="56"/>
      <c r="AR516" s="56"/>
      <c r="AS516" s="56"/>
    </row>
    <row r="517" spans="1:4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D517" s="56"/>
      <c r="AE517" s="56"/>
      <c r="AF517" s="56"/>
      <c r="AG517" s="56"/>
      <c r="AH517" s="56"/>
      <c r="AI517" s="56"/>
      <c r="AJ517" s="56"/>
      <c r="AQ517" s="56"/>
      <c r="AR517" s="56"/>
      <c r="AS517" s="56"/>
    </row>
    <row r="518" spans="1:4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D518" s="56"/>
      <c r="AE518" s="56"/>
      <c r="AF518" s="56"/>
      <c r="AG518" s="56"/>
      <c r="AH518" s="56"/>
      <c r="AI518" s="56"/>
      <c r="AJ518" s="56"/>
      <c r="AQ518" s="56"/>
      <c r="AR518" s="56"/>
      <c r="AS518" s="56"/>
    </row>
    <row r="519" spans="1:4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D519" s="56"/>
      <c r="AE519" s="56"/>
      <c r="AF519" s="56"/>
      <c r="AG519" s="56"/>
      <c r="AH519" s="56"/>
      <c r="AI519" s="56"/>
      <c r="AJ519" s="56"/>
      <c r="AQ519" s="56"/>
      <c r="AR519" s="56"/>
      <c r="AS519" s="56"/>
    </row>
    <row r="520" spans="1:4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D520" s="56"/>
      <c r="AE520" s="56"/>
      <c r="AF520" s="56"/>
      <c r="AG520" s="56"/>
      <c r="AH520" s="56"/>
      <c r="AI520" s="56"/>
      <c r="AJ520" s="56"/>
      <c r="AQ520" s="56"/>
      <c r="AR520" s="56"/>
      <c r="AS520" s="56"/>
    </row>
    <row r="521" spans="1:4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D521" s="56"/>
      <c r="AE521" s="56"/>
      <c r="AF521" s="56"/>
      <c r="AG521" s="56"/>
      <c r="AH521" s="56"/>
      <c r="AI521" s="56"/>
      <c r="AJ521" s="56"/>
      <c r="AQ521" s="56"/>
      <c r="AR521" s="56"/>
      <c r="AS521" s="56"/>
    </row>
    <row r="522" spans="1:4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D522" s="56"/>
      <c r="AE522" s="56"/>
      <c r="AF522" s="56"/>
      <c r="AG522" s="56"/>
      <c r="AH522" s="56"/>
      <c r="AI522" s="56"/>
      <c r="AJ522" s="56"/>
      <c r="AQ522" s="56"/>
      <c r="AR522" s="56"/>
      <c r="AS522" s="56"/>
    </row>
    <row r="523" spans="1:4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D523" s="56"/>
      <c r="AE523" s="56"/>
      <c r="AF523" s="56"/>
      <c r="AG523" s="56"/>
      <c r="AH523" s="56"/>
      <c r="AI523" s="56"/>
      <c r="AJ523" s="56"/>
      <c r="AQ523" s="56"/>
      <c r="AR523" s="56"/>
      <c r="AS523" s="56"/>
    </row>
    <row r="524" spans="1:4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D524" s="56"/>
      <c r="AE524" s="56"/>
      <c r="AF524" s="56"/>
      <c r="AG524" s="56"/>
      <c r="AH524" s="56"/>
      <c r="AI524" s="56"/>
      <c r="AJ524" s="56"/>
      <c r="AQ524" s="56"/>
      <c r="AR524" s="56"/>
      <c r="AS524" s="56"/>
    </row>
    <row r="525" spans="1:4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D525" s="56"/>
      <c r="AE525" s="56"/>
      <c r="AF525" s="56"/>
      <c r="AG525" s="56"/>
      <c r="AH525" s="56"/>
      <c r="AI525" s="56"/>
      <c r="AJ525" s="56"/>
      <c r="AQ525" s="56"/>
      <c r="AR525" s="56"/>
      <c r="AS525" s="56"/>
    </row>
    <row r="526" spans="1:4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D526" s="56"/>
      <c r="AE526" s="56"/>
      <c r="AF526" s="56"/>
      <c r="AG526" s="56"/>
      <c r="AH526" s="56"/>
      <c r="AI526" s="56"/>
      <c r="AJ526" s="56"/>
      <c r="AQ526" s="56"/>
      <c r="AR526" s="56"/>
      <c r="AS526" s="56"/>
    </row>
    <row r="527" spans="1:4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D527" s="56"/>
      <c r="AE527" s="56"/>
      <c r="AF527" s="56"/>
      <c r="AG527" s="56"/>
      <c r="AH527" s="56"/>
      <c r="AI527" s="56"/>
      <c r="AJ527" s="56"/>
      <c r="AQ527" s="56"/>
      <c r="AR527" s="56"/>
      <c r="AS527" s="56"/>
    </row>
    <row r="528" spans="1:4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D528" s="56"/>
      <c r="AE528" s="56"/>
      <c r="AF528" s="56"/>
      <c r="AG528" s="56"/>
      <c r="AH528" s="56"/>
      <c r="AI528" s="56"/>
      <c r="AJ528" s="56"/>
      <c r="AQ528" s="56"/>
      <c r="AR528" s="56"/>
      <c r="AS528" s="56"/>
    </row>
    <row r="529" spans="1:4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D529" s="56"/>
      <c r="AE529" s="56"/>
      <c r="AF529" s="56"/>
      <c r="AG529" s="56"/>
      <c r="AH529" s="56"/>
      <c r="AI529" s="56"/>
      <c r="AJ529" s="56"/>
      <c r="AQ529" s="56"/>
      <c r="AR529" s="56"/>
      <c r="AS529" s="56"/>
    </row>
    <row r="530" spans="1:4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D530" s="56"/>
      <c r="AE530" s="56"/>
      <c r="AF530" s="56"/>
      <c r="AG530" s="56"/>
      <c r="AH530" s="56"/>
      <c r="AI530" s="56"/>
      <c r="AJ530" s="56"/>
      <c r="AQ530" s="56"/>
      <c r="AR530" s="56"/>
      <c r="AS530" s="56"/>
    </row>
    <row r="531" spans="1:4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D531" s="56"/>
      <c r="AE531" s="56"/>
      <c r="AF531" s="56"/>
      <c r="AG531" s="56"/>
      <c r="AH531" s="56"/>
      <c r="AI531" s="56"/>
      <c r="AJ531" s="56"/>
      <c r="AQ531" s="56"/>
      <c r="AR531" s="56"/>
      <c r="AS531" s="56"/>
    </row>
    <row r="532" spans="1:4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D532" s="56"/>
      <c r="AE532" s="56"/>
      <c r="AF532" s="56"/>
      <c r="AG532" s="56"/>
      <c r="AH532" s="56"/>
      <c r="AI532" s="56"/>
      <c r="AJ532" s="56"/>
      <c r="AQ532" s="56"/>
      <c r="AR532" s="56"/>
      <c r="AS532" s="56"/>
    </row>
    <row r="533" spans="1:4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D533" s="56"/>
      <c r="AE533" s="56"/>
      <c r="AF533" s="56"/>
      <c r="AG533" s="56"/>
      <c r="AH533" s="56"/>
      <c r="AI533" s="56"/>
      <c r="AJ533" s="56"/>
      <c r="AQ533" s="56"/>
      <c r="AR533" s="56"/>
      <c r="AS533" s="56"/>
    </row>
    <row r="534" spans="1:4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D534" s="56"/>
      <c r="AE534" s="56"/>
      <c r="AF534" s="56"/>
      <c r="AG534" s="56"/>
      <c r="AH534" s="56"/>
      <c r="AI534" s="56"/>
      <c r="AJ534" s="56"/>
      <c r="AQ534" s="56"/>
      <c r="AR534" s="56"/>
      <c r="AS534" s="56"/>
    </row>
    <row r="535" spans="1:4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D535" s="56"/>
      <c r="AE535" s="56"/>
      <c r="AF535" s="56"/>
      <c r="AG535" s="56"/>
      <c r="AH535" s="56"/>
      <c r="AI535" s="56"/>
      <c r="AJ535" s="56"/>
      <c r="AQ535" s="56"/>
      <c r="AR535" s="56"/>
      <c r="AS535" s="56"/>
    </row>
    <row r="536" spans="1:4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D536" s="56"/>
      <c r="AE536" s="56"/>
      <c r="AF536" s="56"/>
      <c r="AG536" s="56"/>
      <c r="AH536" s="56"/>
      <c r="AI536" s="56"/>
      <c r="AJ536" s="56"/>
      <c r="AQ536" s="56"/>
      <c r="AR536" s="56"/>
      <c r="AS536" s="56"/>
    </row>
    <row r="537" spans="1:4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D537" s="56"/>
      <c r="AE537" s="56"/>
      <c r="AF537" s="56"/>
      <c r="AG537" s="56"/>
      <c r="AH537" s="56"/>
      <c r="AI537" s="56"/>
      <c r="AJ537" s="56"/>
      <c r="AQ537" s="56"/>
      <c r="AR537" s="56"/>
      <c r="AS537" s="56"/>
    </row>
    <row r="538" spans="1:4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D538" s="56"/>
      <c r="AE538" s="56"/>
      <c r="AF538" s="56"/>
      <c r="AG538" s="56"/>
      <c r="AH538" s="56"/>
      <c r="AI538" s="56"/>
      <c r="AJ538" s="56"/>
      <c r="AQ538" s="56"/>
      <c r="AR538" s="56"/>
      <c r="AS538" s="56"/>
    </row>
    <row r="539" spans="1:4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D539" s="56"/>
      <c r="AE539" s="56"/>
      <c r="AF539" s="56"/>
      <c r="AG539" s="56"/>
      <c r="AH539" s="56"/>
      <c r="AI539" s="56"/>
      <c r="AJ539" s="56"/>
      <c r="AQ539" s="56"/>
      <c r="AR539" s="56"/>
      <c r="AS539" s="56"/>
    </row>
    <row r="540" spans="1:4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D540" s="56"/>
      <c r="AE540" s="56"/>
      <c r="AF540" s="56"/>
      <c r="AG540" s="56"/>
      <c r="AH540" s="56"/>
      <c r="AI540" s="56"/>
      <c r="AJ540" s="56"/>
      <c r="AQ540" s="56"/>
      <c r="AR540" s="56"/>
      <c r="AS540" s="56"/>
    </row>
    <row r="541" spans="1:4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D541" s="56"/>
      <c r="AE541" s="56"/>
      <c r="AF541" s="56"/>
      <c r="AG541" s="56"/>
      <c r="AH541" s="56"/>
      <c r="AI541" s="56"/>
      <c r="AJ541" s="56"/>
      <c r="AQ541" s="56"/>
      <c r="AR541" s="56"/>
      <c r="AS541" s="56"/>
    </row>
    <row r="542" spans="1:4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D542" s="56"/>
      <c r="AE542" s="56"/>
      <c r="AF542" s="56"/>
      <c r="AG542" s="56"/>
      <c r="AH542" s="56"/>
      <c r="AI542" s="56"/>
      <c r="AJ542" s="56"/>
      <c r="AQ542" s="56"/>
      <c r="AR542" s="56"/>
      <c r="AS542" s="56"/>
    </row>
    <row r="543" spans="1:4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D543" s="56"/>
      <c r="AE543" s="56"/>
      <c r="AF543" s="56"/>
      <c r="AG543" s="56"/>
      <c r="AH543" s="56"/>
      <c r="AI543" s="56"/>
      <c r="AJ543" s="56"/>
      <c r="AQ543" s="56"/>
      <c r="AR543" s="56"/>
      <c r="AS543" s="56"/>
    </row>
    <row r="544" spans="1:4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D544" s="56"/>
      <c r="AE544" s="56"/>
      <c r="AF544" s="56"/>
      <c r="AG544" s="56"/>
      <c r="AH544" s="56"/>
      <c r="AI544" s="56"/>
      <c r="AJ544" s="56"/>
      <c r="AQ544" s="56"/>
      <c r="AR544" s="56"/>
      <c r="AS544" s="56"/>
    </row>
    <row r="545" spans="1:4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D545" s="56"/>
      <c r="AE545" s="56"/>
      <c r="AF545" s="56"/>
      <c r="AG545" s="56"/>
      <c r="AH545" s="56"/>
      <c r="AI545" s="56"/>
      <c r="AJ545" s="56"/>
      <c r="AQ545" s="56"/>
      <c r="AR545" s="56"/>
      <c r="AS545" s="56"/>
    </row>
    <row r="546" spans="1:4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D546" s="56"/>
      <c r="AE546" s="56"/>
      <c r="AF546" s="56"/>
      <c r="AG546" s="56"/>
      <c r="AH546" s="56"/>
      <c r="AI546" s="56"/>
      <c r="AJ546" s="56"/>
      <c r="AQ546" s="56"/>
      <c r="AR546" s="56"/>
      <c r="AS546" s="56"/>
    </row>
    <row r="547" spans="1:4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D547" s="56"/>
      <c r="AE547" s="56"/>
      <c r="AF547" s="56"/>
      <c r="AG547" s="56"/>
      <c r="AH547" s="56"/>
      <c r="AI547" s="56"/>
      <c r="AJ547" s="56"/>
      <c r="AQ547" s="56"/>
      <c r="AR547" s="56"/>
      <c r="AS547" s="56"/>
    </row>
    <row r="548" spans="1:4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D548" s="56"/>
      <c r="AE548" s="56"/>
      <c r="AF548" s="56"/>
      <c r="AG548" s="56"/>
      <c r="AH548" s="56"/>
      <c r="AI548" s="56"/>
      <c r="AJ548" s="56"/>
      <c r="AQ548" s="56"/>
      <c r="AR548" s="56"/>
      <c r="AS548" s="56"/>
    </row>
    <row r="549" spans="1:4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D549" s="56"/>
      <c r="AE549" s="56"/>
      <c r="AF549" s="56"/>
      <c r="AG549" s="56"/>
      <c r="AH549" s="56"/>
      <c r="AI549" s="56"/>
      <c r="AJ549" s="56"/>
      <c r="AQ549" s="56"/>
      <c r="AR549" s="56"/>
      <c r="AS549" s="56"/>
    </row>
    <row r="550" spans="1:4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D550" s="56"/>
      <c r="AE550" s="56"/>
      <c r="AF550" s="56"/>
      <c r="AG550" s="56"/>
      <c r="AH550" s="56"/>
      <c r="AI550" s="56"/>
      <c r="AJ550" s="56"/>
      <c r="AQ550" s="56"/>
      <c r="AR550" s="56"/>
      <c r="AS550" s="56"/>
    </row>
    <row r="551" spans="1:4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D551" s="56"/>
      <c r="AE551" s="56"/>
      <c r="AF551" s="56"/>
      <c r="AG551" s="56"/>
      <c r="AH551" s="56"/>
      <c r="AI551" s="56"/>
      <c r="AJ551" s="56"/>
      <c r="AQ551" s="56"/>
      <c r="AR551" s="56"/>
      <c r="AS551" s="56"/>
    </row>
    <row r="552" spans="1:4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D552" s="56"/>
      <c r="AE552" s="56"/>
      <c r="AF552" s="56"/>
      <c r="AG552" s="56"/>
      <c r="AH552" s="56"/>
      <c r="AI552" s="56"/>
      <c r="AJ552" s="56"/>
      <c r="AQ552" s="56"/>
      <c r="AR552" s="56"/>
      <c r="AS552" s="56"/>
    </row>
    <row r="553" spans="1:4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D553" s="56"/>
      <c r="AE553" s="56"/>
      <c r="AF553" s="56"/>
      <c r="AG553" s="56"/>
      <c r="AH553" s="56"/>
      <c r="AI553" s="56"/>
      <c r="AJ553" s="56"/>
      <c r="AQ553" s="56"/>
      <c r="AR553" s="56"/>
      <c r="AS553" s="56"/>
    </row>
    <row r="554" spans="1:4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D554" s="56"/>
      <c r="AE554" s="56"/>
      <c r="AF554" s="56"/>
      <c r="AG554" s="56"/>
      <c r="AH554" s="56"/>
      <c r="AI554" s="56"/>
      <c r="AJ554" s="56"/>
      <c r="AQ554" s="56"/>
      <c r="AR554" s="56"/>
      <c r="AS554" s="56"/>
    </row>
    <row r="555" spans="1:4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D555" s="56"/>
      <c r="AE555" s="56"/>
      <c r="AF555" s="56"/>
      <c r="AG555" s="56"/>
      <c r="AH555" s="56"/>
      <c r="AI555" s="56"/>
      <c r="AJ555" s="56"/>
      <c r="AQ555" s="56"/>
      <c r="AR555" s="56"/>
      <c r="AS555" s="56"/>
    </row>
    <row r="556" spans="1:4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D556" s="56"/>
      <c r="AE556" s="56"/>
      <c r="AF556" s="56"/>
      <c r="AG556" s="56"/>
      <c r="AH556" s="56"/>
      <c r="AI556" s="56"/>
      <c r="AJ556" s="56"/>
      <c r="AQ556" s="56"/>
      <c r="AR556" s="56"/>
      <c r="AS556" s="56"/>
    </row>
    <row r="557" spans="1:4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D557" s="56"/>
      <c r="AE557" s="56"/>
      <c r="AF557" s="56"/>
      <c r="AG557" s="56"/>
      <c r="AH557" s="56"/>
      <c r="AI557" s="56"/>
      <c r="AJ557" s="56"/>
      <c r="AQ557" s="56"/>
      <c r="AR557" s="56"/>
      <c r="AS557" s="56"/>
    </row>
    <row r="558" spans="1:4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D558" s="56"/>
      <c r="AE558" s="56"/>
      <c r="AF558" s="56"/>
      <c r="AG558" s="56"/>
      <c r="AH558" s="56"/>
      <c r="AI558" s="56"/>
      <c r="AJ558" s="56"/>
      <c r="AQ558" s="56"/>
      <c r="AR558" s="56"/>
      <c r="AS558" s="56"/>
    </row>
    <row r="559" spans="1:4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D559" s="56"/>
      <c r="AE559" s="56"/>
      <c r="AF559" s="56"/>
      <c r="AG559" s="56"/>
      <c r="AH559" s="56"/>
      <c r="AI559" s="56"/>
      <c r="AJ559" s="56"/>
      <c r="AQ559" s="56"/>
      <c r="AR559" s="56"/>
      <c r="AS559" s="56"/>
    </row>
    <row r="560" spans="1:4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D560" s="56"/>
      <c r="AE560" s="56"/>
      <c r="AF560" s="56"/>
      <c r="AG560" s="56"/>
      <c r="AH560" s="56"/>
      <c r="AI560" s="56"/>
      <c r="AJ560" s="56"/>
      <c r="AQ560" s="56"/>
      <c r="AR560" s="56"/>
      <c r="AS560" s="56"/>
    </row>
    <row r="561" spans="1:4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D561" s="56"/>
      <c r="AE561" s="56"/>
      <c r="AF561" s="56"/>
      <c r="AG561" s="56"/>
      <c r="AH561" s="56"/>
      <c r="AI561" s="56"/>
      <c r="AJ561" s="56"/>
      <c r="AQ561" s="56"/>
      <c r="AR561" s="56"/>
      <c r="AS561" s="56"/>
    </row>
    <row r="562" spans="1:4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D562" s="56"/>
      <c r="AE562" s="56"/>
      <c r="AF562" s="56"/>
      <c r="AG562" s="56"/>
      <c r="AH562" s="56"/>
      <c r="AI562" s="56"/>
      <c r="AJ562" s="56"/>
      <c r="AQ562" s="56"/>
      <c r="AR562" s="56"/>
      <c r="AS562" s="56"/>
    </row>
    <row r="563" spans="1:4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D563" s="56"/>
      <c r="AE563" s="56"/>
      <c r="AF563" s="56"/>
      <c r="AG563" s="56"/>
      <c r="AH563" s="56"/>
      <c r="AI563" s="56"/>
      <c r="AJ563" s="56"/>
      <c r="AQ563" s="56"/>
      <c r="AR563" s="56"/>
      <c r="AS563" s="56"/>
    </row>
    <row r="564" spans="1:4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D564" s="56"/>
      <c r="AE564" s="56"/>
      <c r="AF564" s="56"/>
      <c r="AG564" s="56"/>
      <c r="AH564" s="56"/>
      <c r="AI564" s="56"/>
      <c r="AJ564" s="56"/>
      <c r="AQ564" s="56"/>
      <c r="AR564" s="56"/>
      <c r="AS564" s="56"/>
    </row>
    <row r="565" spans="1:4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D565" s="56"/>
      <c r="AE565" s="56"/>
      <c r="AF565" s="56"/>
      <c r="AG565" s="56"/>
      <c r="AH565" s="56"/>
      <c r="AI565" s="56"/>
      <c r="AJ565" s="56"/>
      <c r="AQ565" s="56"/>
      <c r="AR565" s="56"/>
      <c r="AS565" s="56"/>
    </row>
    <row r="566" spans="1:4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D566" s="56"/>
      <c r="AE566" s="56"/>
      <c r="AF566" s="56"/>
      <c r="AG566" s="56"/>
      <c r="AH566" s="56"/>
      <c r="AI566" s="56"/>
      <c r="AJ566" s="56"/>
      <c r="AQ566" s="56"/>
      <c r="AR566" s="56"/>
      <c r="AS566" s="56"/>
    </row>
    <row r="567" spans="1:4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D567" s="56"/>
      <c r="AE567" s="56"/>
      <c r="AF567" s="56"/>
      <c r="AG567" s="56"/>
      <c r="AH567" s="56"/>
      <c r="AI567" s="56"/>
      <c r="AJ567" s="56"/>
      <c r="AQ567" s="56"/>
      <c r="AR567" s="56"/>
      <c r="AS567" s="56"/>
    </row>
    <row r="568" spans="1:4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D568" s="56"/>
      <c r="AE568" s="56"/>
      <c r="AF568" s="56"/>
      <c r="AG568" s="56"/>
      <c r="AH568" s="56"/>
      <c r="AI568" s="56"/>
      <c r="AJ568" s="56"/>
      <c r="AQ568" s="56"/>
      <c r="AR568" s="56"/>
      <c r="AS568" s="56"/>
    </row>
    <row r="569" spans="1:4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D569" s="56"/>
      <c r="AE569" s="56"/>
      <c r="AF569" s="56"/>
      <c r="AG569" s="56"/>
      <c r="AH569" s="56"/>
      <c r="AI569" s="56"/>
      <c r="AJ569" s="56"/>
      <c r="AQ569" s="56"/>
      <c r="AR569" s="56"/>
      <c r="AS569" s="56"/>
    </row>
    <row r="570" spans="1:4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D570" s="56"/>
      <c r="AE570" s="56"/>
      <c r="AF570" s="56"/>
      <c r="AG570" s="56"/>
      <c r="AH570" s="56"/>
      <c r="AI570" s="56"/>
      <c r="AJ570" s="56"/>
      <c r="AQ570" s="56"/>
      <c r="AR570" s="56"/>
      <c r="AS570" s="56"/>
    </row>
    <row r="571" spans="1:4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D571" s="56"/>
      <c r="AE571" s="56"/>
      <c r="AF571" s="56"/>
      <c r="AG571" s="56"/>
      <c r="AH571" s="56"/>
      <c r="AI571" s="56"/>
      <c r="AJ571" s="56"/>
      <c r="AQ571" s="56"/>
      <c r="AR571" s="56"/>
      <c r="AS571" s="56"/>
    </row>
    <row r="572" spans="1:4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D572" s="56"/>
      <c r="AE572" s="56"/>
      <c r="AF572" s="56"/>
      <c r="AG572" s="56"/>
      <c r="AH572" s="56"/>
      <c r="AI572" s="56"/>
      <c r="AJ572" s="56"/>
      <c r="AQ572" s="56"/>
      <c r="AR572" s="56"/>
      <c r="AS572" s="56"/>
    </row>
    <row r="573" spans="1:4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D573" s="56"/>
      <c r="AE573" s="56"/>
      <c r="AF573" s="56"/>
      <c r="AG573" s="56"/>
      <c r="AH573" s="56"/>
      <c r="AI573" s="56"/>
      <c r="AJ573" s="56"/>
      <c r="AQ573" s="56"/>
      <c r="AR573" s="56"/>
      <c r="AS573" s="56"/>
    </row>
    <row r="574" spans="1:4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D574" s="56"/>
      <c r="AE574" s="56"/>
      <c r="AF574" s="56"/>
      <c r="AG574" s="56"/>
      <c r="AH574" s="56"/>
      <c r="AI574" s="56"/>
      <c r="AJ574" s="56"/>
      <c r="AQ574" s="56"/>
      <c r="AR574" s="56"/>
      <c r="AS574" s="56"/>
    </row>
    <row r="575" spans="1:4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D575" s="56"/>
      <c r="AE575" s="56"/>
      <c r="AF575" s="56"/>
      <c r="AG575" s="56"/>
      <c r="AH575" s="56"/>
      <c r="AI575" s="56"/>
      <c r="AJ575" s="56"/>
      <c r="AQ575" s="56"/>
      <c r="AR575" s="56"/>
      <c r="AS575" s="56"/>
    </row>
    <row r="576" spans="1:4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D576" s="56"/>
      <c r="AE576" s="56"/>
      <c r="AF576" s="56"/>
      <c r="AG576" s="56"/>
      <c r="AH576" s="56"/>
      <c r="AI576" s="56"/>
      <c r="AJ576" s="56"/>
      <c r="AQ576" s="56"/>
      <c r="AR576" s="56"/>
      <c r="AS576" s="56"/>
    </row>
    <row r="577" spans="1:4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D577" s="56"/>
      <c r="AE577" s="56"/>
      <c r="AF577" s="56"/>
      <c r="AG577" s="56"/>
      <c r="AH577" s="56"/>
      <c r="AI577" s="56"/>
      <c r="AJ577" s="56"/>
      <c r="AQ577" s="56"/>
      <c r="AR577" s="56"/>
      <c r="AS577" s="56"/>
    </row>
    <row r="578" spans="1:4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D578" s="56"/>
      <c r="AE578" s="56"/>
      <c r="AF578" s="56"/>
      <c r="AG578" s="56"/>
      <c r="AH578" s="56"/>
      <c r="AI578" s="56"/>
      <c r="AJ578" s="56"/>
      <c r="AQ578" s="56"/>
      <c r="AR578" s="56"/>
      <c r="AS578" s="56"/>
    </row>
    <row r="579" spans="1:4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D579" s="56"/>
      <c r="AE579" s="56"/>
      <c r="AF579" s="56"/>
      <c r="AG579" s="56"/>
      <c r="AH579" s="56"/>
      <c r="AI579" s="56"/>
      <c r="AJ579" s="56"/>
      <c r="AQ579" s="56"/>
      <c r="AR579" s="56"/>
      <c r="AS579" s="56"/>
    </row>
    <row r="580" spans="1:4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D580" s="56"/>
      <c r="AE580" s="56"/>
      <c r="AF580" s="56"/>
      <c r="AG580" s="56"/>
      <c r="AH580" s="56"/>
      <c r="AI580" s="56"/>
      <c r="AJ580" s="56"/>
      <c r="AQ580" s="56"/>
      <c r="AR580" s="56"/>
      <c r="AS580" s="56"/>
    </row>
    <row r="581" spans="1:4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D581" s="56"/>
      <c r="AE581" s="56"/>
      <c r="AF581" s="56"/>
      <c r="AG581" s="56"/>
      <c r="AH581" s="56"/>
      <c r="AI581" s="56"/>
      <c r="AJ581" s="56"/>
      <c r="AQ581" s="56"/>
      <c r="AR581" s="56"/>
      <c r="AS581" s="56"/>
    </row>
    <row r="582" spans="1:4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D582" s="56"/>
      <c r="AE582" s="56"/>
      <c r="AF582" s="56"/>
      <c r="AG582" s="56"/>
      <c r="AH582" s="56"/>
      <c r="AI582" s="56"/>
      <c r="AJ582" s="56"/>
      <c r="AQ582" s="56"/>
      <c r="AR582" s="56"/>
      <c r="AS582" s="56"/>
    </row>
    <row r="583" spans="1:4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D583" s="56"/>
      <c r="AE583" s="56"/>
      <c r="AF583" s="56"/>
      <c r="AG583" s="56"/>
      <c r="AH583" s="56"/>
      <c r="AI583" s="56"/>
      <c r="AJ583" s="56"/>
      <c r="AQ583" s="56"/>
      <c r="AR583" s="56"/>
      <c r="AS583" s="56"/>
    </row>
    <row r="584" spans="1:4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D584" s="56"/>
      <c r="AE584" s="56"/>
      <c r="AF584" s="56"/>
      <c r="AG584" s="56"/>
      <c r="AH584" s="56"/>
      <c r="AI584" s="56"/>
      <c r="AJ584" s="56"/>
      <c r="AQ584" s="56"/>
      <c r="AR584" s="56"/>
      <c r="AS584" s="56"/>
    </row>
    <row r="585" spans="1:4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D585" s="56"/>
      <c r="AE585" s="56"/>
      <c r="AF585" s="56"/>
      <c r="AG585" s="56"/>
      <c r="AH585" s="56"/>
      <c r="AI585" s="56"/>
      <c r="AJ585" s="56"/>
      <c r="AQ585" s="56"/>
      <c r="AR585" s="56"/>
      <c r="AS585" s="56"/>
    </row>
    <row r="586" spans="1:4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D586" s="56"/>
      <c r="AE586" s="56"/>
      <c r="AF586" s="56"/>
      <c r="AG586" s="56"/>
      <c r="AH586" s="56"/>
      <c r="AI586" s="56"/>
      <c r="AJ586" s="56"/>
      <c r="AQ586" s="56"/>
      <c r="AR586" s="56"/>
      <c r="AS586" s="56"/>
    </row>
    <row r="587" spans="1:4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D587" s="56"/>
      <c r="AE587" s="56"/>
      <c r="AF587" s="56"/>
      <c r="AG587" s="56"/>
      <c r="AH587" s="56"/>
      <c r="AI587" s="56"/>
      <c r="AJ587" s="56"/>
      <c r="AQ587" s="56"/>
      <c r="AR587" s="56"/>
      <c r="AS587" s="56"/>
    </row>
    <row r="588" spans="1:4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D588" s="56"/>
      <c r="AE588" s="56"/>
      <c r="AF588" s="56"/>
      <c r="AG588" s="56"/>
      <c r="AH588" s="56"/>
      <c r="AI588" s="56"/>
      <c r="AJ588" s="56"/>
      <c r="AQ588" s="56"/>
      <c r="AR588" s="56"/>
      <c r="AS588" s="56"/>
    </row>
    <row r="589" spans="1:4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D589" s="56"/>
      <c r="AE589" s="56"/>
      <c r="AF589" s="56"/>
      <c r="AG589" s="56"/>
      <c r="AH589" s="56"/>
      <c r="AI589" s="56"/>
      <c r="AJ589" s="56"/>
      <c r="AQ589" s="56"/>
      <c r="AR589" s="56"/>
      <c r="AS589" s="56"/>
    </row>
    <row r="590" spans="1:4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D590" s="56"/>
      <c r="AE590" s="56"/>
      <c r="AF590" s="56"/>
      <c r="AG590" s="56"/>
      <c r="AH590" s="56"/>
      <c r="AI590" s="56"/>
      <c r="AJ590" s="56"/>
      <c r="AQ590" s="56"/>
      <c r="AR590" s="56"/>
      <c r="AS590" s="56"/>
    </row>
    <row r="591" spans="1:4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D591" s="56"/>
      <c r="AE591" s="56"/>
      <c r="AF591" s="56"/>
      <c r="AG591" s="56"/>
      <c r="AH591" s="56"/>
      <c r="AI591" s="56"/>
      <c r="AJ591" s="56"/>
      <c r="AQ591" s="56"/>
      <c r="AR591" s="56"/>
      <c r="AS591" s="56"/>
    </row>
    <row r="592" spans="1:4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D592" s="56"/>
      <c r="AE592" s="56"/>
      <c r="AF592" s="56"/>
      <c r="AG592" s="56"/>
      <c r="AH592" s="56"/>
      <c r="AI592" s="56"/>
      <c r="AJ592" s="56"/>
      <c r="AQ592" s="56"/>
      <c r="AR592" s="56"/>
      <c r="AS592" s="56"/>
    </row>
    <row r="593" spans="1:4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D593" s="56"/>
      <c r="AE593" s="56"/>
      <c r="AF593" s="56"/>
      <c r="AG593" s="56"/>
      <c r="AH593" s="56"/>
      <c r="AI593" s="56"/>
      <c r="AJ593" s="56"/>
      <c r="AQ593" s="56"/>
      <c r="AR593" s="56"/>
      <c r="AS593" s="56"/>
    </row>
    <row r="594" spans="1:4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D594" s="56"/>
      <c r="AE594" s="56"/>
      <c r="AF594" s="56"/>
      <c r="AG594" s="56"/>
      <c r="AH594" s="56"/>
      <c r="AI594" s="56"/>
      <c r="AJ594" s="56"/>
      <c r="AQ594" s="56"/>
      <c r="AR594" s="56"/>
      <c r="AS594" s="56"/>
    </row>
    <row r="595" spans="1:4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D595" s="56"/>
      <c r="AE595" s="56"/>
      <c r="AF595" s="56"/>
      <c r="AG595" s="56"/>
      <c r="AH595" s="56"/>
      <c r="AI595" s="56"/>
      <c r="AJ595" s="56"/>
      <c r="AQ595" s="56"/>
      <c r="AR595" s="56"/>
      <c r="AS595" s="56"/>
    </row>
    <row r="596" spans="1:4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D596" s="56"/>
      <c r="AE596" s="56"/>
      <c r="AF596" s="56"/>
      <c r="AG596" s="56"/>
      <c r="AH596" s="56"/>
      <c r="AI596" s="56"/>
      <c r="AJ596" s="56"/>
      <c r="AQ596" s="56"/>
      <c r="AR596" s="56"/>
      <c r="AS596" s="56"/>
    </row>
    <row r="597" spans="1:4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D597" s="56"/>
      <c r="AE597" s="56"/>
      <c r="AF597" s="56"/>
      <c r="AG597" s="56"/>
      <c r="AH597" s="56"/>
      <c r="AI597" s="56"/>
      <c r="AJ597" s="56"/>
      <c r="AQ597" s="56"/>
      <c r="AR597" s="56"/>
      <c r="AS597" s="56"/>
    </row>
    <row r="598" spans="1:4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D598" s="56"/>
      <c r="AE598" s="56"/>
      <c r="AF598" s="56"/>
      <c r="AG598" s="56"/>
      <c r="AH598" s="56"/>
      <c r="AI598" s="56"/>
      <c r="AJ598" s="56"/>
      <c r="AQ598" s="56"/>
      <c r="AR598" s="56"/>
      <c r="AS598" s="56"/>
    </row>
    <row r="599" spans="1:4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D599" s="56"/>
      <c r="AE599" s="56"/>
      <c r="AF599" s="56"/>
      <c r="AG599" s="56"/>
      <c r="AH599" s="56"/>
      <c r="AI599" s="56"/>
      <c r="AJ599" s="56"/>
      <c r="AQ599" s="56"/>
      <c r="AR599" s="56"/>
      <c r="AS599" s="56"/>
    </row>
    <row r="600" spans="1:4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D600" s="56"/>
      <c r="AE600" s="56"/>
      <c r="AF600" s="56"/>
      <c r="AG600" s="56"/>
      <c r="AH600" s="56"/>
      <c r="AI600" s="56"/>
      <c r="AJ600" s="56"/>
      <c r="AQ600" s="56"/>
      <c r="AR600" s="56"/>
      <c r="AS600" s="56"/>
    </row>
    <row r="601" spans="1:4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D601" s="56"/>
      <c r="AE601" s="56"/>
      <c r="AF601" s="56"/>
      <c r="AG601" s="56"/>
      <c r="AH601" s="56"/>
      <c r="AI601" s="56"/>
      <c r="AJ601" s="56"/>
      <c r="AQ601" s="56"/>
      <c r="AR601" s="56"/>
      <c r="AS601" s="56"/>
    </row>
    <row r="602" spans="1:4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D602" s="56"/>
      <c r="AE602" s="56"/>
      <c r="AF602" s="56"/>
      <c r="AG602" s="56"/>
      <c r="AH602" s="56"/>
      <c r="AI602" s="56"/>
      <c r="AJ602" s="56"/>
      <c r="AQ602" s="56"/>
      <c r="AR602" s="56"/>
      <c r="AS602" s="56"/>
    </row>
    <row r="603" spans="1:4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D603" s="56"/>
      <c r="AE603" s="56"/>
      <c r="AF603" s="56"/>
      <c r="AG603" s="56"/>
      <c r="AH603" s="56"/>
      <c r="AI603" s="56"/>
      <c r="AJ603" s="56"/>
      <c r="AQ603" s="56"/>
      <c r="AR603" s="56"/>
      <c r="AS603" s="56"/>
    </row>
    <row r="604" spans="1:4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D604" s="56"/>
      <c r="AE604" s="56"/>
      <c r="AF604" s="56"/>
      <c r="AG604" s="56"/>
      <c r="AH604" s="56"/>
      <c r="AI604" s="56"/>
      <c r="AJ604" s="56"/>
      <c r="AQ604" s="56"/>
      <c r="AR604" s="56"/>
      <c r="AS604" s="56"/>
    </row>
    <row r="605" spans="1:4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D605" s="56"/>
      <c r="AE605" s="56"/>
      <c r="AF605" s="56"/>
      <c r="AG605" s="56"/>
      <c r="AH605" s="56"/>
      <c r="AI605" s="56"/>
      <c r="AJ605" s="56"/>
      <c r="AQ605" s="56"/>
      <c r="AR605" s="56"/>
      <c r="AS605" s="56"/>
    </row>
    <row r="606" spans="1:4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D606" s="56"/>
      <c r="AE606" s="56"/>
      <c r="AF606" s="56"/>
      <c r="AG606" s="56"/>
      <c r="AH606" s="56"/>
      <c r="AI606" s="56"/>
      <c r="AJ606" s="56"/>
      <c r="AQ606" s="56"/>
      <c r="AR606" s="56"/>
      <c r="AS606" s="56"/>
    </row>
    <row r="607" spans="1:4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D607" s="56"/>
      <c r="AE607" s="56"/>
      <c r="AF607" s="56"/>
      <c r="AG607" s="56"/>
      <c r="AH607" s="56"/>
      <c r="AI607" s="56"/>
      <c r="AJ607" s="56"/>
      <c r="AQ607" s="56"/>
      <c r="AR607" s="56"/>
      <c r="AS607" s="56"/>
    </row>
    <row r="608" spans="1:4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D608" s="56"/>
      <c r="AE608" s="56"/>
      <c r="AF608" s="56"/>
      <c r="AG608" s="56"/>
      <c r="AH608" s="56"/>
      <c r="AI608" s="56"/>
      <c r="AJ608" s="56"/>
      <c r="AQ608" s="56"/>
      <c r="AR608" s="56"/>
      <c r="AS608" s="56"/>
    </row>
    <row r="609" spans="1:4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D609" s="56"/>
      <c r="AE609" s="56"/>
      <c r="AF609" s="56"/>
      <c r="AG609" s="56"/>
      <c r="AH609" s="56"/>
      <c r="AI609" s="56"/>
      <c r="AJ609" s="56"/>
      <c r="AQ609" s="56"/>
      <c r="AR609" s="56"/>
      <c r="AS609" s="56"/>
    </row>
    <row r="610" spans="1:4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D610" s="56"/>
      <c r="AE610" s="56"/>
      <c r="AF610" s="56"/>
      <c r="AG610" s="56"/>
      <c r="AH610" s="56"/>
      <c r="AI610" s="56"/>
      <c r="AJ610" s="56"/>
      <c r="AQ610" s="56"/>
      <c r="AR610" s="56"/>
      <c r="AS610" s="56"/>
    </row>
    <row r="611" spans="1:4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D611" s="56"/>
      <c r="AE611" s="56"/>
      <c r="AF611" s="56"/>
      <c r="AG611" s="56"/>
      <c r="AH611" s="56"/>
      <c r="AI611" s="56"/>
      <c r="AJ611" s="56"/>
      <c r="AQ611" s="56"/>
      <c r="AR611" s="56"/>
      <c r="AS611" s="56"/>
    </row>
    <row r="612" spans="1:4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D612" s="56"/>
      <c r="AE612" s="56"/>
      <c r="AF612" s="56"/>
      <c r="AG612" s="56"/>
      <c r="AH612" s="56"/>
      <c r="AI612" s="56"/>
      <c r="AJ612" s="56"/>
      <c r="AQ612" s="56"/>
      <c r="AR612" s="56"/>
      <c r="AS612" s="56"/>
    </row>
    <row r="613" spans="1:4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D613" s="56"/>
      <c r="AE613" s="56"/>
      <c r="AF613" s="56"/>
      <c r="AG613" s="56"/>
      <c r="AH613" s="56"/>
      <c r="AI613" s="56"/>
      <c r="AJ613" s="56"/>
      <c r="AQ613" s="56"/>
      <c r="AR613" s="56"/>
      <c r="AS613" s="56"/>
    </row>
    <row r="614" spans="1:4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D614" s="56"/>
      <c r="AE614" s="56"/>
      <c r="AF614" s="56"/>
      <c r="AG614" s="56"/>
      <c r="AH614" s="56"/>
      <c r="AI614" s="56"/>
      <c r="AJ614" s="56"/>
      <c r="AQ614" s="56"/>
      <c r="AR614" s="56"/>
      <c r="AS614" s="56"/>
    </row>
    <row r="615" spans="1:4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D615" s="56"/>
      <c r="AE615" s="56"/>
      <c r="AF615" s="56"/>
      <c r="AG615" s="56"/>
      <c r="AH615" s="56"/>
      <c r="AI615" s="56"/>
      <c r="AJ615" s="56"/>
      <c r="AQ615" s="56"/>
      <c r="AR615" s="56"/>
      <c r="AS615" s="56"/>
    </row>
    <row r="616" spans="1:4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D616" s="56"/>
      <c r="AE616" s="56"/>
      <c r="AF616" s="56"/>
      <c r="AG616" s="56"/>
      <c r="AH616" s="56"/>
      <c r="AI616" s="56"/>
      <c r="AJ616" s="56"/>
      <c r="AQ616" s="56"/>
      <c r="AR616" s="56"/>
      <c r="AS616" s="56"/>
    </row>
    <row r="617" spans="1:4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D617" s="56"/>
      <c r="AE617" s="56"/>
      <c r="AF617" s="56"/>
      <c r="AG617" s="56"/>
      <c r="AH617" s="56"/>
      <c r="AI617" s="56"/>
      <c r="AJ617" s="56"/>
      <c r="AQ617" s="56"/>
      <c r="AR617" s="56"/>
      <c r="AS617" s="56"/>
    </row>
    <row r="618" spans="1:4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D618" s="56"/>
      <c r="AE618" s="56"/>
      <c r="AF618" s="56"/>
      <c r="AG618" s="56"/>
      <c r="AH618" s="56"/>
      <c r="AI618" s="56"/>
      <c r="AJ618" s="56"/>
      <c r="AQ618" s="56"/>
      <c r="AR618" s="56"/>
      <c r="AS618" s="56"/>
    </row>
    <row r="619" spans="1:4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D619" s="56"/>
      <c r="AE619" s="56"/>
      <c r="AF619" s="56"/>
      <c r="AG619" s="56"/>
      <c r="AH619" s="56"/>
      <c r="AI619" s="56"/>
      <c r="AJ619" s="56"/>
      <c r="AQ619" s="56"/>
      <c r="AR619" s="56"/>
      <c r="AS619" s="56"/>
    </row>
    <row r="620" spans="1:4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D620" s="56"/>
      <c r="AE620" s="56"/>
      <c r="AF620" s="56"/>
      <c r="AG620" s="56"/>
      <c r="AH620" s="56"/>
      <c r="AI620" s="56"/>
      <c r="AJ620" s="56"/>
      <c r="AQ620" s="56"/>
      <c r="AR620" s="56"/>
      <c r="AS620" s="56"/>
    </row>
    <row r="621" spans="1:4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D621" s="56"/>
      <c r="AE621" s="56"/>
      <c r="AF621" s="56"/>
      <c r="AG621" s="56"/>
      <c r="AH621" s="56"/>
      <c r="AI621" s="56"/>
      <c r="AJ621" s="56"/>
      <c r="AQ621" s="56"/>
      <c r="AR621" s="56"/>
      <c r="AS621" s="56"/>
    </row>
    <row r="622" spans="1:4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D622" s="56"/>
      <c r="AE622" s="56"/>
      <c r="AF622" s="56"/>
      <c r="AG622" s="56"/>
      <c r="AH622" s="56"/>
      <c r="AI622" s="56"/>
      <c r="AJ622" s="56"/>
      <c r="AQ622" s="56"/>
      <c r="AR622" s="56"/>
      <c r="AS622" s="56"/>
    </row>
    <row r="623" spans="1:4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D623" s="56"/>
      <c r="AE623" s="56"/>
      <c r="AF623" s="56"/>
      <c r="AG623" s="56"/>
      <c r="AH623" s="56"/>
      <c r="AI623" s="56"/>
      <c r="AJ623" s="56"/>
      <c r="AQ623" s="56"/>
      <c r="AR623" s="56"/>
      <c r="AS623" s="56"/>
    </row>
    <row r="624" spans="1:4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D624" s="56"/>
      <c r="AE624" s="56"/>
      <c r="AF624" s="56"/>
      <c r="AG624" s="56"/>
      <c r="AH624" s="56"/>
      <c r="AI624" s="56"/>
      <c r="AJ624" s="56"/>
      <c r="AQ624" s="56"/>
      <c r="AR624" s="56"/>
      <c r="AS624" s="56"/>
    </row>
    <row r="625" spans="1:4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D625" s="56"/>
      <c r="AE625" s="56"/>
      <c r="AF625" s="56"/>
      <c r="AG625" s="56"/>
      <c r="AH625" s="56"/>
      <c r="AI625" s="56"/>
      <c r="AJ625" s="56"/>
      <c r="AQ625" s="56"/>
      <c r="AR625" s="56"/>
      <c r="AS625" s="56"/>
    </row>
    <row r="626" spans="1:4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D626" s="56"/>
      <c r="AE626" s="56"/>
      <c r="AF626" s="56"/>
      <c r="AG626" s="56"/>
      <c r="AH626" s="56"/>
      <c r="AI626" s="56"/>
      <c r="AJ626" s="56"/>
      <c r="AQ626" s="56"/>
      <c r="AR626" s="56"/>
      <c r="AS626" s="56"/>
    </row>
    <row r="627" spans="1:4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D627" s="56"/>
      <c r="AE627" s="56"/>
      <c r="AF627" s="56"/>
      <c r="AG627" s="56"/>
      <c r="AH627" s="56"/>
      <c r="AI627" s="56"/>
      <c r="AJ627" s="56"/>
      <c r="AQ627" s="56"/>
      <c r="AR627" s="56"/>
      <c r="AS627" s="56"/>
    </row>
    <row r="628" spans="1:4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D628" s="56"/>
      <c r="AE628" s="56"/>
      <c r="AF628" s="56"/>
      <c r="AG628" s="56"/>
      <c r="AH628" s="56"/>
      <c r="AI628" s="56"/>
      <c r="AJ628" s="56"/>
      <c r="AQ628" s="56"/>
      <c r="AR628" s="56"/>
      <c r="AS628" s="56"/>
    </row>
    <row r="629" spans="1:4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D629" s="56"/>
      <c r="AE629" s="56"/>
      <c r="AF629" s="56"/>
      <c r="AG629" s="56"/>
      <c r="AH629" s="56"/>
      <c r="AI629" s="56"/>
      <c r="AJ629" s="56"/>
      <c r="AQ629" s="56"/>
      <c r="AR629" s="56"/>
      <c r="AS629" s="56"/>
    </row>
    <row r="630" spans="1:4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D630" s="56"/>
      <c r="AE630" s="56"/>
      <c r="AF630" s="56"/>
      <c r="AG630" s="56"/>
      <c r="AH630" s="56"/>
      <c r="AI630" s="56"/>
      <c r="AJ630" s="56"/>
      <c r="AQ630" s="56"/>
      <c r="AR630" s="56"/>
      <c r="AS630" s="56"/>
    </row>
    <row r="631" spans="1:4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D631" s="56"/>
      <c r="AE631" s="56"/>
      <c r="AF631" s="56"/>
      <c r="AG631" s="56"/>
      <c r="AH631" s="56"/>
      <c r="AI631" s="56"/>
      <c r="AJ631" s="56"/>
      <c r="AQ631" s="56"/>
      <c r="AR631" s="56"/>
      <c r="AS631" s="56"/>
    </row>
    <row r="632" spans="1:4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D632" s="56"/>
      <c r="AE632" s="56"/>
      <c r="AF632" s="56"/>
      <c r="AG632" s="56"/>
      <c r="AH632" s="56"/>
      <c r="AI632" s="56"/>
      <c r="AJ632" s="56"/>
      <c r="AQ632" s="56"/>
      <c r="AR632" s="56"/>
      <c r="AS632" s="56"/>
    </row>
    <row r="633" spans="1:4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D633" s="56"/>
      <c r="AE633" s="56"/>
      <c r="AF633" s="56"/>
      <c r="AG633" s="56"/>
      <c r="AH633" s="56"/>
      <c r="AI633" s="56"/>
      <c r="AJ633" s="56"/>
      <c r="AQ633" s="56"/>
      <c r="AR633" s="56"/>
      <c r="AS633" s="56"/>
    </row>
    <row r="634" spans="1:4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D634" s="56"/>
      <c r="AE634" s="56"/>
      <c r="AF634" s="56"/>
      <c r="AG634" s="56"/>
      <c r="AH634" s="56"/>
      <c r="AI634" s="56"/>
      <c r="AJ634" s="56"/>
      <c r="AQ634" s="56"/>
      <c r="AR634" s="56"/>
      <c r="AS634" s="56"/>
    </row>
    <row r="635" spans="1:4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D635" s="56"/>
      <c r="AE635" s="56"/>
      <c r="AF635" s="56"/>
      <c r="AG635" s="56"/>
      <c r="AH635" s="56"/>
      <c r="AI635" s="56"/>
      <c r="AJ635" s="56"/>
      <c r="AQ635" s="56"/>
      <c r="AR635" s="56"/>
      <c r="AS635" s="56"/>
    </row>
    <row r="636" spans="1:4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D636" s="56"/>
      <c r="AE636" s="56"/>
      <c r="AF636" s="56"/>
      <c r="AG636" s="56"/>
      <c r="AH636" s="56"/>
      <c r="AI636" s="56"/>
      <c r="AJ636" s="56"/>
      <c r="AQ636" s="56"/>
      <c r="AR636" s="56"/>
      <c r="AS636" s="56"/>
    </row>
    <row r="637" spans="1:4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D637" s="56"/>
      <c r="AE637" s="56"/>
      <c r="AF637" s="56"/>
      <c r="AG637" s="56"/>
      <c r="AH637" s="56"/>
      <c r="AI637" s="56"/>
      <c r="AJ637" s="56"/>
      <c r="AQ637" s="56"/>
      <c r="AR637" s="56"/>
      <c r="AS637" s="56"/>
    </row>
    <row r="638" spans="1:4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D638" s="56"/>
      <c r="AE638" s="56"/>
      <c r="AF638" s="56"/>
      <c r="AG638" s="56"/>
      <c r="AH638" s="56"/>
      <c r="AI638" s="56"/>
      <c r="AJ638" s="56"/>
      <c r="AQ638" s="56"/>
      <c r="AR638" s="56"/>
      <c r="AS638" s="56"/>
    </row>
    <row r="639" spans="1:4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D639" s="56"/>
      <c r="AE639" s="56"/>
      <c r="AF639" s="56"/>
      <c r="AG639" s="56"/>
      <c r="AH639" s="56"/>
      <c r="AI639" s="56"/>
      <c r="AJ639" s="56"/>
      <c r="AQ639" s="56"/>
      <c r="AR639" s="56"/>
      <c r="AS639" s="56"/>
    </row>
    <row r="640" spans="1:4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D640" s="56"/>
      <c r="AE640" s="56"/>
      <c r="AF640" s="56"/>
      <c r="AG640" s="56"/>
      <c r="AH640" s="56"/>
      <c r="AI640" s="56"/>
      <c r="AJ640" s="56"/>
      <c r="AQ640" s="56"/>
      <c r="AR640" s="56"/>
      <c r="AS640" s="56"/>
    </row>
    <row r="641" spans="1:4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D641" s="56"/>
      <c r="AE641" s="56"/>
      <c r="AF641" s="56"/>
      <c r="AG641" s="56"/>
      <c r="AH641" s="56"/>
      <c r="AI641" s="56"/>
      <c r="AJ641" s="56"/>
      <c r="AQ641" s="56"/>
      <c r="AR641" s="56"/>
      <c r="AS641" s="56"/>
    </row>
    <row r="642" spans="1:4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D642" s="56"/>
      <c r="AE642" s="56"/>
      <c r="AF642" s="56"/>
      <c r="AG642" s="56"/>
      <c r="AH642" s="56"/>
      <c r="AI642" s="56"/>
      <c r="AJ642" s="56"/>
      <c r="AQ642" s="56"/>
      <c r="AR642" s="56"/>
      <c r="AS642" s="56"/>
    </row>
    <row r="643" spans="1:4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D643" s="56"/>
      <c r="AE643" s="56"/>
      <c r="AF643" s="56"/>
      <c r="AG643" s="56"/>
      <c r="AH643" s="56"/>
      <c r="AI643" s="56"/>
      <c r="AJ643" s="56"/>
      <c r="AQ643" s="56"/>
      <c r="AR643" s="56"/>
      <c r="AS643" s="56"/>
    </row>
    <row r="644" spans="1:4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D644" s="56"/>
      <c r="AE644" s="56"/>
      <c r="AF644" s="56"/>
      <c r="AG644" s="56"/>
      <c r="AH644" s="56"/>
      <c r="AI644" s="56"/>
      <c r="AJ644" s="56"/>
      <c r="AQ644" s="56"/>
      <c r="AR644" s="56"/>
      <c r="AS644" s="56"/>
    </row>
    <row r="645" spans="1:4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D645" s="56"/>
      <c r="AE645" s="56"/>
      <c r="AF645" s="56"/>
      <c r="AG645" s="56"/>
      <c r="AH645" s="56"/>
      <c r="AI645" s="56"/>
      <c r="AJ645" s="56"/>
      <c r="AQ645" s="56"/>
      <c r="AR645" s="56"/>
      <c r="AS645" s="56"/>
    </row>
    <row r="646" spans="1:4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D646" s="56"/>
      <c r="AE646" s="56"/>
      <c r="AF646" s="56"/>
      <c r="AG646" s="56"/>
      <c r="AH646" s="56"/>
      <c r="AI646" s="56"/>
      <c r="AJ646" s="56"/>
      <c r="AQ646" s="56"/>
      <c r="AR646" s="56"/>
      <c r="AS646" s="56"/>
    </row>
    <row r="647" spans="1:4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D647" s="56"/>
      <c r="AE647" s="56"/>
      <c r="AF647" s="56"/>
      <c r="AG647" s="56"/>
      <c r="AH647" s="56"/>
      <c r="AI647" s="56"/>
      <c r="AJ647" s="56"/>
      <c r="AQ647" s="56"/>
      <c r="AR647" s="56"/>
      <c r="AS647" s="56"/>
    </row>
    <row r="648" spans="1:4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D648" s="56"/>
      <c r="AE648" s="56"/>
      <c r="AF648" s="56"/>
      <c r="AG648" s="56"/>
      <c r="AH648" s="56"/>
      <c r="AI648" s="56"/>
      <c r="AJ648" s="56"/>
      <c r="AQ648" s="56"/>
      <c r="AR648" s="56"/>
      <c r="AS648" s="56"/>
    </row>
    <row r="649" spans="1:4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D649" s="56"/>
      <c r="AE649" s="56"/>
      <c r="AF649" s="56"/>
      <c r="AG649" s="56"/>
      <c r="AH649" s="56"/>
      <c r="AI649" s="56"/>
      <c r="AJ649" s="56"/>
      <c r="AQ649" s="56"/>
      <c r="AR649" s="56"/>
      <c r="AS649" s="56"/>
    </row>
    <row r="650" spans="1:4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D650" s="56"/>
      <c r="AE650" s="56"/>
      <c r="AF650" s="56"/>
      <c r="AG650" s="56"/>
      <c r="AH650" s="56"/>
      <c r="AI650" s="56"/>
      <c r="AJ650" s="56"/>
      <c r="AQ650" s="56"/>
      <c r="AR650" s="56"/>
      <c r="AS650" s="56"/>
    </row>
    <row r="651" spans="1:4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D651" s="56"/>
      <c r="AE651" s="56"/>
      <c r="AF651" s="56"/>
      <c r="AG651" s="56"/>
      <c r="AH651" s="56"/>
      <c r="AI651" s="56"/>
      <c r="AJ651" s="56"/>
      <c r="AQ651" s="56"/>
      <c r="AR651" s="56"/>
      <c r="AS651" s="56"/>
    </row>
    <row r="652" spans="1:4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D652" s="56"/>
      <c r="AE652" s="56"/>
      <c r="AF652" s="56"/>
      <c r="AG652" s="56"/>
      <c r="AH652" s="56"/>
      <c r="AI652" s="56"/>
      <c r="AJ652" s="56"/>
      <c r="AQ652" s="56"/>
      <c r="AR652" s="56"/>
      <c r="AS652" s="56"/>
    </row>
    <row r="653" spans="1:4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D653" s="56"/>
      <c r="AE653" s="56"/>
      <c r="AF653" s="56"/>
      <c r="AG653" s="56"/>
      <c r="AH653" s="56"/>
      <c r="AI653" s="56"/>
      <c r="AJ653" s="56"/>
      <c r="AQ653" s="56"/>
      <c r="AR653" s="56"/>
      <c r="AS653" s="56"/>
    </row>
    <row r="654" spans="1:4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D654" s="56"/>
      <c r="AE654" s="56"/>
      <c r="AF654" s="56"/>
      <c r="AG654" s="56"/>
      <c r="AH654" s="56"/>
      <c r="AI654" s="56"/>
      <c r="AJ654" s="56"/>
      <c r="AQ654" s="56"/>
      <c r="AR654" s="56"/>
      <c r="AS654" s="56"/>
    </row>
    <row r="655" spans="1:4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D655" s="56"/>
      <c r="AE655" s="56"/>
      <c r="AF655" s="56"/>
      <c r="AG655" s="56"/>
      <c r="AH655" s="56"/>
      <c r="AI655" s="56"/>
      <c r="AJ655" s="56"/>
      <c r="AQ655" s="56"/>
      <c r="AR655" s="56"/>
      <c r="AS655" s="56"/>
    </row>
    <row r="656" spans="1:4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D656" s="56"/>
      <c r="AE656" s="56"/>
      <c r="AF656" s="56"/>
      <c r="AG656" s="56"/>
      <c r="AH656" s="56"/>
      <c r="AI656" s="56"/>
      <c r="AJ656" s="56"/>
      <c r="AQ656" s="56"/>
      <c r="AR656" s="56"/>
      <c r="AS656" s="56"/>
    </row>
    <row r="657" spans="1:4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D657" s="56"/>
      <c r="AE657" s="56"/>
      <c r="AF657" s="56"/>
      <c r="AG657" s="56"/>
      <c r="AH657" s="56"/>
      <c r="AI657" s="56"/>
      <c r="AJ657" s="56"/>
      <c r="AQ657" s="56"/>
      <c r="AR657" s="56"/>
      <c r="AS657" s="56"/>
    </row>
    <row r="658" spans="1:4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D658" s="56"/>
      <c r="AE658" s="56"/>
      <c r="AF658" s="56"/>
      <c r="AG658" s="56"/>
      <c r="AH658" s="56"/>
      <c r="AI658" s="56"/>
      <c r="AJ658" s="56"/>
      <c r="AQ658" s="56"/>
      <c r="AR658" s="56"/>
      <c r="AS658" s="56"/>
    </row>
    <row r="659" spans="1:4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D659" s="56"/>
      <c r="AE659" s="56"/>
      <c r="AF659" s="56"/>
      <c r="AG659" s="56"/>
      <c r="AH659" s="56"/>
      <c r="AI659" s="56"/>
      <c r="AJ659" s="56"/>
      <c r="AQ659" s="56"/>
      <c r="AR659" s="56"/>
      <c r="AS659" s="56"/>
    </row>
    <row r="660" spans="1:4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D660" s="56"/>
      <c r="AE660" s="56"/>
      <c r="AF660" s="56"/>
      <c r="AG660" s="56"/>
      <c r="AH660" s="56"/>
      <c r="AI660" s="56"/>
      <c r="AJ660" s="56"/>
      <c r="AQ660" s="56"/>
      <c r="AR660" s="56"/>
      <c r="AS660" s="56"/>
    </row>
    <row r="661" spans="1:4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D661" s="56"/>
      <c r="AE661" s="56"/>
      <c r="AF661" s="56"/>
      <c r="AG661" s="56"/>
      <c r="AH661" s="56"/>
      <c r="AI661" s="56"/>
      <c r="AJ661" s="56"/>
      <c r="AQ661" s="56"/>
      <c r="AR661" s="56"/>
      <c r="AS661" s="56"/>
    </row>
    <row r="662" spans="1:4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D662" s="56"/>
      <c r="AE662" s="56"/>
      <c r="AF662" s="56"/>
      <c r="AG662" s="56"/>
      <c r="AH662" s="56"/>
      <c r="AI662" s="56"/>
      <c r="AJ662" s="56"/>
      <c r="AQ662" s="56"/>
      <c r="AR662" s="56"/>
      <c r="AS662" s="56"/>
    </row>
    <row r="663" spans="1:4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D663" s="56"/>
      <c r="AE663" s="56"/>
      <c r="AF663" s="56"/>
      <c r="AG663" s="56"/>
      <c r="AH663" s="56"/>
      <c r="AI663" s="56"/>
      <c r="AJ663" s="56"/>
      <c r="AQ663" s="56"/>
      <c r="AR663" s="56"/>
      <c r="AS663" s="56"/>
    </row>
    <row r="664" spans="1:4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D664" s="56"/>
      <c r="AE664" s="56"/>
      <c r="AF664" s="56"/>
      <c r="AG664" s="56"/>
      <c r="AH664" s="56"/>
      <c r="AI664" s="56"/>
      <c r="AJ664" s="56"/>
      <c r="AQ664" s="56"/>
      <c r="AR664" s="56"/>
      <c r="AS664" s="56"/>
    </row>
    <row r="665" spans="1:4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D665" s="56"/>
      <c r="AE665" s="56"/>
      <c r="AF665" s="56"/>
      <c r="AG665" s="56"/>
      <c r="AH665" s="56"/>
      <c r="AI665" s="56"/>
      <c r="AJ665" s="56"/>
      <c r="AQ665" s="56"/>
      <c r="AR665" s="56"/>
      <c r="AS665" s="56"/>
    </row>
    <row r="666" spans="1:4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D666" s="56"/>
      <c r="AE666" s="56"/>
      <c r="AF666" s="56"/>
      <c r="AG666" s="56"/>
      <c r="AH666" s="56"/>
      <c r="AI666" s="56"/>
      <c r="AJ666" s="56"/>
      <c r="AQ666" s="56"/>
      <c r="AR666" s="56"/>
      <c r="AS666" s="56"/>
    </row>
    <row r="667" spans="1:4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D667" s="56"/>
      <c r="AE667" s="56"/>
      <c r="AF667" s="56"/>
      <c r="AG667" s="56"/>
      <c r="AH667" s="56"/>
      <c r="AI667" s="56"/>
      <c r="AJ667" s="56"/>
      <c r="AQ667" s="56"/>
      <c r="AR667" s="56"/>
      <c r="AS667" s="56"/>
    </row>
    <row r="668" spans="1:4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D668" s="56"/>
      <c r="AE668" s="56"/>
      <c r="AF668" s="56"/>
      <c r="AG668" s="56"/>
      <c r="AH668" s="56"/>
      <c r="AI668" s="56"/>
      <c r="AJ668" s="56"/>
      <c r="AQ668" s="56"/>
      <c r="AR668" s="56"/>
      <c r="AS668" s="56"/>
    </row>
    <row r="669" spans="1:4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D669" s="56"/>
      <c r="AE669" s="56"/>
      <c r="AF669" s="56"/>
      <c r="AG669" s="56"/>
      <c r="AH669" s="56"/>
      <c r="AI669" s="56"/>
      <c r="AJ669" s="56"/>
      <c r="AQ669" s="56"/>
      <c r="AR669" s="56"/>
      <c r="AS669" s="56"/>
    </row>
    <row r="670" spans="1:4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D670" s="56"/>
      <c r="AE670" s="56"/>
      <c r="AF670" s="56"/>
      <c r="AG670" s="56"/>
      <c r="AH670" s="56"/>
      <c r="AI670" s="56"/>
      <c r="AJ670" s="56"/>
      <c r="AQ670" s="56"/>
      <c r="AR670" s="56"/>
      <c r="AS670" s="56"/>
    </row>
    <row r="671" spans="1:4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D671" s="56"/>
      <c r="AE671" s="56"/>
      <c r="AF671" s="56"/>
      <c r="AG671" s="56"/>
      <c r="AH671" s="56"/>
      <c r="AI671" s="56"/>
      <c r="AJ671" s="56"/>
      <c r="AQ671" s="56"/>
      <c r="AR671" s="56"/>
      <c r="AS671" s="56"/>
    </row>
    <row r="672" spans="1:4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D672" s="56"/>
      <c r="AE672" s="56"/>
      <c r="AF672" s="56"/>
      <c r="AG672" s="56"/>
      <c r="AH672" s="56"/>
      <c r="AI672" s="56"/>
      <c r="AJ672" s="56"/>
      <c r="AQ672" s="56"/>
      <c r="AR672" s="56"/>
      <c r="AS672" s="56"/>
    </row>
    <row r="673" spans="1:4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D673" s="56"/>
      <c r="AE673" s="56"/>
      <c r="AF673" s="56"/>
      <c r="AG673" s="56"/>
      <c r="AH673" s="56"/>
      <c r="AI673" s="56"/>
      <c r="AJ673" s="56"/>
      <c r="AQ673" s="56"/>
      <c r="AR673" s="56"/>
      <c r="AS673" s="56"/>
    </row>
    <row r="674" spans="1:4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D674" s="56"/>
      <c r="AE674" s="56"/>
      <c r="AF674" s="56"/>
      <c r="AG674" s="56"/>
      <c r="AH674" s="56"/>
      <c r="AI674" s="56"/>
      <c r="AJ674" s="56"/>
      <c r="AQ674" s="56"/>
      <c r="AR674" s="56"/>
      <c r="AS674" s="56"/>
    </row>
    <row r="675" spans="1:4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D675" s="56"/>
      <c r="AE675" s="56"/>
      <c r="AF675" s="56"/>
      <c r="AG675" s="56"/>
      <c r="AH675" s="56"/>
      <c r="AI675" s="56"/>
      <c r="AJ675" s="56"/>
      <c r="AQ675" s="56"/>
      <c r="AR675" s="56"/>
      <c r="AS675" s="56"/>
    </row>
    <row r="676" spans="1:4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D676" s="56"/>
      <c r="AE676" s="56"/>
      <c r="AF676" s="56"/>
      <c r="AG676" s="56"/>
      <c r="AH676" s="56"/>
      <c r="AI676" s="56"/>
      <c r="AJ676" s="56"/>
      <c r="AQ676" s="56"/>
      <c r="AR676" s="56"/>
      <c r="AS676" s="56"/>
    </row>
    <row r="677" spans="1:4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D677" s="56"/>
      <c r="AE677" s="56"/>
      <c r="AF677" s="56"/>
      <c r="AG677" s="56"/>
      <c r="AH677" s="56"/>
      <c r="AI677" s="56"/>
      <c r="AJ677" s="56"/>
      <c r="AQ677" s="56"/>
      <c r="AR677" s="56"/>
      <c r="AS677" s="56"/>
    </row>
    <row r="678" spans="1:4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D678" s="56"/>
      <c r="AE678" s="56"/>
      <c r="AF678" s="56"/>
      <c r="AG678" s="56"/>
      <c r="AH678" s="56"/>
      <c r="AI678" s="56"/>
      <c r="AJ678" s="56"/>
      <c r="AQ678" s="56"/>
      <c r="AR678" s="56"/>
      <c r="AS678" s="56"/>
    </row>
    <row r="679" spans="1:4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D679" s="56"/>
      <c r="AE679" s="56"/>
      <c r="AF679" s="56"/>
      <c r="AG679" s="56"/>
      <c r="AH679" s="56"/>
      <c r="AI679" s="56"/>
      <c r="AJ679" s="56"/>
      <c r="AQ679" s="56"/>
      <c r="AR679" s="56"/>
      <c r="AS679" s="56"/>
    </row>
    <row r="680" spans="1:4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D680" s="56"/>
      <c r="AE680" s="56"/>
      <c r="AF680" s="56"/>
      <c r="AG680" s="56"/>
      <c r="AH680" s="56"/>
      <c r="AI680" s="56"/>
      <c r="AJ680" s="56"/>
      <c r="AQ680" s="56"/>
      <c r="AR680" s="56"/>
      <c r="AS680" s="56"/>
    </row>
    <row r="681" spans="1:4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D681" s="56"/>
      <c r="AE681" s="56"/>
      <c r="AF681" s="56"/>
      <c r="AG681" s="56"/>
      <c r="AH681" s="56"/>
      <c r="AI681" s="56"/>
      <c r="AJ681" s="56"/>
      <c r="AQ681" s="56"/>
      <c r="AR681" s="56"/>
      <c r="AS681" s="56"/>
    </row>
    <row r="682" spans="1:4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D682" s="56"/>
      <c r="AE682" s="56"/>
      <c r="AF682" s="56"/>
      <c r="AG682" s="56"/>
      <c r="AH682" s="56"/>
      <c r="AI682" s="56"/>
      <c r="AJ682" s="56"/>
      <c r="AQ682" s="56"/>
      <c r="AR682" s="56"/>
      <c r="AS682" s="56"/>
    </row>
    <row r="683" spans="1:4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D683" s="56"/>
      <c r="AE683" s="56"/>
      <c r="AF683" s="56"/>
      <c r="AG683" s="56"/>
      <c r="AH683" s="56"/>
      <c r="AI683" s="56"/>
      <c r="AJ683" s="56"/>
      <c r="AQ683" s="56"/>
      <c r="AR683" s="56"/>
      <c r="AS683" s="56"/>
    </row>
    <row r="684" spans="1:4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D684" s="56"/>
      <c r="AE684" s="56"/>
      <c r="AF684" s="56"/>
      <c r="AG684" s="56"/>
      <c r="AH684" s="56"/>
      <c r="AI684" s="56"/>
      <c r="AJ684" s="56"/>
      <c r="AQ684" s="56"/>
      <c r="AR684" s="56"/>
      <c r="AS684" s="56"/>
    </row>
    <row r="685" spans="1:4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D685" s="56"/>
      <c r="AE685" s="56"/>
      <c r="AF685" s="56"/>
      <c r="AG685" s="56"/>
      <c r="AH685" s="56"/>
      <c r="AI685" s="56"/>
      <c r="AJ685" s="56"/>
      <c r="AQ685" s="56"/>
      <c r="AR685" s="56"/>
      <c r="AS685" s="56"/>
    </row>
    <row r="686" spans="1:4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D686" s="56"/>
      <c r="AE686" s="56"/>
      <c r="AF686" s="56"/>
      <c r="AG686" s="56"/>
      <c r="AH686" s="56"/>
      <c r="AI686" s="56"/>
      <c r="AJ686" s="56"/>
      <c r="AQ686" s="56"/>
      <c r="AR686" s="56"/>
      <c r="AS686" s="56"/>
    </row>
    <row r="687" spans="1:4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D687" s="56"/>
      <c r="AE687" s="56"/>
      <c r="AF687" s="56"/>
      <c r="AG687" s="56"/>
      <c r="AH687" s="56"/>
      <c r="AI687" s="56"/>
      <c r="AJ687" s="56"/>
      <c r="AQ687" s="56"/>
      <c r="AR687" s="56"/>
      <c r="AS687" s="56"/>
    </row>
    <row r="688" spans="1:4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D688" s="56"/>
      <c r="AE688" s="56"/>
      <c r="AF688" s="56"/>
      <c r="AG688" s="56"/>
      <c r="AH688" s="56"/>
      <c r="AI688" s="56"/>
      <c r="AJ688" s="56"/>
      <c r="AQ688" s="56"/>
      <c r="AR688" s="56"/>
      <c r="AS688" s="56"/>
    </row>
    <row r="689" spans="1:4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D689" s="56"/>
      <c r="AE689" s="56"/>
      <c r="AF689" s="56"/>
      <c r="AG689" s="56"/>
      <c r="AH689" s="56"/>
      <c r="AI689" s="56"/>
      <c r="AJ689" s="56"/>
      <c r="AQ689" s="56"/>
      <c r="AR689" s="56"/>
      <c r="AS689" s="56"/>
    </row>
    <row r="690" spans="1:4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D690" s="56"/>
      <c r="AE690" s="56"/>
      <c r="AF690" s="56"/>
      <c r="AG690" s="56"/>
      <c r="AH690" s="56"/>
      <c r="AI690" s="56"/>
      <c r="AJ690" s="56"/>
      <c r="AQ690" s="56"/>
      <c r="AR690" s="56"/>
      <c r="AS690" s="56"/>
    </row>
    <row r="691" spans="1:4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D691" s="56"/>
      <c r="AE691" s="56"/>
      <c r="AF691" s="56"/>
      <c r="AG691" s="56"/>
      <c r="AH691" s="56"/>
      <c r="AI691" s="56"/>
      <c r="AJ691" s="56"/>
      <c r="AQ691" s="56"/>
      <c r="AR691" s="56"/>
      <c r="AS691" s="56"/>
    </row>
    <row r="692" spans="1:4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D692" s="56"/>
      <c r="AE692" s="56"/>
      <c r="AF692" s="56"/>
      <c r="AG692" s="56"/>
      <c r="AH692" s="56"/>
      <c r="AI692" s="56"/>
      <c r="AJ692" s="56"/>
      <c r="AQ692" s="56"/>
      <c r="AR692" s="56"/>
      <c r="AS692" s="56"/>
    </row>
    <row r="693" spans="1:4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D693" s="56"/>
      <c r="AE693" s="56"/>
      <c r="AF693" s="56"/>
      <c r="AG693" s="56"/>
      <c r="AH693" s="56"/>
      <c r="AI693" s="56"/>
      <c r="AJ693" s="56"/>
      <c r="AQ693" s="56"/>
      <c r="AR693" s="56"/>
      <c r="AS693" s="56"/>
    </row>
    <row r="694" spans="1:4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D694" s="56"/>
      <c r="AE694" s="56"/>
      <c r="AF694" s="56"/>
      <c r="AG694" s="56"/>
      <c r="AH694" s="56"/>
      <c r="AI694" s="56"/>
      <c r="AJ694" s="56"/>
      <c r="AQ694" s="56"/>
      <c r="AR694" s="56"/>
      <c r="AS694" s="56"/>
    </row>
    <row r="695" spans="1:4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D695" s="56"/>
      <c r="AE695" s="56"/>
      <c r="AF695" s="56"/>
      <c r="AG695" s="56"/>
      <c r="AH695" s="56"/>
      <c r="AI695" s="56"/>
      <c r="AJ695" s="56"/>
      <c r="AQ695" s="56"/>
      <c r="AR695" s="56"/>
      <c r="AS695" s="56"/>
    </row>
    <row r="696" spans="1:4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D696" s="56"/>
      <c r="AE696" s="56"/>
      <c r="AF696" s="56"/>
      <c r="AG696" s="56"/>
      <c r="AH696" s="56"/>
      <c r="AI696" s="56"/>
      <c r="AJ696" s="56"/>
      <c r="AQ696" s="56"/>
      <c r="AR696" s="56"/>
      <c r="AS696" s="56"/>
    </row>
    <row r="697" spans="1:4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D697" s="56"/>
      <c r="AE697" s="56"/>
      <c r="AF697" s="56"/>
      <c r="AG697" s="56"/>
      <c r="AH697" s="56"/>
      <c r="AI697" s="56"/>
      <c r="AJ697" s="56"/>
      <c r="AQ697" s="56"/>
      <c r="AR697" s="56"/>
      <c r="AS697" s="56"/>
    </row>
    <row r="698" spans="1:4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D698" s="56"/>
      <c r="AE698" s="56"/>
      <c r="AF698" s="56"/>
      <c r="AG698" s="56"/>
      <c r="AH698" s="56"/>
      <c r="AI698" s="56"/>
      <c r="AJ698" s="56"/>
      <c r="AQ698" s="56"/>
      <c r="AR698" s="56"/>
      <c r="AS698" s="56"/>
    </row>
    <row r="699" spans="1:4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D699" s="56"/>
      <c r="AE699" s="56"/>
      <c r="AF699" s="56"/>
      <c r="AG699" s="56"/>
      <c r="AH699" s="56"/>
      <c r="AI699" s="56"/>
      <c r="AJ699" s="56"/>
      <c r="AQ699" s="56"/>
      <c r="AR699" s="56"/>
      <c r="AS699" s="56"/>
    </row>
    <row r="700" spans="1:4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D700" s="56"/>
      <c r="AE700" s="56"/>
      <c r="AF700" s="56"/>
      <c r="AG700" s="56"/>
      <c r="AH700" s="56"/>
      <c r="AI700" s="56"/>
      <c r="AJ700" s="56"/>
      <c r="AQ700" s="56"/>
      <c r="AR700" s="56"/>
      <c r="AS700" s="56"/>
    </row>
    <row r="701" spans="1:4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D701" s="56"/>
      <c r="AE701" s="56"/>
      <c r="AF701" s="56"/>
      <c r="AG701" s="56"/>
      <c r="AH701" s="56"/>
      <c r="AI701" s="56"/>
      <c r="AJ701" s="56"/>
      <c r="AQ701" s="56"/>
      <c r="AR701" s="56"/>
      <c r="AS701" s="56"/>
    </row>
    <row r="702" spans="1:4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D702" s="56"/>
      <c r="AE702" s="56"/>
      <c r="AF702" s="56"/>
      <c r="AG702" s="56"/>
      <c r="AH702" s="56"/>
      <c r="AI702" s="56"/>
      <c r="AJ702" s="56"/>
      <c r="AQ702" s="56"/>
      <c r="AR702" s="56"/>
      <c r="AS702" s="56"/>
    </row>
    <row r="703" spans="1:4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D703" s="56"/>
      <c r="AE703" s="56"/>
      <c r="AF703" s="56"/>
      <c r="AG703" s="56"/>
      <c r="AH703" s="56"/>
      <c r="AI703" s="56"/>
      <c r="AJ703" s="56"/>
      <c r="AQ703" s="56"/>
      <c r="AR703" s="56"/>
      <c r="AS703" s="56"/>
    </row>
    <row r="704" spans="1:4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D704" s="56"/>
      <c r="AE704" s="56"/>
      <c r="AF704" s="56"/>
      <c r="AG704" s="56"/>
      <c r="AH704" s="56"/>
      <c r="AI704" s="56"/>
      <c r="AJ704" s="56"/>
      <c r="AQ704" s="56"/>
      <c r="AR704" s="56"/>
      <c r="AS704" s="56"/>
    </row>
    <row r="705" spans="1:4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D705" s="56"/>
      <c r="AE705" s="56"/>
      <c r="AF705" s="56"/>
      <c r="AG705" s="56"/>
      <c r="AH705" s="56"/>
      <c r="AI705" s="56"/>
      <c r="AJ705" s="56"/>
      <c r="AQ705" s="56"/>
      <c r="AR705" s="56"/>
      <c r="AS705" s="56"/>
    </row>
    <row r="706" spans="1:4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D706" s="56"/>
      <c r="AE706" s="56"/>
      <c r="AF706" s="56"/>
      <c r="AG706" s="56"/>
      <c r="AH706" s="56"/>
      <c r="AI706" s="56"/>
      <c r="AJ706" s="56"/>
      <c r="AQ706" s="56"/>
      <c r="AR706" s="56"/>
      <c r="AS706" s="56"/>
    </row>
    <row r="707" spans="1:4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D707" s="56"/>
      <c r="AE707" s="56"/>
      <c r="AF707" s="56"/>
      <c r="AG707" s="56"/>
      <c r="AH707" s="56"/>
      <c r="AI707" s="56"/>
      <c r="AJ707" s="56"/>
      <c r="AQ707" s="56"/>
      <c r="AR707" s="56"/>
      <c r="AS707" s="56"/>
    </row>
    <row r="708" spans="1:4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D708" s="56"/>
      <c r="AE708" s="56"/>
      <c r="AF708" s="56"/>
      <c r="AG708" s="56"/>
      <c r="AH708" s="56"/>
      <c r="AI708" s="56"/>
      <c r="AJ708" s="56"/>
      <c r="AQ708" s="56"/>
      <c r="AR708" s="56"/>
      <c r="AS708" s="56"/>
    </row>
    <row r="709" spans="1:4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D709" s="56"/>
      <c r="AE709" s="56"/>
      <c r="AF709" s="56"/>
      <c r="AG709" s="56"/>
      <c r="AH709" s="56"/>
      <c r="AI709" s="56"/>
      <c r="AJ709" s="56"/>
      <c r="AQ709" s="56"/>
      <c r="AR709" s="56"/>
      <c r="AS709" s="56"/>
    </row>
    <row r="710" spans="1:4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D710" s="56"/>
      <c r="AE710" s="56"/>
      <c r="AF710" s="56"/>
      <c r="AG710" s="56"/>
      <c r="AH710" s="56"/>
      <c r="AI710" s="56"/>
      <c r="AJ710" s="56"/>
      <c r="AQ710" s="56"/>
      <c r="AR710" s="56"/>
      <c r="AS710" s="56"/>
    </row>
    <row r="711" spans="1:4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D711" s="56"/>
      <c r="AE711" s="56"/>
      <c r="AF711" s="56"/>
      <c r="AG711" s="56"/>
      <c r="AH711" s="56"/>
      <c r="AI711" s="56"/>
      <c r="AJ711" s="56"/>
      <c r="AQ711" s="56"/>
      <c r="AR711" s="56"/>
      <c r="AS711" s="56"/>
    </row>
    <row r="712" spans="1:4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D712" s="56"/>
      <c r="AE712" s="56"/>
      <c r="AF712" s="56"/>
      <c r="AG712" s="56"/>
      <c r="AH712" s="56"/>
      <c r="AI712" s="56"/>
      <c r="AJ712" s="56"/>
      <c r="AQ712" s="56"/>
      <c r="AR712" s="56"/>
      <c r="AS712" s="56"/>
    </row>
    <row r="713" spans="1:4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D713" s="56"/>
      <c r="AE713" s="56"/>
      <c r="AF713" s="56"/>
      <c r="AG713" s="56"/>
      <c r="AH713" s="56"/>
      <c r="AI713" s="56"/>
      <c r="AJ713" s="56"/>
      <c r="AQ713" s="56"/>
      <c r="AR713" s="56"/>
      <c r="AS713" s="56"/>
    </row>
    <row r="714" spans="1:4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D714" s="56"/>
      <c r="AE714" s="56"/>
      <c r="AF714" s="56"/>
      <c r="AG714" s="56"/>
      <c r="AH714" s="56"/>
      <c r="AI714" s="56"/>
      <c r="AJ714" s="56"/>
      <c r="AQ714" s="56"/>
      <c r="AR714" s="56"/>
      <c r="AS714" s="56"/>
    </row>
    <row r="715" spans="1:4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D715" s="56"/>
      <c r="AE715" s="56"/>
      <c r="AF715" s="56"/>
      <c r="AG715" s="56"/>
      <c r="AH715" s="56"/>
      <c r="AI715" s="56"/>
      <c r="AJ715" s="56"/>
      <c r="AQ715" s="56"/>
      <c r="AR715" s="56"/>
      <c r="AS715" s="56"/>
    </row>
    <row r="716" spans="1:4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D716" s="56"/>
      <c r="AE716" s="56"/>
      <c r="AF716" s="56"/>
      <c r="AG716" s="56"/>
      <c r="AH716" s="56"/>
      <c r="AI716" s="56"/>
      <c r="AJ716" s="56"/>
      <c r="AQ716" s="56"/>
      <c r="AR716" s="56"/>
      <c r="AS716" s="56"/>
    </row>
    <row r="717" spans="1:4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D717" s="56"/>
      <c r="AE717" s="56"/>
      <c r="AF717" s="56"/>
      <c r="AG717" s="56"/>
      <c r="AH717" s="56"/>
      <c r="AI717" s="56"/>
      <c r="AJ717" s="56"/>
      <c r="AQ717" s="56"/>
      <c r="AR717" s="56"/>
      <c r="AS717" s="56"/>
    </row>
    <row r="718" spans="1:4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D718" s="56"/>
      <c r="AE718" s="56"/>
      <c r="AF718" s="56"/>
      <c r="AG718" s="56"/>
      <c r="AH718" s="56"/>
      <c r="AI718" s="56"/>
      <c r="AJ718" s="56"/>
      <c r="AQ718" s="56"/>
      <c r="AR718" s="56"/>
      <c r="AS718" s="56"/>
    </row>
    <row r="719" spans="1:4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D719" s="56"/>
      <c r="AE719" s="56"/>
      <c r="AF719" s="56"/>
      <c r="AG719" s="56"/>
      <c r="AH719" s="56"/>
      <c r="AI719" s="56"/>
      <c r="AJ719" s="56"/>
      <c r="AQ719" s="56"/>
      <c r="AR719" s="56"/>
      <c r="AS719" s="56"/>
    </row>
    <row r="720" spans="1:4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D720" s="56"/>
      <c r="AE720" s="56"/>
      <c r="AF720" s="56"/>
      <c r="AG720" s="56"/>
      <c r="AH720" s="56"/>
      <c r="AI720" s="56"/>
      <c r="AJ720" s="56"/>
      <c r="AQ720" s="56"/>
      <c r="AR720" s="56"/>
      <c r="AS720" s="56"/>
    </row>
    <row r="721" spans="1:4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D721" s="56"/>
      <c r="AE721" s="56"/>
      <c r="AF721" s="56"/>
      <c r="AG721" s="56"/>
      <c r="AH721" s="56"/>
      <c r="AI721" s="56"/>
      <c r="AJ721" s="56"/>
      <c r="AQ721" s="56"/>
      <c r="AR721" s="56"/>
      <c r="AS721" s="56"/>
    </row>
    <row r="722" spans="1:4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D722" s="56"/>
      <c r="AE722" s="56"/>
      <c r="AF722" s="56"/>
      <c r="AG722" s="56"/>
      <c r="AH722" s="56"/>
      <c r="AI722" s="56"/>
      <c r="AJ722" s="56"/>
      <c r="AQ722" s="56"/>
      <c r="AR722" s="56"/>
      <c r="AS722" s="56"/>
    </row>
    <row r="723" spans="1:4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D723" s="56"/>
      <c r="AE723" s="56"/>
      <c r="AF723" s="56"/>
      <c r="AG723" s="56"/>
      <c r="AH723" s="56"/>
      <c r="AI723" s="56"/>
      <c r="AJ723" s="56"/>
      <c r="AQ723" s="56"/>
      <c r="AR723" s="56"/>
      <c r="AS723" s="56"/>
    </row>
    <row r="724" spans="1:4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D724" s="56"/>
      <c r="AE724" s="56"/>
      <c r="AF724" s="56"/>
      <c r="AG724" s="56"/>
      <c r="AH724" s="56"/>
      <c r="AI724" s="56"/>
      <c r="AJ724" s="56"/>
      <c r="AQ724" s="56"/>
      <c r="AR724" s="56"/>
      <c r="AS724" s="56"/>
    </row>
    <row r="725" spans="1:4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D725" s="56"/>
      <c r="AE725" s="56"/>
      <c r="AF725" s="56"/>
      <c r="AG725" s="56"/>
      <c r="AH725" s="56"/>
      <c r="AI725" s="56"/>
      <c r="AJ725" s="56"/>
      <c r="AQ725" s="56"/>
      <c r="AR725" s="56"/>
      <c r="AS725" s="56"/>
    </row>
    <row r="726" spans="1:4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D726" s="56"/>
      <c r="AE726" s="56"/>
      <c r="AF726" s="56"/>
      <c r="AG726" s="56"/>
      <c r="AH726" s="56"/>
      <c r="AI726" s="56"/>
      <c r="AJ726" s="56"/>
      <c r="AQ726" s="56"/>
      <c r="AR726" s="56"/>
      <c r="AS726" s="56"/>
    </row>
    <row r="727" spans="1:4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D727" s="56"/>
      <c r="AE727" s="56"/>
      <c r="AF727" s="56"/>
      <c r="AG727" s="56"/>
      <c r="AH727" s="56"/>
      <c r="AI727" s="56"/>
      <c r="AJ727" s="56"/>
      <c r="AQ727" s="56"/>
      <c r="AR727" s="56"/>
      <c r="AS727" s="56"/>
    </row>
    <row r="728" spans="1:4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D728" s="56"/>
      <c r="AE728" s="56"/>
      <c r="AF728" s="56"/>
      <c r="AG728" s="56"/>
      <c r="AH728" s="56"/>
      <c r="AI728" s="56"/>
      <c r="AJ728" s="56"/>
      <c r="AQ728" s="56"/>
      <c r="AR728" s="56"/>
      <c r="AS728" s="56"/>
    </row>
    <row r="729" spans="1:4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D729" s="56"/>
      <c r="AE729" s="56"/>
      <c r="AF729" s="56"/>
      <c r="AG729" s="56"/>
      <c r="AH729" s="56"/>
      <c r="AI729" s="56"/>
      <c r="AJ729" s="56"/>
      <c r="AQ729" s="56"/>
      <c r="AR729" s="56"/>
      <c r="AS729" s="56"/>
    </row>
    <row r="730" spans="1:4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D730" s="56"/>
      <c r="AE730" s="56"/>
      <c r="AF730" s="56"/>
      <c r="AG730" s="56"/>
      <c r="AH730" s="56"/>
      <c r="AI730" s="56"/>
      <c r="AJ730" s="56"/>
      <c r="AQ730" s="56"/>
      <c r="AR730" s="56"/>
      <c r="AS730" s="56"/>
    </row>
    <row r="731" spans="1:4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D731" s="56"/>
      <c r="AE731" s="56"/>
      <c r="AF731" s="56"/>
      <c r="AG731" s="56"/>
      <c r="AH731" s="56"/>
      <c r="AI731" s="56"/>
      <c r="AJ731" s="56"/>
      <c r="AQ731" s="56"/>
      <c r="AR731" s="56"/>
      <c r="AS731" s="56"/>
    </row>
    <row r="732" spans="1:4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D732" s="56"/>
      <c r="AE732" s="56"/>
      <c r="AF732" s="56"/>
      <c r="AG732" s="56"/>
      <c r="AH732" s="56"/>
      <c r="AI732" s="56"/>
      <c r="AJ732" s="56"/>
      <c r="AQ732" s="56"/>
      <c r="AR732" s="56"/>
      <c r="AS732" s="56"/>
    </row>
    <row r="733" spans="1:4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D733" s="56"/>
      <c r="AE733" s="56"/>
      <c r="AF733" s="56"/>
      <c r="AG733" s="56"/>
      <c r="AH733" s="56"/>
      <c r="AI733" s="56"/>
      <c r="AJ733" s="56"/>
      <c r="AQ733" s="56"/>
      <c r="AR733" s="56"/>
      <c r="AS733" s="56"/>
    </row>
    <row r="734" spans="1:4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D734" s="56"/>
      <c r="AE734" s="56"/>
      <c r="AF734" s="56"/>
      <c r="AG734" s="56"/>
      <c r="AH734" s="56"/>
      <c r="AI734" s="56"/>
      <c r="AJ734" s="56"/>
      <c r="AQ734" s="56"/>
      <c r="AR734" s="56"/>
      <c r="AS734" s="56"/>
    </row>
    <row r="735" spans="1:4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D735" s="56"/>
      <c r="AE735" s="56"/>
      <c r="AF735" s="56"/>
      <c r="AG735" s="56"/>
      <c r="AH735" s="56"/>
      <c r="AI735" s="56"/>
      <c r="AJ735" s="56"/>
      <c r="AQ735" s="56"/>
      <c r="AR735" s="56"/>
      <c r="AS735" s="56"/>
    </row>
    <row r="736" spans="1:4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D736" s="56"/>
      <c r="AE736" s="56"/>
      <c r="AF736" s="56"/>
      <c r="AG736" s="56"/>
      <c r="AH736" s="56"/>
      <c r="AI736" s="56"/>
      <c r="AJ736" s="56"/>
      <c r="AQ736" s="56"/>
      <c r="AR736" s="56"/>
      <c r="AS736" s="56"/>
    </row>
    <row r="737" spans="1:4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D737" s="56"/>
      <c r="AE737" s="56"/>
      <c r="AF737" s="56"/>
      <c r="AG737" s="56"/>
      <c r="AH737" s="56"/>
      <c r="AI737" s="56"/>
      <c r="AJ737" s="56"/>
      <c r="AQ737" s="56"/>
      <c r="AR737" s="56"/>
      <c r="AS737" s="56"/>
    </row>
    <row r="738" spans="1:4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D738" s="56"/>
      <c r="AE738" s="56"/>
      <c r="AF738" s="56"/>
      <c r="AG738" s="56"/>
      <c r="AH738" s="56"/>
      <c r="AI738" s="56"/>
      <c r="AJ738" s="56"/>
      <c r="AQ738" s="56"/>
      <c r="AR738" s="56"/>
      <c r="AS738" s="56"/>
    </row>
    <row r="739" spans="1:4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D739" s="56"/>
      <c r="AE739" s="56"/>
      <c r="AF739" s="56"/>
      <c r="AG739" s="56"/>
      <c r="AH739" s="56"/>
      <c r="AI739" s="56"/>
      <c r="AJ739" s="56"/>
      <c r="AQ739" s="56"/>
      <c r="AR739" s="56"/>
      <c r="AS739" s="56"/>
    </row>
    <row r="740" spans="1:4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D740" s="56"/>
      <c r="AE740" s="56"/>
      <c r="AF740" s="56"/>
      <c r="AG740" s="56"/>
      <c r="AH740" s="56"/>
      <c r="AI740" s="56"/>
      <c r="AJ740" s="56"/>
      <c r="AQ740" s="56"/>
      <c r="AR740" s="56"/>
      <c r="AS740" s="56"/>
    </row>
    <row r="741" spans="1:4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D741" s="56"/>
      <c r="AE741" s="56"/>
      <c r="AF741" s="56"/>
      <c r="AG741" s="56"/>
      <c r="AH741" s="56"/>
      <c r="AI741" s="56"/>
      <c r="AJ741" s="56"/>
      <c r="AQ741" s="56"/>
      <c r="AR741" s="56"/>
      <c r="AS741" s="56"/>
    </row>
    <row r="742" spans="1:4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D742" s="56"/>
      <c r="AE742" s="56"/>
      <c r="AF742" s="56"/>
      <c r="AG742" s="56"/>
      <c r="AH742" s="56"/>
      <c r="AI742" s="56"/>
      <c r="AJ742" s="56"/>
      <c r="AQ742" s="56"/>
      <c r="AR742" s="56"/>
      <c r="AS742" s="56"/>
    </row>
    <row r="743" spans="1:4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D743" s="56"/>
      <c r="AE743" s="56"/>
      <c r="AF743" s="56"/>
      <c r="AG743" s="56"/>
      <c r="AH743" s="56"/>
      <c r="AI743" s="56"/>
      <c r="AJ743" s="56"/>
      <c r="AQ743" s="56"/>
      <c r="AR743" s="56"/>
      <c r="AS743" s="56"/>
    </row>
    <row r="744" spans="1:4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D744" s="56"/>
      <c r="AE744" s="56"/>
      <c r="AF744" s="56"/>
      <c r="AG744" s="56"/>
      <c r="AH744" s="56"/>
      <c r="AI744" s="56"/>
      <c r="AJ744" s="56"/>
      <c r="AQ744" s="56"/>
      <c r="AR744" s="56"/>
      <c r="AS744" s="56"/>
    </row>
    <row r="745" spans="1:4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D745" s="56"/>
      <c r="AE745" s="56"/>
      <c r="AF745" s="56"/>
      <c r="AG745" s="56"/>
      <c r="AH745" s="56"/>
      <c r="AI745" s="56"/>
      <c r="AJ745" s="56"/>
      <c r="AQ745" s="56"/>
      <c r="AR745" s="56"/>
      <c r="AS745" s="56"/>
    </row>
    <row r="746" spans="1:4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D746" s="56"/>
      <c r="AE746" s="56"/>
      <c r="AF746" s="56"/>
      <c r="AG746" s="56"/>
      <c r="AH746" s="56"/>
      <c r="AI746" s="56"/>
      <c r="AJ746" s="56"/>
      <c r="AQ746" s="56"/>
      <c r="AR746" s="56"/>
      <c r="AS746" s="56"/>
    </row>
    <row r="747" spans="1:4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D747" s="56"/>
      <c r="AE747" s="56"/>
      <c r="AF747" s="56"/>
      <c r="AG747" s="56"/>
      <c r="AH747" s="56"/>
      <c r="AI747" s="56"/>
      <c r="AJ747" s="56"/>
      <c r="AQ747" s="56"/>
      <c r="AR747" s="56"/>
      <c r="AS747" s="56"/>
    </row>
    <row r="748" spans="1:4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D748" s="56"/>
      <c r="AE748" s="56"/>
      <c r="AF748" s="56"/>
      <c r="AG748" s="56"/>
      <c r="AH748" s="56"/>
      <c r="AI748" s="56"/>
      <c r="AJ748" s="56"/>
      <c r="AQ748" s="56"/>
      <c r="AR748" s="56"/>
      <c r="AS748" s="56"/>
    </row>
    <row r="749" spans="1:4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D749" s="56"/>
      <c r="AE749" s="56"/>
      <c r="AF749" s="56"/>
      <c r="AG749" s="56"/>
      <c r="AH749" s="56"/>
      <c r="AI749" s="56"/>
      <c r="AJ749" s="56"/>
      <c r="AQ749" s="56"/>
      <c r="AR749" s="56"/>
      <c r="AS749" s="56"/>
    </row>
    <row r="750" spans="1:4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D750" s="56"/>
      <c r="AE750" s="56"/>
      <c r="AF750" s="56"/>
      <c r="AG750" s="56"/>
      <c r="AH750" s="56"/>
      <c r="AI750" s="56"/>
      <c r="AJ750" s="56"/>
      <c r="AQ750" s="56"/>
      <c r="AR750" s="56"/>
      <c r="AS750" s="56"/>
    </row>
    <row r="751" spans="1:4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D751" s="56"/>
      <c r="AE751" s="56"/>
      <c r="AF751" s="56"/>
      <c r="AG751" s="56"/>
      <c r="AH751" s="56"/>
      <c r="AI751" s="56"/>
      <c r="AJ751" s="56"/>
      <c r="AQ751" s="56"/>
      <c r="AR751" s="56"/>
      <c r="AS751" s="56"/>
    </row>
    <row r="752" spans="1:4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D752" s="56"/>
      <c r="AE752" s="56"/>
      <c r="AF752" s="56"/>
      <c r="AG752" s="56"/>
      <c r="AH752" s="56"/>
      <c r="AI752" s="56"/>
      <c r="AJ752" s="56"/>
      <c r="AQ752" s="56"/>
      <c r="AR752" s="56"/>
      <c r="AS752" s="56"/>
    </row>
    <row r="753" spans="1:4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D753" s="56"/>
      <c r="AE753" s="56"/>
      <c r="AF753" s="56"/>
      <c r="AG753" s="56"/>
      <c r="AH753" s="56"/>
      <c r="AI753" s="56"/>
      <c r="AJ753" s="56"/>
      <c r="AQ753" s="56"/>
      <c r="AR753" s="56"/>
      <c r="AS753" s="56"/>
    </row>
    <row r="754" spans="1:4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D754" s="56"/>
      <c r="AE754" s="56"/>
      <c r="AF754" s="56"/>
      <c r="AG754" s="56"/>
      <c r="AH754" s="56"/>
      <c r="AI754" s="56"/>
      <c r="AJ754" s="56"/>
      <c r="AQ754" s="56"/>
      <c r="AR754" s="56"/>
      <c r="AS754" s="56"/>
    </row>
    <row r="755" spans="1:4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D755" s="56"/>
      <c r="AE755" s="56"/>
      <c r="AF755" s="56"/>
      <c r="AG755" s="56"/>
      <c r="AH755" s="56"/>
      <c r="AI755" s="56"/>
      <c r="AJ755" s="56"/>
      <c r="AQ755" s="56"/>
      <c r="AR755" s="56"/>
      <c r="AS755" s="56"/>
    </row>
    <row r="756" spans="1:4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D756" s="56"/>
      <c r="AE756" s="56"/>
      <c r="AF756" s="56"/>
      <c r="AG756" s="56"/>
      <c r="AH756" s="56"/>
      <c r="AI756" s="56"/>
      <c r="AJ756" s="56"/>
      <c r="AQ756" s="56"/>
      <c r="AR756" s="56"/>
      <c r="AS756" s="56"/>
    </row>
    <row r="757" spans="1:4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D757" s="56"/>
      <c r="AE757" s="56"/>
      <c r="AF757" s="56"/>
      <c r="AG757" s="56"/>
      <c r="AH757" s="56"/>
      <c r="AI757" s="56"/>
      <c r="AJ757" s="56"/>
      <c r="AQ757" s="56"/>
      <c r="AR757" s="56"/>
      <c r="AS757" s="56"/>
    </row>
    <row r="758" spans="1:4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D758" s="56"/>
      <c r="AE758" s="56"/>
      <c r="AF758" s="56"/>
      <c r="AG758" s="56"/>
      <c r="AH758" s="56"/>
      <c r="AI758" s="56"/>
      <c r="AJ758" s="56"/>
      <c r="AQ758" s="56"/>
      <c r="AR758" s="56"/>
      <c r="AS758" s="56"/>
    </row>
    <row r="759" spans="1:4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D759" s="56"/>
      <c r="AE759" s="56"/>
      <c r="AF759" s="56"/>
      <c r="AG759" s="56"/>
      <c r="AH759" s="56"/>
      <c r="AI759" s="56"/>
      <c r="AJ759" s="56"/>
      <c r="AQ759" s="56"/>
      <c r="AR759" s="56"/>
      <c r="AS759" s="56"/>
    </row>
    <row r="760" spans="1:4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D760" s="56"/>
      <c r="AE760" s="56"/>
      <c r="AF760" s="56"/>
      <c r="AG760" s="56"/>
      <c r="AH760" s="56"/>
      <c r="AI760" s="56"/>
      <c r="AJ760" s="56"/>
      <c r="AQ760" s="56"/>
      <c r="AR760" s="56"/>
      <c r="AS760" s="56"/>
    </row>
    <row r="761" spans="1:4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D761" s="56"/>
      <c r="AE761" s="56"/>
      <c r="AF761" s="56"/>
      <c r="AG761" s="56"/>
      <c r="AH761" s="56"/>
      <c r="AI761" s="56"/>
      <c r="AJ761" s="56"/>
      <c r="AQ761" s="56"/>
      <c r="AR761" s="56"/>
      <c r="AS761" s="56"/>
    </row>
    <row r="762" spans="1:4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D762" s="56"/>
      <c r="AE762" s="56"/>
      <c r="AF762" s="56"/>
      <c r="AG762" s="56"/>
      <c r="AH762" s="56"/>
      <c r="AI762" s="56"/>
      <c r="AJ762" s="56"/>
      <c r="AQ762" s="56"/>
      <c r="AR762" s="56"/>
      <c r="AS762" s="56"/>
    </row>
    <row r="763" spans="1:4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D763" s="56"/>
      <c r="AE763" s="56"/>
      <c r="AF763" s="56"/>
      <c r="AG763" s="56"/>
      <c r="AH763" s="56"/>
      <c r="AI763" s="56"/>
      <c r="AJ763" s="56"/>
      <c r="AQ763" s="56"/>
      <c r="AR763" s="56"/>
      <c r="AS763" s="56"/>
    </row>
    <row r="764" spans="1:4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D764" s="56"/>
      <c r="AE764" s="56"/>
      <c r="AF764" s="56"/>
      <c r="AG764" s="56"/>
      <c r="AH764" s="56"/>
      <c r="AI764" s="56"/>
      <c r="AJ764" s="56"/>
      <c r="AQ764" s="56"/>
      <c r="AR764" s="56"/>
      <c r="AS764" s="56"/>
    </row>
    <row r="765" spans="1:4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D765" s="56"/>
      <c r="AE765" s="56"/>
      <c r="AF765" s="56"/>
      <c r="AG765" s="56"/>
      <c r="AH765" s="56"/>
      <c r="AI765" s="56"/>
      <c r="AJ765" s="56"/>
      <c r="AQ765" s="56"/>
      <c r="AR765" s="56"/>
      <c r="AS765" s="56"/>
    </row>
    <row r="766" spans="1:4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D766" s="56"/>
      <c r="AE766" s="56"/>
      <c r="AF766" s="56"/>
      <c r="AG766" s="56"/>
      <c r="AH766" s="56"/>
      <c r="AI766" s="56"/>
      <c r="AJ766" s="56"/>
      <c r="AQ766" s="56"/>
      <c r="AR766" s="56"/>
      <c r="AS766" s="56"/>
    </row>
    <row r="767" spans="1:4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D767" s="56"/>
      <c r="AE767" s="56"/>
      <c r="AF767" s="56"/>
      <c r="AG767" s="56"/>
      <c r="AH767" s="56"/>
      <c r="AI767" s="56"/>
      <c r="AJ767" s="56"/>
      <c r="AQ767" s="56"/>
      <c r="AR767" s="56"/>
      <c r="AS767" s="56"/>
    </row>
    <row r="768" spans="1:4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D768" s="56"/>
      <c r="AE768" s="56"/>
      <c r="AF768" s="56"/>
      <c r="AG768" s="56"/>
      <c r="AH768" s="56"/>
      <c r="AI768" s="56"/>
      <c r="AJ768" s="56"/>
      <c r="AQ768" s="56"/>
      <c r="AR768" s="56"/>
      <c r="AS768" s="56"/>
    </row>
    <row r="769" spans="1:4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D769" s="56"/>
      <c r="AE769" s="56"/>
      <c r="AF769" s="56"/>
      <c r="AG769" s="56"/>
      <c r="AH769" s="56"/>
      <c r="AI769" s="56"/>
      <c r="AJ769" s="56"/>
      <c r="AQ769" s="56"/>
      <c r="AR769" s="56"/>
      <c r="AS769" s="56"/>
    </row>
    <row r="770" spans="1:4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D770" s="56"/>
      <c r="AE770" s="56"/>
      <c r="AF770" s="56"/>
      <c r="AG770" s="56"/>
      <c r="AH770" s="56"/>
      <c r="AI770" s="56"/>
      <c r="AJ770" s="56"/>
      <c r="AQ770" s="56"/>
      <c r="AR770" s="56"/>
      <c r="AS770" s="56"/>
    </row>
    <row r="771" spans="1:4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D771" s="56"/>
      <c r="AE771" s="56"/>
      <c r="AF771" s="56"/>
      <c r="AG771" s="56"/>
      <c r="AH771" s="56"/>
      <c r="AI771" s="56"/>
      <c r="AJ771" s="56"/>
      <c r="AQ771" s="56"/>
      <c r="AR771" s="56"/>
      <c r="AS771" s="56"/>
    </row>
    <row r="772" spans="1:4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D772" s="56"/>
      <c r="AE772" s="56"/>
      <c r="AF772" s="56"/>
      <c r="AG772" s="56"/>
      <c r="AH772" s="56"/>
      <c r="AI772" s="56"/>
      <c r="AJ772" s="56"/>
      <c r="AQ772" s="56"/>
      <c r="AR772" s="56"/>
      <c r="AS772" s="56"/>
    </row>
    <row r="773" spans="1:4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D773" s="56"/>
      <c r="AE773" s="56"/>
      <c r="AF773" s="56"/>
      <c r="AG773" s="56"/>
      <c r="AH773" s="56"/>
      <c r="AI773" s="56"/>
      <c r="AJ773" s="56"/>
      <c r="AQ773" s="56"/>
      <c r="AR773" s="56"/>
      <c r="AS773" s="56"/>
    </row>
    <row r="774" spans="1:4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D774" s="56"/>
      <c r="AE774" s="56"/>
      <c r="AF774" s="56"/>
      <c r="AG774" s="56"/>
      <c r="AH774" s="56"/>
      <c r="AI774" s="56"/>
      <c r="AJ774" s="56"/>
      <c r="AQ774" s="56"/>
      <c r="AR774" s="56"/>
      <c r="AS774" s="56"/>
    </row>
    <row r="775" spans="1:4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D775" s="56"/>
      <c r="AE775" s="56"/>
      <c r="AF775" s="56"/>
      <c r="AG775" s="56"/>
      <c r="AH775" s="56"/>
      <c r="AI775" s="56"/>
      <c r="AJ775" s="56"/>
      <c r="AQ775" s="56"/>
      <c r="AR775" s="56"/>
      <c r="AS775" s="56"/>
    </row>
    <row r="776" spans="1:4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D776" s="56"/>
      <c r="AE776" s="56"/>
      <c r="AF776" s="56"/>
      <c r="AG776" s="56"/>
      <c r="AH776" s="56"/>
      <c r="AI776" s="56"/>
      <c r="AJ776" s="56"/>
      <c r="AQ776" s="56"/>
      <c r="AR776" s="56"/>
      <c r="AS776" s="56"/>
    </row>
    <row r="777" spans="1:4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D777" s="56"/>
      <c r="AE777" s="56"/>
      <c r="AF777" s="56"/>
      <c r="AG777" s="56"/>
      <c r="AH777" s="56"/>
      <c r="AI777" s="56"/>
      <c r="AJ777" s="56"/>
      <c r="AQ777" s="56"/>
      <c r="AR777" s="56"/>
      <c r="AS777" s="56"/>
    </row>
    <row r="778" spans="1:4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D778" s="56"/>
      <c r="AE778" s="56"/>
      <c r="AF778" s="56"/>
      <c r="AG778" s="56"/>
      <c r="AH778" s="56"/>
      <c r="AI778" s="56"/>
      <c r="AJ778" s="56"/>
      <c r="AQ778" s="56"/>
      <c r="AR778" s="56"/>
      <c r="AS778" s="56"/>
    </row>
    <row r="779" spans="1:4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D779" s="56"/>
      <c r="AE779" s="56"/>
      <c r="AF779" s="56"/>
      <c r="AG779" s="56"/>
      <c r="AH779" s="56"/>
      <c r="AI779" s="56"/>
      <c r="AJ779" s="56"/>
      <c r="AQ779" s="56"/>
      <c r="AR779" s="56"/>
      <c r="AS779" s="56"/>
    </row>
    <row r="780" spans="1:4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D780" s="56"/>
      <c r="AE780" s="56"/>
      <c r="AF780" s="56"/>
      <c r="AG780" s="56"/>
      <c r="AH780" s="56"/>
      <c r="AI780" s="56"/>
      <c r="AJ780" s="56"/>
      <c r="AQ780" s="56"/>
      <c r="AR780" s="56"/>
      <c r="AS780" s="56"/>
    </row>
    <row r="781" spans="1:4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D781" s="56"/>
      <c r="AE781" s="56"/>
      <c r="AF781" s="56"/>
      <c r="AG781" s="56"/>
      <c r="AH781" s="56"/>
      <c r="AI781" s="56"/>
      <c r="AJ781" s="56"/>
      <c r="AQ781" s="56"/>
      <c r="AR781" s="56"/>
      <c r="AS781" s="56"/>
    </row>
    <row r="782" spans="1:4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D782" s="56"/>
      <c r="AE782" s="56"/>
      <c r="AF782" s="56"/>
      <c r="AG782" s="56"/>
      <c r="AH782" s="56"/>
      <c r="AI782" s="56"/>
      <c r="AJ782" s="56"/>
      <c r="AQ782" s="56"/>
      <c r="AR782" s="56"/>
      <c r="AS782" s="56"/>
    </row>
    <row r="783" spans="1:4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D783" s="56"/>
      <c r="AE783" s="56"/>
      <c r="AF783" s="56"/>
      <c r="AG783" s="56"/>
      <c r="AH783" s="56"/>
      <c r="AI783" s="56"/>
      <c r="AJ783" s="56"/>
      <c r="AQ783" s="56"/>
      <c r="AR783" s="56"/>
      <c r="AS783" s="56"/>
    </row>
    <row r="784" spans="1:4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D784" s="56"/>
      <c r="AE784" s="56"/>
      <c r="AF784" s="56"/>
      <c r="AG784" s="56"/>
      <c r="AH784" s="56"/>
      <c r="AI784" s="56"/>
      <c r="AJ784" s="56"/>
      <c r="AQ784" s="56"/>
      <c r="AR784" s="56"/>
      <c r="AS784" s="56"/>
    </row>
    <row r="785" spans="1:4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D785" s="56"/>
      <c r="AE785" s="56"/>
      <c r="AF785" s="56"/>
      <c r="AG785" s="56"/>
      <c r="AH785" s="56"/>
      <c r="AI785" s="56"/>
      <c r="AJ785" s="56"/>
      <c r="AQ785" s="56"/>
      <c r="AR785" s="56"/>
      <c r="AS785" s="56"/>
    </row>
    <row r="786" spans="1:4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D786" s="56"/>
      <c r="AE786" s="56"/>
      <c r="AF786" s="56"/>
      <c r="AG786" s="56"/>
      <c r="AH786" s="56"/>
      <c r="AI786" s="56"/>
      <c r="AJ786" s="56"/>
      <c r="AQ786" s="56"/>
      <c r="AR786" s="56"/>
      <c r="AS786" s="56"/>
    </row>
    <row r="787" spans="1:4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D787" s="56"/>
      <c r="AE787" s="56"/>
      <c r="AF787" s="56"/>
      <c r="AG787" s="56"/>
      <c r="AH787" s="56"/>
      <c r="AI787" s="56"/>
      <c r="AJ787" s="56"/>
      <c r="AQ787" s="56"/>
      <c r="AR787" s="56"/>
      <c r="AS787" s="56"/>
    </row>
    <row r="788" spans="1:4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D788" s="56"/>
      <c r="AE788" s="56"/>
      <c r="AF788" s="56"/>
      <c r="AG788" s="56"/>
      <c r="AH788" s="56"/>
      <c r="AI788" s="56"/>
      <c r="AJ788" s="56"/>
      <c r="AQ788" s="56"/>
      <c r="AR788" s="56"/>
      <c r="AS788" s="56"/>
    </row>
    <row r="789" spans="1:4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D789" s="56"/>
      <c r="AE789" s="56"/>
      <c r="AF789" s="56"/>
      <c r="AG789" s="56"/>
      <c r="AH789" s="56"/>
      <c r="AI789" s="56"/>
      <c r="AJ789" s="56"/>
      <c r="AQ789" s="56"/>
      <c r="AR789" s="56"/>
      <c r="AS789" s="56"/>
    </row>
    <row r="790" spans="1:4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D790" s="56"/>
      <c r="AE790" s="56"/>
      <c r="AF790" s="56"/>
      <c r="AG790" s="56"/>
      <c r="AH790" s="56"/>
      <c r="AI790" s="56"/>
      <c r="AJ790" s="56"/>
      <c r="AQ790" s="56"/>
      <c r="AR790" s="56"/>
      <c r="AS790" s="56"/>
    </row>
    <row r="791" spans="1:4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D791" s="56"/>
      <c r="AE791" s="56"/>
      <c r="AF791" s="56"/>
      <c r="AG791" s="56"/>
      <c r="AH791" s="56"/>
      <c r="AI791" s="56"/>
      <c r="AJ791" s="56"/>
      <c r="AQ791" s="56"/>
      <c r="AR791" s="56"/>
      <c r="AS791" s="56"/>
    </row>
    <row r="792" spans="1:4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D792" s="56"/>
      <c r="AE792" s="56"/>
      <c r="AF792" s="56"/>
      <c r="AG792" s="56"/>
      <c r="AH792" s="56"/>
      <c r="AI792" s="56"/>
      <c r="AJ792" s="56"/>
      <c r="AQ792" s="56"/>
      <c r="AR792" s="56"/>
      <c r="AS792" s="56"/>
    </row>
    <row r="793" spans="1:4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D793" s="56"/>
      <c r="AE793" s="56"/>
      <c r="AF793" s="56"/>
      <c r="AG793" s="56"/>
      <c r="AH793" s="56"/>
      <c r="AI793" s="56"/>
      <c r="AJ793" s="56"/>
      <c r="AQ793" s="56"/>
      <c r="AR793" s="56"/>
      <c r="AS793" s="56"/>
    </row>
    <row r="794" spans="1:4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D794" s="56"/>
      <c r="AE794" s="56"/>
      <c r="AF794" s="56"/>
      <c r="AG794" s="56"/>
      <c r="AH794" s="56"/>
      <c r="AI794" s="56"/>
      <c r="AJ794" s="56"/>
      <c r="AQ794" s="56"/>
      <c r="AR794" s="56"/>
      <c r="AS794" s="56"/>
    </row>
    <row r="795" spans="1:4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D795" s="56"/>
      <c r="AE795" s="56"/>
      <c r="AF795" s="56"/>
      <c r="AG795" s="56"/>
      <c r="AH795" s="56"/>
      <c r="AI795" s="56"/>
      <c r="AJ795" s="56"/>
      <c r="AQ795" s="56"/>
      <c r="AR795" s="56"/>
      <c r="AS795" s="56"/>
    </row>
    <row r="796" spans="1:4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D796" s="56"/>
      <c r="AE796" s="56"/>
      <c r="AF796" s="56"/>
      <c r="AG796" s="56"/>
      <c r="AH796" s="56"/>
      <c r="AI796" s="56"/>
      <c r="AJ796" s="56"/>
      <c r="AQ796" s="56"/>
      <c r="AR796" s="56"/>
      <c r="AS796" s="56"/>
    </row>
    <row r="797" spans="1:4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D797" s="56"/>
      <c r="AE797" s="56"/>
      <c r="AF797" s="56"/>
      <c r="AG797" s="56"/>
      <c r="AH797" s="56"/>
      <c r="AI797" s="56"/>
      <c r="AJ797" s="56"/>
      <c r="AQ797" s="56"/>
      <c r="AR797" s="56"/>
      <c r="AS797" s="56"/>
    </row>
    <row r="798" spans="1:4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D798" s="56"/>
      <c r="AE798" s="56"/>
      <c r="AF798" s="56"/>
      <c r="AG798" s="56"/>
      <c r="AH798" s="56"/>
      <c r="AI798" s="56"/>
      <c r="AJ798" s="56"/>
      <c r="AQ798" s="56"/>
      <c r="AR798" s="56"/>
      <c r="AS798" s="56"/>
    </row>
    <row r="799" spans="1:4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D799" s="56"/>
      <c r="AE799" s="56"/>
      <c r="AF799" s="56"/>
      <c r="AG799" s="56"/>
      <c r="AH799" s="56"/>
      <c r="AI799" s="56"/>
      <c r="AJ799" s="56"/>
      <c r="AQ799" s="56"/>
      <c r="AR799" s="56"/>
      <c r="AS799" s="56"/>
    </row>
    <row r="800" spans="1:4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D800" s="56"/>
      <c r="AE800" s="56"/>
      <c r="AF800" s="56"/>
      <c r="AG800" s="56"/>
      <c r="AH800" s="56"/>
      <c r="AI800" s="56"/>
      <c r="AJ800" s="56"/>
      <c r="AQ800" s="56"/>
      <c r="AR800" s="56"/>
      <c r="AS800" s="56"/>
    </row>
    <row r="801" spans="1:4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D801" s="56"/>
      <c r="AE801" s="56"/>
      <c r="AF801" s="56"/>
      <c r="AG801" s="56"/>
      <c r="AH801" s="56"/>
      <c r="AI801" s="56"/>
      <c r="AJ801" s="56"/>
      <c r="AQ801" s="56"/>
      <c r="AR801" s="56"/>
      <c r="AS801" s="56"/>
    </row>
    <row r="802" spans="1:4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D802" s="56"/>
      <c r="AE802" s="56"/>
      <c r="AF802" s="56"/>
      <c r="AG802" s="56"/>
      <c r="AH802" s="56"/>
      <c r="AI802" s="56"/>
      <c r="AJ802" s="56"/>
      <c r="AQ802" s="56"/>
      <c r="AR802" s="56"/>
      <c r="AS802" s="56"/>
    </row>
    <row r="803" spans="1:4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D803" s="56"/>
      <c r="AE803" s="56"/>
      <c r="AF803" s="56"/>
      <c r="AG803" s="56"/>
      <c r="AH803" s="56"/>
      <c r="AI803" s="56"/>
      <c r="AJ803" s="56"/>
      <c r="AQ803" s="56"/>
      <c r="AR803" s="56"/>
      <c r="AS803" s="56"/>
    </row>
    <row r="804" spans="1:4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D804" s="56"/>
      <c r="AE804" s="56"/>
      <c r="AF804" s="56"/>
      <c r="AG804" s="56"/>
      <c r="AH804" s="56"/>
      <c r="AI804" s="56"/>
      <c r="AJ804" s="56"/>
      <c r="AQ804" s="56"/>
      <c r="AR804" s="56"/>
      <c r="AS804" s="56"/>
    </row>
    <row r="805" spans="1:4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D805" s="56"/>
      <c r="AE805" s="56"/>
      <c r="AF805" s="56"/>
      <c r="AG805" s="56"/>
      <c r="AH805" s="56"/>
      <c r="AI805" s="56"/>
      <c r="AJ805" s="56"/>
      <c r="AQ805" s="56"/>
      <c r="AR805" s="56"/>
      <c r="AS805" s="56"/>
    </row>
    <row r="806" spans="1:4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D806" s="56"/>
      <c r="AE806" s="56"/>
      <c r="AF806" s="56"/>
      <c r="AG806" s="56"/>
      <c r="AH806" s="56"/>
      <c r="AI806" s="56"/>
      <c r="AJ806" s="56"/>
      <c r="AQ806" s="56"/>
      <c r="AR806" s="56"/>
      <c r="AS806" s="56"/>
    </row>
    <row r="807" spans="1:4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D807" s="56"/>
      <c r="AE807" s="56"/>
      <c r="AF807" s="56"/>
      <c r="AG807" s="56"/>
      <c r="AH807" s="56"/>
      <c r="AI807" s="56"/>
      <c r="AJ807" s="56"/>
      <c r="AQ807" s="56"/>
      <c r="AR807" s="56"/>
      <c r="AS807" s="56"/>
    </row>
    <row r="808" spans="1:4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D808" s="56"/>
      <c r="AE808" s="56"/>
      <c r="AF808" s="56"/>
      <c r="AG808" s="56"/>
      <c r="AH808" s="56"/>
      <c r="AI808" s="56"/>
      <c r="AJ808" s="56"/>
      <c r="AQ808" s="56"/>
      <c r="AR808" s="56"/>
      <c r="AS808" s="56"/>
    </row>
    <row r="809" spans="1:4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D809" s="56"/>
      <c r="AE809" s="56"/>
      <c r="AF809" s="56"/>
      <c r="AG809" s="56"/>
      <c r="AH809" s="56"/>
      <c r="AI809" s="56"/>
      <c r="AJ809" s="56"/>
      <c r="AQ809" s="56"/>
      <c r="AR809" s="56"/>
      <c r="AS809" s="56"/>
    </row>
    <row r="810" spans="1:4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D810" s="56"/>
      <c r="AE810" s="56"/>
      <c r="AF810" s="56"/>
      <c r="AG810" s="56"/>
      <c r="AH810" s="56"/>
      <c r="AI810" s="56"/>
      <c r="AJ810" s="56"/>
      <c r="AQ810" s="56"/>
      <c r="AR810" s="56"/>
      <c r="AS810" s="56"/>
    </row>
    <row r="811" spans="1:4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D811" s="56"/>
      <c r="AE811" s="56"/>
      <c r="AF811" s="56"/>
      <c r="AG811" s="56"/>
      <c r="AH811" s="56"/>
      <c r="AI811" s="56"/>
      <c r="AJ811" s="56"/>
      <c r="AQ811" s="56"/>
      <c r="AR811" s="56"/>
      <c r="AS811" s="56"/>
    </row>
    <row r="812" spans="1:4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D812" s="56"/>
      <c r="AE812" s="56"/>
      <c r="AF812" s="56"/>
      <c r="AG812" s="56"/>
      <c r="AH812" s="56"/>
      <c r="AI812" s="56"/>
      <c r="AJ812" s="56"/>
      <c r="AQ812" s="56"/>
      <c r="AR812" s="56"/>
      <c r="AS812" s="56"/>
    </row>
    <row r="813" spans="1:4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D813" s="56"/>
      <c r="AE813" s="56"/>
      <c r="AF813" s="56"/>
      <c r="AG813" s="56"/>
      <c r="AH813" s="56"/>
      <c r="AI813" s="56"/>
      <c r="AJ813" s="56"/>
      <c r="AQ813" s="56"/>
      <c r="AR813" s="56"/>
      <c r="AS813" s="56"/>
    </row>
    <row r="814" spans="1:4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D814" s="56"/>
      <c r="AE814" s="56"/>
      <c r="AF814" s="56"/>
      <c r="AG814" s="56"/>
      <c r="AH814" s="56"/>
      <c r="AI814" s="56"/>
      <c r="AJ814" s="56"/>
      <c r="AQ814" s="56"/>
      <c r="AR814" s="56"/>
      <c r="AS814" s="56"/>
    </row>
    <row r="815" spans="1:4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D815" s="56"/>
      <c r="AE815" s="56"/>
      <c r="AF815" s="56"/>
      <c r="AG815" s="56"/>
      <c r="AH815" s="56"/>
      <c r="AI815" s="56"/>
      <c r="AJ815" s="56"/>
      <c r="AQ815" s="56"/>
      <c r="AR815" s="56"/>
      <c r="AS815" s="56"/>
    </row>
    <row r="816" spans="1:4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D816" s="56"/>
      <c r="AE816" s="56"/>
      <c r="AF816" s="56"/>
      <c r="AG816" s="56"/>
      <c r="AH816" s="56"/>
      <c r="AI816" s="56"/>
      <c r="AJ816" s="56"/>
      <c r="AQ816" s="56"/>
      <c r="AR816" s="56"/>
      <c r="AS816" s="56"/>
    </row>
    <row r="817" spans="1:4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D817" s="56"/>
      <c r="AE817" s="56"/>
      <c r="AF817" s="56"/>
      <c r="AG817" s="56"/>
      <c r="AH817" s="56"/>
      <c r="AI817" s="56"/>
      <c r="AJ817" s="56"/>
      <c r="AQ817" s="56"/>
      <c r="AR817" s="56"/>
      <c r="AS817" s="56"/>
    </row>
    <row r="818" spans="1:4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D818" s="56"/>
      <c r="AE818" s="56"/>
      <c r="AF818" s="56"/>
      <c r="AG818" s="56"/>
      <c r="AH818" s="56"/>
      <c r="AI818" s="56"/>
      <c r="AJ818" s="56"/>
      <c r="AQ818" s="56"/>
      <c r="AR818" s="56"/>
      <c r="AS818" s="56"/>
    </row>
    <row r="819" spans="1:4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D819" s="56"/>
      <c r="AE819" s="56"/>
      <c r="AF819" s="56"/>
      <c r="AG819" s="56"/>
      <c r="AH819" s="56"/>
      <c r="AI819" s="56"/>
      <c r="AJ819" s="56"/>
      <c r="AQ819" s="56"/>
      <c r="AR819" s="56"/>
      <c r="AS819" s="56"/>
    </row>
    <row r="820" spans="1:4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D820" s="56"/>
      <c r="AE820" s="56"/>
      <c r="AF820" s="56"/>
      <c r="AG820" s="56"/>
      <c r="AH820" s="56"/>
      <c r="AI820" s="56"/>
      <c r="AJ820" s="56"/>
      <c r="AQ820" s="56"/>
      <c r="AR820" s="56"/>
      <c r="AS820" s="56"/>
    </row>
    <row r="821" spans="1:4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D821" s="56"/>
      <c r="AE821" s="56"/>
      <c r="AF821" s="56"/>
      <c r="AG821" s="56"/>
      <c r="AH821" s="56"/>
      <c r="AI821" s="56"/>
      <c r="AJ821" s="56"/>
      <c r="AQ821" s="56"/>
      <c r="AR821" s="56"/>
      <c r="AS821" s="56"/>
    </row>
    <row r="822" spans="1:4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D822" s="56"/>
      <c r="AE822" s="56"/>
      <c r="AF822" s="56"/>
      <c r="AG822" s="56"/>
      <c r="AH822" s="56"/>
      <c r="AI822" s="56"/>
      <c r="AJ822" s="56"/>
      <c r="AQ822" s="56"/>
      <c r="AR822" s="56"/>
      <c r="AS822" s="56"/>
    </row>
    <row r="823" spans="1:4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D823" s="56"/>
      <c r="AE823" s="56"/>
      <c r="AF823" s="56"/>
      <c r="AG823" s="56"/>
      <c r="AH823" s="56"/>
      <c r="AI823" s="56"/>
      <c r="AJ823" s="56"/>
      <c r="AQ823" s="56"/>
      <c r="AR823" s="56"/>
      <c r="AS823" s="56"/>
    </row>
    <row r="824" spans="1:4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D824" s="56"/>
      <c r="AE824" s="56"/>
      <c r="AF824" s="56"/>
      <c r="AG824" s="56"/>
      <c r="AH824" s="56"/>
      <c r="AI824" s="56"/>
      <c r="AJ824" s="56"/>
      <c r="AQ824" s="56"/>
      <c r="AR824" s="56"/>
      <c r="AS824" s="56"/>
    </row>
    <row r="825" spans="1:4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D825" s="56"/>
      <c r="AE825" s="56"/>
      <c r="AF825" s="56"/>
      <c r="AG825" s="56"/>
      <c r="AH825" s="56"/>
      <c r="AI825" s="56"/>
      <c r="AJ825" s="56"/>
      <c r="AQ825" s="56"/>
      <c r="AR825" s="56"/>
      <c r="AS825" s="56"/>
    </row>
    <row r="826" spans="1:4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D826" s="56"/>
      <c r="AE826" s="56"/>
      <c r="AF826" s="56"/>
      <c r="AG826" s="56"/>
      <c r="AH826" s="56"/>
      <c r="AI826" s="56"/>
      <c r="AJ826" s="56"/>
      <c r="AQ826" s="56"/>
      <c r="AR826" s="56"/>
      <c r="AS826" s="56"/>
    </row>
    <row r="827" spans="1:4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D827" s="56"/>
      <c r="AE827" s="56"/>
      <c r="AF827" s="56"/>
      <c r="AG827" s="56"/>
      <c r="AH827" s="56"/>
      <c r="AI827" s="56"/>
      <c r="AJ827" s="56"/>
      <c r="AQ827" s="56"/>
      <c r="AR827" s="56"/>
      <c r="AS827" s="56"/>
    </row>
    <row r="828" spans="1:4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D828" s="56"/>
      <c r="AE828" s="56"/>
      <c r="AF828" s="56"/>
      <c r="AG828" s="56"/>
      <c r="AH828" s="56"/>
      <c r="AI828" s="56"/>
      <c r="AJ828" s="56"/>
      <c r="AQ828" s="56"/>
      <c r="AR828" s="56"/>
      <c r="AS828" s="56"/>
    </row>
    <row r="829" spans="1:4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D829" s="56"/>
      <c r="AE829" s="56"/>
      <c r="AF829" s="56"/>
      <c r="AG829" s="56"/>
      <c r="AH829" s="56"/>
      <c r="AI829" s="56"/>
      <c r="AJ829" s="56"/>
      <c r="AQ829" s="56"/>
      <c r="AR829" s="56"/>
      <c r="AS829" s="56"/>
    </row>
    <row r="830" spans="1:4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D830" s="56"/>
      <c r="AE830" s="56"/>
      <c r="AF830" s="56"/>
      <c r="AG830" s="56"/>
      <c r="AH830" s="56"/>
      <c r="AI830" s="56"/>
      <c r="AJ830" s="56"/>
      <c r="AQ830" s="56"/>
      <c r="AR830" s="56"/>
      <c r="AS830" s="56"/>
    </row>
    <row r="831" spans="1:4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D831" s="56"/>
      <c r="AE831" s="56"/>
      <c r="AF831" s="56"/>
      <c r="AG831" s="56"/>
      <c r="AH831" s="56"/>
      <c r="AI831" s="56"/>
      <c r="AJ831" s="56"/>
      <c r="AQ831" s="56"/>
      <c r="AR831" s="56"/>
      <c r="AS831" s="56"/>
    </row>
    <row r="832" spans="1:4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D832" s="56"/>
      <c r="AE832" s="56"/>
      <c r="AF832" s="56"/>
      <c r="AG832" s="56"/>
      <c r="AH832" s="56"/>
      <c r="AI832" s="56"/>
      <c r="AJ832" s="56"/>
      <c r="AQ832" s="56"/>
      <c r="AR832" s="56"/>
      <c r="AS832" s="56"/>
    </row>
    <row r="833" spans="1:4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D833" s="56"/>
      <c r="AE833" s="56"/>
      <c r="AF833" s="56"/>
      <c r="AG833" s="56"/>
      <c r="AH833" s="56"/>
      <c r="AI833" s="56"/>
      <c r="AJ833" s="56"/>
      <c r="AQ833" s="56"/>
      <c r="AR833" s="56"/>
      <c r="AS833" s="56"/>
    </row>
    <row r="834" spans="1:4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D834" s="56"/>
      <c r="AE834" s="56"/>
      <c r="AF834" s="56"/>
      <c r="AG834" s="56"/>
      <c r="AH834" s="56"/>
      <c r="AI834" s="56"/>
      <c r="AJ834" s="56"/>
      <c r="AQ834" s="56"/>
      <c r="AR834" s="56"/>
      <c r="AS834" s="56"/>
    </row>
    <row r="835" spans="1:4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D835" s="56"/>
      <c r="AE835" s="56"/>
      <c r="AF835" s="56"/>
      <c r="AG835" s="56"/>
      <c r="AH835" s="56"/>
      <c r="AI835" s="56"/>
      <c r="AJ835" s="56"/>
      <c r="AQ835" s="56"/>
      <c r="AR835" s="56"/>
      <c r="AS835" s="56"/>
    </row>
    <row r="836" spans="1:4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D836" s="56"/>
      <c r="AE836" s="56"/>
      <c r="AF836" s="56"/>
      <c r="AG836" s="56"/>
      <c r="AH836" s="56"/>
      <c r="AI836" s="56"/>
      <c r="AJ836" s="56"/>
      <c r="AQ836" s="56"/>
      <c r="AR836" s="56"/>
      <c r="AS836" s="56"/>
    </row>
    <row r="837" spans="1:4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D837" s="56"/>
      <c r="AE837" s="56"/>
      <c r="AF837" s="56"/>
      <c r="AG837" s="56"/>
      <c r="AH837" s="56"/>
      <c r="AI837" s="56"/>
      <c r="AJ837" s="56"/>
      <c r="AQ837" s="56"/>
      <c r="AR837" s="56"/>
      <c r="AS837" s="56"/>
    </row>
    <row r="838" spans="1:4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D838" s="56"/>
      <c r="AE838" s="56"/>
      <c r="AF838" s="56"/>
      <c r="AG838" s="56"/>
      <c r="AH838" s="56"/>
      <c r="AI838" s="56"/>
      <c r="AJ838" s="56"/>
      <c r="AQ838" s="56"/>
      <c r="AR838" s="56"/>
      <c r="AS838" s="56"/>
    </row>
    <row r="839" spans="1:4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D839" s="56"/>
      <c r="AE839" s="56"/>
      <c r="AF839" s="56"/>
      <c r="AG839" s="56"/>
      <c r="AH839" s="56"/>
      <c r="AI839" s="56"/>
      <c r="AJ839" s="56"/>
      <c r="AQ839" s="56"/>
      <c r="AR839" s="56"/>
      <c r="AS839" s="56"/>
    </row>
    <row r="840" spans="1:4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D840" s="56"/>
      <c r="AE840" s="56"/>
      <c r="AF840" s="56"/>
      <c r="AG840" s="56"/>
      <c r="AH840" s="56"/>
      <c r="AI840" s="56"/>
      <c r="AJ840" s="56"/>
      <c r="AQ840" s="56"/>
      <c r="AR840" s="56"/>
      <c r="AS840" s="56"/>
    </row>
    <row r="841" spans="1:4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D841" s="56"/>
      <c r="AE841" s="56"/>
      <c r="AF841" s="56"/>
      <c r="AG841" s="56"/>
      <c r="AH841" s="56"/>
      <c r="AI841" s="56"/>
      <c r="AJ841" s="56"/>
      <c r="AQ841" s="56"/>
      <c r="AR841" s="56"/>
      <c r="AS841" s="56"/>
    </row>
    <row r="842" spans="1:4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D842" s="56"/>
      <c r="AE842" s="56"/>
      <c r="AF842" s="56"/>
      <c r="AG842" s="56"/>
      <c r="AH842" s="56"/>
      <c r="AI842" s="56"/>
      <c r="AJ842" s="56"/>
      <c r="AQ842" s="56"/>
      <c r="AR842" s="56"/>
      <c r="AS842" s="56"/>
    </row>
    <row r="843" spans="1:4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D843" s="56"/>
      <c r="AE843" s="56"/>
      <c r="AF843" s="56"/>
      <c r="AG843" s="56"/>
      <c r="AH843" s="56"/>
      <c r="AI843" s="56"/>
      <c r="AJ843" s="56"/>
      <c r="AQ843" s="56"/>
      <c r="AR843" s="56"/>
      <c r="AS843" s="56"/>
    </row>
    <row r="844" spans="1:4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D844" s="56"/>
      <c r="AE844" s="56"/>
      <c r="AF844" s="56"/>
      <c r="AG844" s="56"/>
      <c r="AH844" s="56"/>
      <c r="AI844" s="56"/>
      <c r="AJ844" s="56"/>
      <c r="AQ844" s="56"/>
      <c r="AR844" s="56"/>
      <c r="AS844" s="56"/>
    </row>
    <row r="845" spans="1:4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D845" s="56"/>
      <c r="AE845" s="56"/>
      <c r="AF845" s="56"/>
      <c r="AG845" s="56"/>
      <c r="AH845" s="56"/>
      <c r="AI845" s="56"/>
      <c r="AJ845" s="56"/>
      <c r="AQ845" s="56"/>
      <c r="AR845" s="56"/>
      <c r="AS845" s="56"/>
    </row>
    <row r="846" spans="1:4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D846" s="56"/>
      <c r="AE846" s="56"/>
      <c r="AF846" s="56"/>
      <c r="AG846" s="56"/>
      <c r="AH846" s="56"/>
      <c r="AI846" s="56"/>
      <c r="AJ846" s="56"/>
      <c r="AQ846" s="56"/>
      <c r="AR846" s="56"/>
      <c r="AS846" s="56"/>
    </row>
    <row r="847" spans="1:4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D847" s="56"/>
      <c r="AE847" s="56"/>
      <c r="AF847" s="56"/>
      <c r="AG847" s="56"/>
      <c r="AH847" s="56"/>
      <c r="AI847" s="56"/>
      <c r="AJ847" s="56"/>
      <c r="AQ847" s="56"/>
      <c r="AR847" s="56"/>
      <c r="AS847" s="56"/>
    </row>
    <row r="848" spans="1:4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D848" s="56"/>
      <c r="AE848" s="56"/>
      <c r="AF848" s="56"/>
      <c r="AG848" s="56"/>
      <c r="AH848" s="56"/>
      <c r="AI848" s="56"/>
      <c r="AJ848" s="56"/>
      <c r="AQ848" s="56"/>
      <c r="AR848" s="56"/>
      <c r="AS848" s="56"/>
    </row>
    <row r="849" spans="1:4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D849" s="56"/>
      <c r="AE849" s="56"/>
      <c r="AF849" s="56"/>
      <c r="AG849" s="56"/>
      <c r="AH849" s="56"/>
      <c r="AI849" s="56"/>
      <c r="AJ849" s="56"/>
      <c r="AQ849" s="56"/>
      <c r="AR849" s="56"/>
      <c r="AS849" s="56"/>
    </row>
    <row r="850" spans="1:4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D850" s="56"/>
      <c r="AE850" s="56"/>
      <c r="AF850" s="56"/>
      <c r="AG850" s="56"/>
      <c r="AH850" s="56"/>
      <c r="AI850" s="56"/>
      <c r="AJ850" s="56"/>
      <c r="AQ850" s="56"/>
      <c r="AR850" s="56"/>
      <c r="AS850" s="56"/>
    </row>
    <row r="851" spans="1:4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D851" s="56"/>
      <c r="AE851" s="56"/>
      <c r="AF851" s="56"/>
      <c r="AG851" s="56"/>
      <c r="AH851" s="56"/>
      <c r="AI851" s="56"/>
      <c r="AJ851" s="56"/>
      <c r="AQ851" s="56"/>
      <c r="AR851" s="56"/>
      <c r="AS851" s="56"/>
    </row>
    <row r="852" spans="1:4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D852" s="56"/>
      <c r="AE852" s="56"/>
      <c r="AF852" s="56"/>
      <c r="AG852" s="56"/>
      <c r="AH852" s="56"/>
      <c r="AI852" s="56"/>
      <c r="AJ852" s="56"/>
      <c r="AQ852" s="56"/>
      <c r="AR852" s="56"/>
      <c r="AS852" s="56"/>
    </row>
    <row r="853" spans="1:4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D853" s="56"/>
      <c r="AE853" s="56"/>
      <c r="AF853" s="56"/>
      <c r="AG853" s="56"/>
      <c r="AH853" s="56"/>
      <c r="AI853" s="56"/>
      <c r="AJ853" s="56"/>
      <c r="AQ853" s="56"/>
      <c r="AR853" s="56"/>
      <c r="AS853" s="56"/>
    </row>
    <row r="854" spans="1:4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D854" s="56"/>
      <c r="AE854" s="56"/>
      <c r="AF854" s="56"/>
      <c r="AG854" s="56"/>
      <c r="AH854" s="56"/>
      <c r="AI854" s="56"/>
      <c r="AJ854" s="56"/>
      <c r="AQ854" s="56"/>
      <c r="AR854" s="56"/>
      <c r="AS854" s="56"/>
    </row>
    <row r="855" spans="1:4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D855" s="56"/>
      <c r="AE855" s="56"/>
      <c r="AF855" s="56"/>
      <c r="AG855" s="56"/>
      <c r="AH855" s="56"/>
      <c r="AI855" s="56"/>
      <c r="AJ855" s="56"/>
      <c r="AQ855" s="56"/>
      <c r="AR855" s="56"/>
      <c r="AS855" s="56"/>
    </row>
    <row r="856" spans="1:4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D856" s="56"/>
      <c r="AE856" s="56"/>
      <c r="AF856" s="56"/>
      <c r="AG856" s="56"/>
      <c r="AH856" s="56"/>
      <c r="AI856" s="56"/>
      <c r="AJ856" s="56"/>
      <c r="AQ856" s="56"/>
      <c r="AR856" s="56"/>
      <c r="AS856" s="56"/>
    </row>
    <row r="857" spans="1:4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D857" s="56"/>
      <c r="AE857" s="56"/>
      <c r="AF857" s="56"/>
      <c r="AG857" s="56"/>
      <c r="AH857" s="56"/>
      <c r="AI857" s="56"/>
      <c r="AJ857" s="56"/>
      <c r="AQ857" s="56"/>
      <c r="AR857" s="56"/>
      <c r="AS857" s="56"/>
    </row>
    <row r="858" spans="1:4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D858" s="56"/>
      <c r="AE858" s="56"/>
      <c r="AF858" s="56"/>
      <c r="AG858" s="56"/>
      <c r="AH858" s="56"/>
      <c r="AI858" s="56"/>
      <c r="AJ858" s="56"/>
      <c r="AQ858" s="56"/>
      <c r="AR858" s="56"/>
      <c r="AS858" s="56"/>
    </row>
    <row r="859" spans="1:4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D859" s="56"/>
      <c r="AE859" s="56"/>
      <c r="AF859" s="56"/>
      <c r="AG859" s="56"/>
      <c r="AH859" s="56"/>
      <c r="AI859" s="56"/>
      <c r="AJ859" s="56"/>
      <c r="AQ859" s="56"/>
      <c r="AR859" s="56"/>
      <c r="AS859" s="56"/>
    </row>
    <row r="860" spans="1:4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D860" s="56"/>
      <c r="AE860" s="56"/>
      <c r="AF860" s="56"/>
      <c r="AG860" s="56"/>
      <c r="AH860" s="56"/>
      <c r="AI860" s="56"/>
      <c r="AJ860" s="56"/>
      <c r="AQ860" s="56"/>
      <c r="AR860" s="56"/>
      <c r="AS860" s="56"/>
    </row>
    <row r="861" spans="1:4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D861" s="56"/>
      <c r="AE861" s="56"/>
      <c r="AF861" s="56"/>
      <c r="AG861" s="56"/>
      <c r="AH861" s="56"/>
      <c r="AI861" s="56"/>
      <c r="AJ861" s="56"/>
      <c r="AQ861" s="56"/>
      <c r="AR861" s="56"/>
      <c r="AS861" s="56"/>
    </row>
    <row r="862" spans="1:4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D862" s="56"/>
      <c r="AE862" s="56"/>
      <c r="AF862" s="56"/>
      <c r="AG862" s="56"/>
      <c r="AH862" s="56"/>
      <c r="AI862" s="56"/>
      <c r="AJ862" s="56"/>
      <c r="AQ862" s="56"/>
      <c r="AR862" s="56"/>
      <c r="AS862" s="56"/>
    </row>
    <row r="863" spans="1:4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D863" s="56"/>
      <c r="AE863" s="56"/>
      <c r="AF863" s="56"/>
      <c r="AG863" s="56"/>
      <c r="AH863" s="56"/>
      <c r="AI863" s="56"/>
      <c r="AJ863" s="56"/>
      <c r="AQ863" s="56"/>
      <c r="AR863" s="56"/>
      <c r="AS863" s="56"/>
    </row>
    <row r="864" spans="1:4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D864" s="56"/>
      <c r="AE864" s="56"/>
      <c r="AF864" s="56"/>
      <c r="AG864" s="56"/>
      <c r="AH864" s="56"/>
      <c r="AI864" s="56"/>
      <c r="AJ864" s="56"/>
      <c r="AQ864" s="56"/>
      <c r="AR864" s="56"/>
      <c r="AS864" s="56"/>
    </row>
    <row r="865" spans="1:4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D865" s="56"/>
      <c r="AE865" s="56"/>
      <c r="AF865" s="56"/>
      <c r="AG865" s="56"/>
      <c r="AH865" s="56"/>
      <c r="AI865" s="56"/>
      <c r="AJ865" s="56"/>
      <c r="AQ865" s="56"/>
      <c r="AR865" s="56"/>
      <c r="AS865" s="56"/>
    </row>
    <row r="866" spans="1:4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D866" s="56"/>
      <c r="AE866" s="56"/>
      <c r="AF866" s="56"/>
      <c r="AG866" s="56"/>
      <c r="AH866" s="56"/>
      <c r="AI866" s="56"/>
      <c r="AJ866" s="56"/>
      <c r="AQ866" s="56"/>
      <c r="AR866" s="56"/>
      <c r="AS866" s="56"/>
    </row>
    <row r="867" spans="1:4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D867" s="56"/>
      <c r="AE867" s="56"/>
      <c r="AF867" s="56"/>
      <c r="AG867" s="56"/>
      <c r="AH867" s="56"/>
      <c r="AI867" s="56"/>
      <c r="AJ867" s="56"/>
      <c r="AQ867" s="56"/>
      <c r="AR867" s="56"/>
      <c r="AS867" s="56"/>
    </row>
    <row r="868" spans="1:4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D868" s="56"/>
      <c r="AE868" s="56"/>
      <c r="AF868" s="56"/>
      <c r="AG868" s="56"/>
      <c r="AH868" s="56"/>
      <c r="AI868" s="56"/>
      <c r="AJ868" s="56"/>
      <c r="AQ868" s="56"/>
      <c r="AR868" s="56"/>
      <c r="AS868" s="56"/>
    </row>
    <row r="869" spans="1:4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D869" s="56"/>
      <c r="AE869" s="56"/>
      <c r="AF869" s="56"/>
      <c r="AG869" s="56"/>
      <c r="AH869" s="56"/>
      <c r="AI869" s="56"/>
      <c r="AJ869" s="56"/>
      <c r="AQ869" s="56"/>
      <c r="AR869" s="56"/>
      <c r="AS869" s="56"/>
    </row>
    <row r="870" spans="1:4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D870" s="56"/>
      <c r="AE870" s="56"/>
      <c r="AF870" s="56"/>
      <c r="AG870" s="56"/>
      <c r="AH870" s="56"/>
      <c r="AI870" s="56"/>
      <c r="AJ870" s="56"/>
      <c r="AQ870" s="56"/>
      <c r="AR870" s="56"/>
      <c r="AS870" s="56"/>
    </row>
    <row r="871" spans="1:4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D871" s="56"/>
      <c r="AE871" s="56"/>
      <c r="AF871" s="56"/>
      <c r="AG871" s="56"/>
      <c r="AH871" s="56"/>
      <c r="AI871" s="56"/>
      <c r="AJ871" s="56"/>
      <c r="AQ871" s="56"/>
      <c r="AR871" s="56"/>
      <c r="AS871" s="56"/>
    </row>
    <row r="872" spans="1:4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D872" s="56"/>
      <c r="AE872" s="56"/>
      <c r="AF872" s="56"/>
      <c r="AG872" s="56"/>
      <c r="AH872" s="56"/>
      <c r="AI872" s="56"/>
      <c r="AJ872" s="56"/>
      <c r="AQ872" s="56"/>
      <c r="AR872" s="56"/>
      <c r="AS872" s="56"/>
    </row>
    <row r="873" spans="1:4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D873" s="56"/>
      <c r="AE873" s="56"/>
      <c r="AF873" s="56"/>
      <c r="AG873" s="56"/>
      <c r="AH873" s="56"/>
      <c r="AI873" s="56"/>
      <c r="AJ873" s="56"/>
      <c r="AQ873" s="56"/>
      <c r="AR873" s="56"/>
      <c r="AS873" s="56"/>
    </row>
    <row r="874" spans="1:4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D874" s="56"/>
      <c r="AE874" s="56"/>
      <c r="AF874" s="56"/>
      <c r="AG874" s="56"/>
      <c r="AH874" s="56"/>
      <c r="AI874" s="56"/>
      <c r="AJ874" s="56"/>
      <c r="AQ874" s="56"/>
      <c r="AR874" s="56"/>
      <c r="AS874" s="56"/>
    </row>
    <row r="875" spans="1:4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D875" s="56"/>
      <c r="AE875" s="56"/>
      <c r="AF875" s="56"/>
      <c r="AG875" s="56"/>
      <c r="AH875" s="56"/>
      <c r="AI875" s="56"/>
      <c r="AJ875" s="56"/>
      <c r="AQ875" s="56"/>
      <c r="AR875" s="56"/>
      <c r="AS875" s="56"/>
    </row>
    <row r="876" spans="1:4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D876" s="56"/>
      <c r="AE876" s="56"/>
      <c r="AF876" s="56"/>
      <c r="AG876" s="56"/>
      <c r="AH876" s="56"/>
      <c r="AI876" s="56"/>
      <c r="AJ876" s="56"/>
      <c r="AQ876" s="56"/>
      <c r="AR876" s="56"/>
      <c r="AS876" s="56"/>
    </row>
    <row r="877" spans="1:4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D877" s="56"/>
      <c r="AE877" s="56"/>
      <c r="AF877" s="56"/>
      <c r="AG877" s="56"/>
      <c r="AH877" s="56"/>
      <c r="AI877" s="56"/>
      <c r="AJ877" s="56"/>
      <c r="AQ877" s="56"/>
      <c r="AR877" s="56"/>
      <c r="AS877" s="56"/>
    </row>
    <row r="878" spans="1:4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D878" s="56"/>
      <c r="AE878" s="56"/>
      <c r="AF878" s="56"/>
      <c r="AG878" s="56"/>
      <c r="AH878" s="56"/>
      <c r="AI878" s="56"/>
      <c r="AJ878" s="56"/>
      <c r="AQ878" s="56"/>
      <c r="AR878" s="56"/>
      <c r="AS878" s="56"/>
    </row>
    <row r="879" spans="1:4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D879" s="56"/>
      <c r="AE879" s="56"/>
      <c r="AF879" s="56"/>
      <c r="AG879" s="56"/>
      <c r="AH879" s="56"/>
      <c r="AI879" s="56"/>
      <c r="AJ879" s="56"/>
      <c r="AQ879" s="56"/>
      <c r="AR879" s="56"/>
      <c r="AS879" s="56"/>
    </row>
    <row r="880" spans="1:4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D880" s="56"/>
      <c r="AE880" s="56"/>
      <c r="AF880" s="56"/>
      <c r="AG880" s="56"/>
      <c r="AH880" s="56"/>
      <c r="AI880" s="56"/>
      <c r="AJ880" s="56"/>
      <c r="AQ880" s="56"/>
      <c r="AR880" s="56"/>
      <c r="AS880" s="56"/>
    </row>
    <row r="881" spans="1:4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D881" s="56"/>
      <c r="AE881" s="56"/>
      <c r="AF881" s="56"/>
      <c r="AG881" s="56"/>
      <c r="AH881" s="56"/>
      <c r="AI881" s="56"/>
      <c r="AJ881" s="56"/>
      <c r="AQ881" s="56"/>
      <c r="AR881" s="56"/>
      <c r="AS881" s="56"/>
    </row>
    <row r="882" spans="1:4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D882" s="56"/>
      <c r="AE882" s="56"/>
      <c r="AF882" s="56"/>
      <c r="AG882" s="56"/>
      <c r="AH882" s="56"/>
      <c r="AI882" s="56"/>
      <c r="AJ882" s="56"/>
      <c r="AQ882" s="56"/>
      <c r="AR882" s="56"/>
      <c r="AS882" s="56"/>
    </row>
    <row r="883" spans="1:4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D883" s="56"/>
      <c r="AE883" s="56"/>
      <c r="AF883" s="56"/>
      <c r="AG883" s="56"/>
      <c r="AH883" s="56"/>
      <c r="AI883" s="56"/>
      <c r="AJ883" s="56"/>
      <c r="AQ883" s="56"/>
      <c r="AR883" s="56"/>
      <c r="AS883" s="56"/>
    </row>
    <row r="884" spans="1:4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D884" s="56"/>
      <c r="AE884" s="56"/>
      <c r="AF884" s="56"/>
      <c r="AG884" s="56"/>
      <c r="AH884" s="56"/>
      <c r="AI884" s="56"/>
      <c r="AJ884" s="56"/>
      <c r="AQ884" s="56"/>
      <c r="AR884" s="56"/>
      <c r="AS884" s="56"/>
    </row>
    <row r="885" spans="1:4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D885" s="56"/>
      <c r="AE885" s="56"/>
      <c r="AF885" s="56"/>
      <c r="AG885" s="56"/>
      <c r="AH885" s="56"/>
      <c r="AI885" s="56"/>
      <c r="AJ885" s="56"/>
      <c r="AQ885" s="56"/>
      <c r="AR885" s="56"/>
      <c r="AS885" s="56"/>
    </row>
    <row r="886" spans="1:4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D886" s="56"/>
      <c r="AE886" s="56"/>
      <c r="AF886" s="56"/>
      <c r="AG886" s="56"/>
      <c r="AH886" s="56"/>
      <c r="AI886" s="56"/>
      <c r="AJ886" s="56"/>
      <c r="AQ886" s="56"/>
      <c r="AR886" s="56"/>
      <c r="AS886" s="56"/>
    </row>
    <row r="887" spans="1:4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D887" s="56"/>
      <c r="AE887" s="56"/>
      <c r="AF887" s="56"/>
      <c r="AG887" s="56"/>
      <c r="AH887" s="56"/>
      <c r="AI887" s="56"/>
      <c r="AJ887" s="56"/>
      <c r="AQ887" s="56"/>
      <c r="AR887" s="56"/>
      <c r="AS887" s="56"/>
    </row>
    <row r="888" spans="1:4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D888" s="56"/>
      <c r="AE888" s="56"/>
      <c r="AF888" s="56"/>
      <c r="AG888" s="56"/>
      <c r="AH888" s="56"/>
      <c r="AI888" s="56"/>
      <c r="AJ888" s="56"/>
      <c r="AQ888" s="56"/>
      <c r="AR888" s="56"/>
      <c r="AS888" s="56"/>
    </row>
    <row r="889" spans="1:4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D889" s="56"/>
      <c r="AE889" s="56"/>
      <c r="AF889" s="56"/>
      <c r="AG889" s="56"/>
      <c r="AH889" s="56"/>
      <c r="AI889" s="56"/>
      <c r="AJ889" s="56"/>
      <c r="AQ889" s="56"/>
      <c r="AR889" s="56"/>
      <c r="AS889" s="56"/>
    </row>
    <row r="890" spans="1:4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D890" s="56"/>
      <c r="AE890" s="56"/>
      <c r="AF890" s="56"/>
      <c r="AG890" s="56"/>
      <c r="AH890" s="56"/>
      <c r="AI890" s="56"/>
      <c r="AJ890" s="56"/>
      <c r="AQ890" s="56"/>
      <c r="AR890" s="56"/>
      <c r="AS890" s="56"/>
    </row>
    <row r="891" spans="1:4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D891" s="56"/>
      <c r="AE891" s="56"/>
      <c r="AF891" s="56"/>
      <c r="AG891" s="56"/>
      <c r="AH891" s="56"/>
      <c r="AI891" s="56"/>
      <c r="AJ891" s="56"/>
      <c r="AQ891" s="56"/>
      <c r="AR891" s="56"/>
      <c r="AS891" s="56"/>
    </row>
    <row r="892" spans="1:4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D892" s="56"/>
      <c r="AE892" s="56"/>
      <c r="AF892" s="56"/>
      <c r="AG892" s="56"/>
      <c r="AH892" s="56"/>
      <c r="AI892" s="56"/>
      <c r="AJ892" s="56"/>
      <c r="AQ892" s="56"/>
      <c r="AR892" s="56"/>
      <c r="AS892" s="56"/>
    </row>
    <row r="893" spans="1:4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D893" s="56"/>
      <c r="AE893" s="56"/>
      <c r="AF893" s="56"/>
      <c r="AG893" s="56"/>
      <c r="AH893" s="56"/>
      <c r="AI893" s="56"/>
      <c r="AJ893" s="56"/>
      <c r="AQ893" s="56"/>
      <c r="AR893" s="56"/>
      <c r="AS893" s="56"/>
    </row>
    <row r="894" spans="1:4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D894" s="56"/>
      <c r="AE894" s="56"/>
      <c r="AF894" s="56"/>
      <c r="AG894" s="56"/>
      <c r="AH894" s="56"/>
      <c r="AI894" s="56"/>
      <c r="AJ894" s="56"/>
      <c r="AQ894" s="56"/>
      <c r="AR894" s="56"/>
      <c r="AS894" s="56"/>
    </row>
    <row r="895" spans="1:4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D895" s="56"/>
      <c r="AE895" s="56"/>
      <c r="AF895" s="56"/>
      <c r="AG895" s="56"/>
      <c r="AH895" s="56"/>
      <c r="AI895" s="56"/>
      <c r="AJ895" s="56"/>
      <c r="AQ895" s="56"/>
      <c r="AR895" s="56"/>
      <c r="AS895" s="56"/>
    </row>
    <row r="896" spans="1:4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D896" s="56"/>
      <c r="AE896" s="56"/>
      <c r="AF896" s="56"/>
      <c r="AG896" s="56"/>
      <c r="AH896" s="56"/>
      <c r="AI896" s="56"/>
      <c r="AJ896" s="56"/>
      <c r="AQ896" s="56"/>
      <c r="AR896" s="56"/>
      <c r="AS896" s="56"/>
    </row>
    <row r="897" spans="1:4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D897" s="56"/>
      <c r="AE897" s="56"/>
      <c r="AF897" s="56"/>
      <c r="AG897" s="56"/>
      <c r="AH897" s="56"/>
      <c r="AI897" s="56"/>
      <c r="AJ897" s="56"/>
      <c r="AQ897" s="56"/>
      <c r="AR897" s="56"/>
      <c r="AS897" s="56"/>
    </row>
    <row r="898" spans="1:4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D898" s="56"/>
      <c r="AE898" s="56"/>
      <c r="AF898" s="56"/>
      <c r="AG898" s="56"/>
      <c r="AH898" s="56"/>
      <c r="AI898" s="56"/>
      <c r="AJ898" s="56"/>
      <c r="AQ898" s="56"/>
      <c r="AR898" s="56"/>
      <c r="AS898" s="56"/>
    </row>
    <row r="899" spans="1:4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D899" s="56"/>
      <c r="AE899" s="56"/>
      <c r="AF899" s="56"/>
      <c r="AG899" s="56"/>
      <c r="AH899" s="56"/>
      <c r="AI899" s="56"/>
      <c r="AJ899" s="56"/>
      <c r="AQ899" s="56"/>
      <c r="AR899" s="56"/>
      <c r="AS899" s="56"/>
    </row>
    <row r="900" spans="1:4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D900" s="56"/>
      <c r="AE900" s="56"/>
      <c r="AF900" s="56"/>
      <c r="AG900" s="56"/>
      <c r="AH900" s="56"/>
      <c r="AI900" s="56"/>
      <c r="AJ900" s="56"/>
      <c r="AQ900" s="56"/>
      <c r="AR900" s="56"/>
      <c r="AS900" s="56"/>
    </row>
    <row r="901" spans="1:4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D901" s="56"/>
      <c r="AE901" s="56"/>
      <c r="AF901" s="56"/>
      <c r="AG901" s="56"/>
      <c r="AH901" s="56"/>
      <c r="AI901" s="56"/>
      <c r="AJ901" s="56"/>
      <c r="AQ901" s="56"/>
      <c r="AR901" s="56"/>
      <c r="AS901" s="56"/>
    </row>
    <row r="902" spans="1:4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D902" s="56"/>
      <c r="AE902" s="56"/>
      <c r="AF902" s="56"/>
      <c r="AG902" s="56"/>
      <c r="AH902" s="56"/>
      <c r="AI902" s="56"/>
      <c r="AJ902" s="56"/>
      <c r="AQ902" s="56"/>
      <c r="AR902" s="56"/>
      <c r="AS902" s="56"/>
    </row>
    <row r="903" spans="1:4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D903" s="56"/>
      <c r="AE903" s="56"/>
      <c r="AF903" s="56"/>
      <c r="AG903" s="56"/>
      <c r="AH903" s="56"/>
      <c r="AI903" s="56"/>
      <c r="AJ903" s="56"/>
      <c r="AQ903" s="56"/>
      <c r="AR903" s="56"/>
      <c r="AS903" s="56"/>
    </row>
    <row r="904" spans="1:4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D904" s="56"/>
      <c r="AE904" s="56"/>
      <c r="AF904" s="56"/>
      <c r="AG904" s="56"/>
      <c r="AH904" s="56"/>
      <c r="AI904" s="56"/>
      <c r="AJ904" s="56"/>
      <c r="AQ904" s="56"/>
      <c r="AR904" s="56"/>
      <c r="AS904" s="56"/>
    </row>
    <row r="905" spans="1:4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D905" s="56"/>
      <c r="AE905" s="56"/>
      <c r="AF905" s="56"/>
      <c r="AG905" s="56"/>
      <c r="AH905" s="56"/>
      <c r="AI905" s="56"/>
      <c r="AJ905" s="56"/>
      <c r="AQ905" s="56"/>
      <c r="AR905" s="56"/>
      <c r="AS905" s="56"/>
    </row>
    <row r="906" spans="1:4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D906" s="56"/>
      <c r="AE906" s="56"/>
      <c r="AF906" s="56"/>
      <c r="AG906" s="56"/>
      <c r="AH906" s="56"/>
      <c r="AI906" s="56"/>
      <c r="AJ906" s="56"/>
      <c r="AQ906" s="56"/>
      <c r="AR906" s="56"/>
      <c r="AS906" s="56"/>
    </row>
    <row r="907" spans="1:4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D907" s="56"/>
      <c r="AE907" s="56"/>
      <c r="AF907" s="56"/>
      <c r="AG907" s="56"/>
      <c r="AH907" s="56"/>
      <c r="AI907" s="56"/>
      <c r="AJ907" s="56"/>
      <c r="AQ907" s="56"/>
      <c r="AR907" s="56"/>
      <c r="AS907" s="56"/>
    </row>
    <row r="908" spans="1:4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D908" s="56"/>
      <c r="AE908" s="56"/>
      <c r="AF908" s="56"/>
      <c r="AG908" s="56"/>
      <c r="AH908" s="56"/>
      <c r="AI908" s="56"/>
      <c r="AJ908" s="56"/>
      <c r="AQ908" s="56"/>
      <c r="AR908" s="56"/>
      <c r="AS908" s="56"/>
    </row>
    <row r="909" spans="1:4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D909" s="56"/>
      <c r="AE909" s="56"/>
      <c r="AF909" s="56"/>
      <c r="AG909" s="56"/>
      <c r="AH909" s="56"/>
      <c r="AI909" s="56"/>
      <c r="AJ909" s="56"/>
      <c r="AQ909" s="56"/>
      <c r="AR909" s="56"/>
      <c r="AS909" s="56"/>
    </row>
    <row r="910" spans="1:4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D910" s="56"/>
      <c r="AE910" s="56"/>
      <c r="AF910" s="56"/>
      <c r="AG910" s="56"/>
      <c r="AH910" s="56"/>
      <c r="AI910" s="56"/>
      <c r="AJ910" s="56"/>
      <c r="AQ910" s="56"/>
      <c r="AR910" s="56"/>
      <c r="AS910" s="56"/>
    </row>
    <row r="911" spans="1:4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D911" s="56"/>
      <c r="AE911" s="56"/>
      <c r="AF911" s="56"/>
      <c r="AG911" s="56"/>
      <c r="AH911" s="56"/>
      <c r="AI911" s="56"/>
      <c r="AJ911" s="56"/>
      <c r="AQ911" s="56"/>
      <c r="AR911" s="56"/>
      <c r="AS911" s="56"/>
    </row>
    <row r="912" spans="1:4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D912" s="56"/>
      <c r="AE912" s="56"/>
      <c r="AF912" s="56"/>
      <c r="AG912" s="56"/>
      <c r="AH912" s="56"/>
      <c r="AI912" s="56"/>
      <c r="AJ912" s="56"/>
      <c r="AQ912" s="56"/>
      <c r="AR912" s="56"/>
      <c r="AS912" s="56"/>
    </row>
    <row r="913" spans="1:4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D913" s="56"/>
      <c r="AE913" s="56"/>
      <c r="AF913" s="56"/>
      <c r="AG913" s="56"/>
      <c r="AH913" s="56"/>
      <c r="AI913" s="56"/>
      <c r="AJ913" s="56"/>
      <c r="AQ913" s="56"/>
      <c r="AR913" s="56"/>
      <c r="AS913" s="56"/>
    </row>
    <row r="914" spans="1:4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D914" s="56"/>
      <c r="AE914" s="56"/>
      <c r="AF914" s="56"/>
      <c r="AG914" s="56"/>
      <c r="AH914" s="56"/>
      <c r="AI914" s="56"/>
      <c r="AJ914" s="56"/>
      <c r="AQ914" s="56"/>
      <c r="AR914" s="56"/>
      <c r="AS914" s="56"/>
    </row>
    <row r="915" spans="1:4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D915" s="56"/>
      <c r="AE915" s="56"/>
      <c r="AF915" s="56"/>
      <c r="AG915" s="56"/>
      <c r="AH915" s="56"/>
      <c r="AI915" s="56"/>
      <c r="AJ915" s="56"/>
      <c r="AQ915" s="56"/>
      <c r="AR915" s="56"/>
      <c r="AS915" s="56"/>
    </row>
    <row r="916" spans="1:4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D916" s="56"/>
      <c r="AE916" s="56"/>
      <c r="AF916" s="56"/>
      <c r="AG916" s="56"/>
      <c r="AH916" s="56"/>
      <c r="AI916" s="56"/>
      <c r="AJ916" s="56"/>
      <c r="AQ916" s="56"/>
      <c r="AR916" s="56"/>
      <c r="AS916" s="56"/>
    </row>
    <row r="917" spans="1:4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D917" s="56"/>
      <c r="AE917" s="56"/>
      <c r="AF917" s="56"/>
      <c r="AG917" s="56"/>
      <c r="AH917" s="56"/>
      <c r="AI917" s="56"/>
      <c r="AJ917" s="56"/>
      <c r="AQ917" s="56"/>
      <c r="AR917" s="56"/>
      <c r="AS917" s="56"/>
    </row>
    <row r="918" spans="1:4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D918" s="56"/>
      <c r="AE918" s="56"/>
      <c r="AF918" s="56"/>
      <c r="AG918" s="56"/>
      <c r="AH918" s="56"/>
      <c r="AI918" s="56"/>
      <c r="AJ918" s="56"/>
      <c r="AQ918" s="56"/>
      <c r="AR918" s="56"/>
      <c r="AS918" s="56"/>
    </row>
    <row r="919" spans="1:4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D919" s="56"/>
      <c r="AE919" s="56"/>
      <c r="AF919" s="56"/>
      <c r="AG919" s="56"/>
      <c r="AH919" s="56"/>
      <c r="AI919" s="56"/>
      <c r="AJ919" s="56"/>
      <c r="AQ919" s="56"/>
      <c r="AR919" s="56"/>
      <c r="AS919" s="56"/>
    </row>
    <row r="920" spans="1:4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D920" s="56"/>
      <c r="AE920" s="56"/>
      <c r="AF920" s="56"/>
      <c r="AG920" s="56"/>
      <c r="AH920" s="56"/>
      <c r="AI920" s="56"/>
      <c r="AJ920" s="56"/>
      <c r="AQ920" s="56"/>
      <c r="AR920" s="56"/>
      <c r="AS920" s="56"/>
    </row>
    <row r="921" spans="1:4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D921" s="56"/>
      <c r="AE921" s="56"/>
      <c r="AF921" s="56"/>
      <c r="AG921" s="56"/>
      <c r="AH921" s="56"/>
      <c r="AI921" s="56"/>
      <c r="AJ921" s="56"/>
      <c r="AQ921" s="56"/>
      <c r="AR921" s="56"/>
      <c r="AS921" s="56"/>
    </row>
    <row r="922" spans="1:4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D922" s="56"/>
      <c r="AE922" s="56"/>
      <c r="AF922" s="56"/>
      <c r="AG922" s="56"/>
      <c r="AH922" s="56"/>
      <c r="AI922" s="56"/>
      <c r="AJ922" s="56"/>
      <c r="AQ922" s="56"/>
      <c r="AR922" s="56"/>
      <c r="AS922" s="56"/>
    </row>
    <row r="923" spans="1:4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D923" s="56"/>
      <c r="AE923" s="56"/>
      <c r="AF923" s="56"/>
      <c r="AG923" s="56"/>
      <c r="AH923" s="56"/>
      <c r="AI923" s="56"/>
      <c r="AJ923" s="56"/>
      <c r="AQ923" s="56"/>
      <c r="AR923" s="56"/>
      <c r="AS923" s="56"/>
    </row>
    <row r="924" spans="1:4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D924" s="56"/>
      <c r="AE924" s="56"/>
      <c r="AF924" s="56"/>
      <c r="AG924" s="56"/>
      <c r="AH924" s="56"/>
      <c r="AI924" s="56"/>
      <c r="AJ924" s="56"/>
      <c r="AQ924" s="56"/>
      <c r="AR924" s="56"/>
      <c r="AS924" s="56"/>
    </row>
    <row r="925" spans="1:4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D925" s="56"/>
      <c r="AE925" s="56"/>
      <c r="AF925" s="56"/>
      <c r="AG925" s="56"/>
      <c r="AH925" s="56"/>
      <c r="AI925" s="56"/>
      <c r="AJ925" s="56"/>
      <c r="AQ925" s="56"/>
      <c r="AR925" s="56"/>
      <c r="AS925" s="56"/>
    </row>
    <row r="926" spans="1:4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D926" s="56"/>
      <c r="AE926" s="56"/>
      <c r="AF926" s="56"/>
      <c r="AG926" s="56"/>
      <c r="AH926" s="56"/>
      <c r="AI926" s="56"/>
      <c r="AJ926" s="56"/>
      <c r="AQ926" s="56"/>
      <c r="AR926" s="56"/>
      <c r="AS926" s="56"/>
    </row>
    <row r="927" spans="1:4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D927" s="56"/>
      <c r="AE927" s="56"/>
      <c r="AF927" s="56"/>
      <c r="AG927" s="56"/>
      <c r="AH927" s="56"/>
      <c r="AI927" s="56"/>
      <c r="AJ927" s="56"/>
      <c r="AQ927" s="56"/>
      <c r="AR927" s="56"/>
      <c r="AS927" s="56"/>
    </row>
    <row r="928" spans="1:4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D928" s="56"/>
      <c r="AE928" s="56"/>
      <c r="AF928" s="56"/>
      <c r="AG928" s="56"/>
      <c r="AH928" s="56"/>
      <c r="AI928" s="56"/>
      <c r="AJ928" s="56"/>
      <c r="AQ928" s="56"/>
      <c r="AR928" s="56"/>
      <c r="AS928" s="56"/>
    </row>
    <row r="929" spans="1:4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D929" s="56"/>
      <c r="AE929" s="56"/>
      <c r="AF929" s="56"/>
      <c r="AG929" s="56"/>
      <c r="AH929" s="56"/>
      <c r="AI929" s="56"/>
      <c r="AJ929" s="56"/>
      <c r="AQ929" s="56"/>
      <c r="AR929" s="56"/>
      <c r="AS929" s="56"/>
    </row>
    <row r="930" spans="1:4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D930" s="56"/>
      <c r="AE930" s="56"/>
      <c r="AF930" s="56"/>
      <c r="AG930" s="56"/>
      <c r="AH930" s="56"/>
      <c r="AI930" s="56"/>
      <c r="AJ930" s="56"/>
      <c r="AQ930" s="56"/>
      <c r="AR930" s="56"/>
      <c r="AS930" s="56"/>
    </row>
    <row r="931" spans="1:4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D931" s="56"/>
      <c r="AE931" s="56"/>
      <c r="AF931" s="56"/>
      <c r="AG931" s="56"/>
      <c r="AH931" s="56"/>
      <c r="AI931" s="56"/>
      <c r="AJ931" s="56"/>
      <c r="AQ931" s="56"/>
      <c r="AR931" s="56"/>
      <c r="AS931" s="56"/>
    </row>
    <row r="932" spans="1:4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D932" s="56"/>
      <c r="AE932" s="56"/>
      <c r="AF932" s="56"/>
      <c r="AG932" s="56"/>
      <c r="AH932" s="56"/>
      <c r="AI932" s="56"/>
      <c r="AJ932" s="56"/>
      <c r="AQ932" s="56"/>
      <c r="AR932" s="56"/>
      <c r="AS932" s="56"/>
    </row>
    <row r="933" spans="1:4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D933" s="56"/>
      <c r="AE933" s="56"/>
      <c r="AF933" s="56"/>
      <c r="AG933" s="56"/>
      <c r="AH933" s="56"/>
      <c r="AI933" s="56"/>
      <c r="AJ933" s="56"/>
      <c r="AQ933" s="56"/>
      <c r="AR933" s="56"/>
      <c r="AS933" s="56"/>
    </row>
    <row r="934" spans="1:4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D934" s="56"/>
      <c r="AE934" s="56"/>
      <c r="AF934" s="56"/>
      <c r="AG934" s="56"/>
      <c r="AH934" s="56"/>
      <c r="AI934" s="56"/>
      <c r="AJ934" s="56"/>
      <c r="AQ934" s="56"/>
      <c r="AR934" s="56"/>
      <c r="AS934" s="56"/>
    </row>
    <row r="935" spans="1:4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D935" s="56"/>
      <c r="AE935" s="56"/>
      <c r="AF935" s="56"/>
      <c r="AG935" s="56"/>
      <c r="AH935" s="56"/>
      <c r="AI935" s="56"/>
      <c r="AJ935" s="56"/>
      <c r="AQ935" s="56"/>
      <c r="AR935" s="56"/>
      <c r="AS935" s="56"/>
    </row>
    <row r="936" spans="1:4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D936" s="56"/>
      <c r="AE936" s="56"/>
      <c r="AF936" s="56"/>
      <c r="AG936" s="56"/>
      <c r="AH936" s="56"/>
      <c r="AI936" s="56"/>
      <c r="AJ936" s="56"/>
      <c r="AQ936" s="56"/>
      <c r="AR936" s="56"/>
      <c r="AS936" s="56"/>
    </row>
    <row r="937" spans="1:4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D937" s="56"/>
      <c r="AE937" s="56"/>
      <c r="AF937" s="56"/>
      <c r="AG937" s="56"/>
      <c r="AH937" s="56"/>
      <c r="AI937" s="56"/>
      <c r="AJ937" s="56"/>
      <c r="AQ937" s="56"/>
      <c r="AR937" s="56"/>
      <c r="AS937" s="56"/>
    </row>
    <row r="938" spans="1:4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D938" s="56"/>
      <c r="AE938" s="56"/>
      <c r="AF938" s="56"/>
      <c r="AG938" s="56"/>
      <c r="AH938" s="56"/>
      <c r="AI938" s="56"/>
      <c r="AJ938" s="56"/>
      <c r="AQ938" s="56"/>
      <c r="AR938" s="56"/>
      <c r="AS938" s="56"/>
    </row>
    <row r="939" spans="1:4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D939" s="56"/>
      <c r="AE939" s="56"/>
      <c r="AF939" s="56"/>
      <c r="AG939" s="56"/>
      <c r="AH939" s="56"/>
      <c r="AI939" s="56"/>
      <c r="AJ939" s="56"/>
      <c r="AQ939" s="56"/>
      <c r="AR939" s="56"/>
      <c r="AS939" s="56"/>
    </row>
    <row r="940" spans="1:4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D940" s="56"/>
      <c r="AE940" s="56"/>
      <c r="AF940" s="56"/>
      <c r="AG940" s="56"/>
      <c r="AH940" s="56"/>
      <c r="AI940" s="56"/>
      <c r="AJ940" s="56"/>
      <c r="AQ940" s="56"/>
      <c r="AR940" s="56"/>
      <c r="AS940" s="56"/>
    </row>
    <row r="941" spans="1:4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D941" s="56"/>
      <c r="AE941" s="56"/>
      <c r="AF941" s="56"/>
      <c r="AG941" s="56"/>
      <c r="AH941" s="56"/>
      <c r="AI941" s="56"/>
      <c r="AJ941" s="56"/>
      <c r="AQ941" s="56"/>
      <c r="AR941" s="56"/>
      <c r="AS941" s="56"/>
    </row>
    <row r="942" spans="1:4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D942" s="56"/>
      <c r="AE942" s="56"/>
      <c r="AF942" s="56"/>
      <c r="AG942" s="56"/>
      <c r="AH942" s="56"/>
      <c r="AI942" s="56"/>
      <c r="AJ942" s="56"/>
      <c r="AQ942" s="56"/>
      <c r="AR942" s="56"/>
      <c r="AS942" s="56"/>
    </row>
    <row r="943" spans="1:4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D943" s="56"/>
      <c r="AE943" s="56"/>
      <c r="AF943" s="56"/>
      <c r="AG943" s="56"/>
      <c r="AH943" s="56"/>
      <c r="AI943" s="56"/>
      <c r="AJ943" s="56"/>
      <c r="AQ943" s="56"/>
      <c r="AR943" s="56"/>
      <c r="AS943" s="56"/>
    </row>
    <row r="944" spans="1:4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D944" s="56"/>
      <c r="AE944" s="56"/>
      <c r="AF944" s="56"/>
      <c r="AG944" s="56"/>
      <c r="AH944" s="56"/>
      <c r="AI944" s="56"/>
      <c r="AJ944" s="56"/>
      <c r="AQ944" s="56"/>
      <c r="AR944" s="56"/>
      <c r="AS944" s="56"/>
    </row>
    <row r="945" spans="1:4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D945" s="56"/>
      <c r="AE945" s="56"/>
      <c r="AF945" s="56"/>
      <c r="AG945" s="56"/>
      <c r="AH945" s="56"/>
      <c r="AI945" s="56"/>
      <c r="AJ945" s="56"/>
      <c r="AQ945" s="56"/>
      <c r="AR945" s="56"/>
      <c r="AS945" s="56"/>
    </row>
    <row r="946" spans="1:4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D946" s="56"/>
      <c r="AE946" s="56"/>
      <c r="AF946" s="56"/>
      <c r="AG946" s="56"/>
      <c r="AH946" s="56"/>
      <c r="AI946" s="56"/>
      <c r="AJ946" s="56"/>
      <c r="AQ946" s="56"/>
      <c r="AR946" s="56"/>
      <c r="AS946" s="56"/>
    </row>
    <row r="947" spans="1:4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D947" s="56"/>
      <c r="AE947" s="56"/>
      <c r="AF947" s="56"/>
      <c r="AG947" s="56"/>
      <c r="AH947" s="56"/>
      <c r="AI947" s="56"/>
      <c r="AJ947" s="56"/>
      <c r="AQ947" s="56"/>
      <c r="AR947" s="56"/>
      <c r="AS947" s="56"/>
    </row>
    <row r="948" spans="1:4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D948" s="56"/>
      <c r="AE948" s="56"/>
      <c r="AF948" s="56"/>
      <c r="AG948" s="56"/>
      <c r="AH948" s="56"/>
      <c r="AI948" s="56"/>
      <c r="AJ948" s="56"/>
      <c r="AQ948" s="56"/>
      <c r="AR948" s="56"/>
      <c r="AS948" s="56"/>
    </row>
    <row r="949" spans="1:4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D949" s="56"/>
      <c r="AE949" s="56"/>
      <c r="AF949" s="56"/>
      <c r="AG949" s="56"/>
      <c r="AH949" s="56"/>
      <c r="AI949" s="56"/>
      <c r="AJ949" s="56"/>
      <c r="AQ949" s="56"/>
      <c r="AR949" s="56"/>
      <c r="AS949" s="56"/>
    </row>
    <row r="950" spans="1:4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D950" s="56"/>
      <c r="AE950" s="56"/>
      <c r="AF950" s="56"/>
      <c r="AG950" s="56"/>
      <c r="AH950" s="56"/>
      <c r="AI950" s="56"/>
      <c r="AJ950" s="56"/>
      <c r="AQ950" s="56"/>
      <c r="AR950" s="56"/>
      <c r="AS950" s="56"/>
    </row>
    <row r="951" spans="1:4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D951" s="56"/>
      <c r="AE951" s="56"/>
      <c r="AF951" s="56"/>
      <c r="AG951" s="56"/>
      <c r="AH951" s="56"/>
      <c r="AI951" s="56"/>
      <c r="AJ951" s="56"/>
      <c r="AQ951" s="56"/>
      <c r="AR951" s="56"/>
      <c r="AS951" s="56"/>
    </row>
    <row r="952" spans="1:4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D952" s="56"/>
      <c r="AE952" s="56"/>
      <c r="AF952" s="56"/>
      <c r="AG952" s="56"/>
      <c r="AH952" s="56"/>
      <c r="AI952" s="56"/>
      <c r="AJ952" s="56"/>
      <c r="AQ952" s="56"/>
      <c r="AR952" s="56"/>
      <c r="AS952" s="56"/>
    </row>
    <row r="953" spans="1:4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D953" s="56"/>
      <c r="AE953" s="56"/>
      <c r="AF953" s="56"/>
      <c r="AG953" s="56"/>
      <c r="AH953" s="56"/>
      <c r="AI953" s="56"/>
      <c r="AJ953" s="56"/>
      <c r="AQ953" s="56"/>
      <c r="AR953" s="56"/>
      <c r="AS953" s="56"/>
    </row>
    <row r="954" spans="1:4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D954" s="56"/>
      <c r="AE954" s="56"/>
      <c r="AF954" s="56"/>
      <c r="AG954" s="56"/>
      <c r="AH954" s="56"/>
      <c r="AI954" s="56"/>
      <c r="AJ954" s="56"/>
      <c r="AQ954" s="56"/>
      <c r="AR954" s="56"/>
      <c r="AS954" s="56"/>
    </row>
    <row r="955" spans="1:4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D955" s="56"/>
      <c r="AE955" s="56"/>
      <c r="AF955" s="56"/>
      <c r="AG955" s="56"/>
      <c r="AH955" s="56"/>
      <c r="AI955" s="56"/>
      <c r="AJ955" s="56"/>
      <c r="AQ955" s="56"/>
      <c r="AR955" s="56"/>
      <c r="AS955" s="56"/>
    </row>
    <row r="956" spans="1:4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D956" s="56"/>
      <c r="AE956" s="56"/>
      <c r="AF956" s="56"/>
      <c r="AG956" s="56"/>
      <c r="AH956" s="56"/>
      <c r="AI956" s="56"/>
      <c r="AJ956" s="56"/>
      <c r="AQ956" s="56"/>
      <c r="AR956" s="56"/>
      <c r="AS956" s="56"/>
    </row>
    <row r="957" spans="1:4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D957" s="56"/>
      <c r="AE957" s="56"/>
      <c r="AF957" s="56"/>
      <c r="AG957" s="56"/>
      <c r="AH957" s="56"/>
      <c r="AI957" s="56"/>
      <c r="AJ957" s="56"/>
      <c r="AQ957" s="56"/>
      <c r="AR957" s="56"/>
      <c r="AS957" s="56"/>
    </row>
    <row r="958" spans="1:4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D958" s="56"/>
      <c r="AE958" s="56"/>
      <c r="AF958" s="56"/>
      <c r="AG958" s="56"/>
      <c r="AH958" s="56"/>
      <c r="AI958" s="56"/>
      <c r="AJ958" s="56"/>
      <c r="AQ958" s="56"/>
      <c r="AR958" s="56"/>
      <c r="AS958" s="56"/>
    </row>
    <row r="959" spans="1:4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D959" s="56"/>
      <c r="AE959" s="56"/>
      <c r="AF959" s="56"/>
      <c r="AG959" s="56"/>
      <c r="AH959" s="56"/>
      <c r="AI959" s="56"/>
      <c r="AJ959" s="56"/>
      <c r="AQ959" s="56"/>
      <c r="AR959" s="56"/>
      <c r="AS959" s="56"/>
    </row>
    <row r="960" spans="1:4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D960" s="56"/>
      <c r="AE960" s="56"/>
      <c r="AF960" s="56"/>
      <c r="AG960" s="56"/>
      <c r="AH960" s="56"/>
      <c r="AI960" s="56"/>
      <c r="AJ960" s="56"/>
      <c r="AQ960" s="56"/>
      <c r="AR960" s="56"/>
      <c r="AS960" s="56"/>
    </row>
    <row r="961" spans="1:4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D961" s="56"/>
      <c r="AE961" s="56"/>
      <c r="AF961" s="56"/>
      <c r="AG961" s="56"/>
      <c r="AH961" s="56"/>
      <c r="AI961" s="56"/>
      <c r="AJ961" s="56"/>
      <c r="AQ961" s="56"/>
      <c r="AR961" s="56"/>
      <c r="AS961" s="56"/>
    </row>
    <row r="962" spans="1:4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D962" s="56"/>
      <c r="AE962" s="56"/>
      <c r="AF962" s="56"/>
      <c r="AG962" s="56"/>
      <c r="AH962" s="56"/>
      <c r="AI962" s="56"/>
      <c r="AJ962" s="56"/>
      <c r="AQ962" s="56"/>
      <c r="AR962" s="56"/>
      <c r="AS962" s="56"/>
    </row>
    <row r="963" spans="1:4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D963" s="56"/>
      <c r="AE963" s="56"/>
      <c r="AF963" s="56"/>
      <c r="AG963" s="56"/>
      <c r="AH963" s="56"/>
      <c r="AI963" s="56"/>
      <c r="AJ963" s="56"/>
      <c r="AQ963" s="56"/>
      <c r="AR963" s="56"/>
      <c r="AS963" s="56"/>
    </row>
    <row r="964" spans="1:4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D964" s="56"/>
      <c r="AE964" s="56"/>
      <c r="AF964" s="56"/>
      <c r="AG964" s="56"/>
      <c r="AH964" s="56"/>
      <c r="AI964" s="56"/>
      <c r="AJ964" s="56"/>
      <c r="AQ964" s="56"/>
      <c r="AR964" s="56"/>
      <c r="AS964" s="56"/>
    </row>
    <row r="965" spans="1:4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D965" s="56"/>
      <c r="AE965" s="56"/>
      <c r="AF965" s="56"/>
      <c r="AG965" s="56"/>
      <c r="AH965" s="56"/>
      <c r="AI965" s="56"/>
      <c r="AJ965" s="56"/>
      <c r="AQ965" s="56"/>
      <c r="AR965" s="56"/>
      <c r="AS965" s="56"/>
    </row>
    <row r="966" spans="1:4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D966" s="56"/>
      <c r="AE966" s="56"/>
      <c r="AF966" s="56"/>
      <c r="AG966" s="56"/>
      <c r="AH966" s="56"/>
      <c r="AI966" s="56"/>
      <c r="AJ966" s="56"/>
      <c r="AQ966" s="56"/>
      <c r="AR966" s="56"/>
      <c r="AS966" s="56"/>
    </row>
    <row r="967" spans="1:4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D967" s="56"/>
      <c r="AE967" s="56"/>
      <c r="AF967" s="56"/>
      <c r="AG967" s="56"/>
      <c r="AH967" s="56"/>
      <c r="AI967" s="56"/>
      <c r="AJ967" s="56"/>
      <c r="AQ967" s="56"/>
      <c r="AR967" s="56"/>
      <c r="AS967" s="56"/>
    </row>
    <row r="968" spans="1:4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D968" s="56"/>
      <c r="AE968" s="56"/>
      <c r="AF968" s="56"/>
      <c r="AG968" s="56"/>
      <c r="AH968" s="56"/>
      <c r="AI968" s="56"/>
      <c r="AJ968" s="56"/>
      <c r="AQ968" s="56"/>
      <c r="AR968" s="56"/>
      <c r="AS968" s="56"/>
    </row>
    <row r="969" spans="1:4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D969" s="56"/>
      <c r="AE969" s="56"/>
      <c r="AF969" s="56"/>
      <c r="AG969" s="56"/>
      <c r="AH969" s="56"/>
      <c r="AI969" s="56"/>
      <c r="AJ969" s="56"/>
      <c r="AQ969" s="56"/>
      <c r="AR969" s="56"/>
      <c r="AS969" s="56"/>
    </row>
    <row r="970" spans="1:4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D970" s="56"/>
      <c r="AE970" s="56"/>
      <c r="AF970" s="56"/>
      <c r="AG970" s="56"/>
      <c r="AH970" s="56"/>
      <c r="AI970" s="56"/>
      <c r="AJ970" s="56"/>
      <c r="AQ970" s="56"/>
      <c r="AR970" s="56"/>
      <c r="AS970" s="56"/>
    </row>
    <row r="971" spans="1:4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D971" s="56"/>
      <c r="AE971" s="56"/>
      <c r="AF971" s="56"/>
      <c r="AG971" s="56"/>
      <c r="AH971" s="56"/>
      <c r="AI971" s="56"/>
      <c r="AJ971" s="56"/>
      <c r="AQ971" s="56"/>
      <c r="AR971" s="56"/>
      <c r="AS971" s="56"/>
    </row>
    <row r="972" spans="1:4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D972" s="56"/>
      <c r="AE972" s="56"/>
      <c r="AF972" s="56"/>
      <c r="AG972" s="56"/>
      <c r="AH972" s="56"/>
      <c r="AI972" s="56"/>
      <c r="AJ972" s="56"/>
      <c r="AQ972" s="56"/>
      <c r="AR972" s="56"/>
      <c r="AS972" s="56"/>
    </row>
    <row r="973" spans="1:4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D973" s="56"/>
      <c r="AE973" s="56"/>
      <c r="AF973" s="56"/>
      <c r="AG973" s="56"/>
      <c r="AH973" s="56"/>
      <c r="AI973" s="56"/>
      <c r="AJ973" s="56"/>
      <c r="AQ973" s="56"/>
      <c r="AR973" s="56"/>
      <c r="AS973" s="56"/>
    </row>
    <row r="974" spans="1:4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D974" s="56"/>
      <c r="AE974" s="56"/>
      <c r="AF974" s="56"/>
      <c r="AG974" s="56"/>
      <c r="AH974" s="56"/>
      <c r="AI974" s="56"/>
      <c r="AJ974" s="56"/>
      <c r="AQ974" s="56"/>
      <c r="AR974" s="56"/>
      <c r="AS974" s="56"/>
    </row>
    <row r="975" spans="1:4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D975" s="56"/>
      <c r="AE975" s="56"/>
      <c r="AF975" s="56"/>
      <c r="AG975" s="56"/>
      <c r="AH975" s="56"/>
      <c r="AI975" s="56"/>
      <c r="AJ975" s="56"/>
      <c r="AQ975" s="56"/>
      <c r="AR975" s="56"/>
      <c r="AS975" s="56"/>
    </row>
    <row r="976" spans="1:4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D976" s="56"/>
      <c r="AE976" s="56"/>
      <c r="AF976" s="56"/>
      <c r="AG976" s="56"/>
      <c r="AH976" s="56"/>
      <c r="AI976" s="56"/>
      <c r="AJ976" s="56"/>
      <c r="AQ976" s="56"/>
      <c r="AR976" s="56"/>
      <c r="AS976" s="56"/>
    </row>
    <row r="977" spans="1:4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D977" s="56"/>
      <c r="AE977" s="56"/>
      <c r="AF977" s="56"/>
      <c r="AG977" s="56"/>
      <c r="AH977" s="56"/>
      <c r="AI977" s="56"/>
      <c r="AJ977" s="56"/>
      <c r="AQ977" s="56"/>
      <c r="AR977" s="56"/>
      <c r="AS977" s="56"/>
    </row>
    <row r="978" spans="1:4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D978" s="56"/>
      <c r="AE978" s="56"/>
      <c r="AF978" s="56"/>
      <c r="AG978" s="56"/>
      <c r="AH978" s="56"/>
      <c r="AI978" s="56"/>
      <c r="AJ978" s="56"/>
      <c r="AQ978" s="56"/>
      <c r="AR978" s="56"/>
      <c r="AS978" s="56"/>
    </row>
    <row r="979" spans="1:4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D979" s="56"/>
      <c r="AE979" s="56"/>
      <c r="AF979" s="56"/>
      <c r="AG979" s="56"/>
      <c r="AH979" s="56"/>
      <c r="AI979" s="56"/>
      <c r="AJ979" s="56"/>
      <c r="AQ979" s="56"/>
      <c r="AR979" s="56"/>
      <c r="AS979" s="56"/>
    </row>
    <row r="980" spans="1:4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D980" s="56"/>
      <c r="AE980" s="56"/>
      <c r="AF980" s="56"/>
      <c r="AG980" s="56"/>
      <c r="AH980" s="56"/>
      <c r="AI980" s="56"/>
      <c r="AJ980" s="56"/>
      <c r="AQ980" s="56"/>
      <c r="AR980" s="56"/>
      <c r="AS980" s="56"/>
    </row>
    <row r="981" spans="1:4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D981" s="56"/>
      <c r="AE981" s="56"/>
      <c r="AF981" s="56"/>
      <c r="AG981" s="56"/>
      <c r="AH981" s="56"/>
      <c r="AI981" s="56"/>
      <c r="AJ981" s="56"/>
      <c r="AQ981" s="56"/>
      <c r="AR981" s="56"/>
      <c r="AS981" s="56"/>
    </row>
    <row r="982" spans="1:4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D982" s="56"/>
      <c r="AE982" s="56"/>
      <c r="AF982" s="56"/>
      <c r="AG982" s="56"/>
      <c r="AH982" s="56"/>
      <c r="AI982" s="56"/>
      <c r="AJ982" s="56"/>
      <c r="AQ982" s="56"/>
      <c r="AR982" s="56"/>
      <c r="AS982" s="56"/>
    </row>
    <row r="983" spans="1:4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D983" s="56"/>
      <c r="AE983" s="56"/>
      <c r="AF983" s="56"/>
      <c r="AG983" s="56"/>
      <c r="AH983" s="56"/>
      <c r="AI983" s="56"/>
      <c r="AJ983" s="56"/>
      <c r="AQ983" s="56"/>
      <c r="AR983" s="56"/>
      <c r="AS983" s="56"/>
    </row>
    <row r="984" spans="1:4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D984" s="56"/>
      <c r="AE984" s="56"/>
      <c r="AF984" s="56"/>
      <c r="AG984" s="56"/>
      <c r="AH984" s="56"/>
      <c r="AI984" s="56"/>
      <c r="AJ984" s="56"/>
      <c r="AQ984" s="56"/>
      <c r="AR984" s="56"/>
      <c r="AS984" s="56"/>
    </row>
    <row r="985" spans="1:4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D985" s="56"/>
      <c r="AE985" s="56"/>
      <c r="AF985" s="56"/>
      <c r="AG985" s="56"/>
      <c r="AH985" s="56"/>
      <c r="AI985" s="56"/>
      <c r="AJ985" s="56"/>
      <c r="AQ985" s="56"/>
      <c r="AR985" s="56"/>
      <c r="AS985" s="56"/>
    </row>
    <row r="986" spans="1:4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D986" s="56"/>
      <c r="AE986" s="56"/>
      <c r="AF986" s="56"/>
      <c r="AG986" s="56"/>
      <c r="AH986" s="56"/>
      <c r="AI986" s="56"/>
      <c r="AJ986" s="56"/>
      <c r="AQ986" s="56"/>
      <c r="AR986" s="56"/>
      <c r="AS986" s="56"/>
    </row>
    <row r="987" spans="1:4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D987" s="56"/>
      <c r="AE987" s="56"/>
      <c r="AF987" s="56"/>
      <c r="AG987" s="56"/>
      <c r="AH987" s="56"/>
      <c r="AI987" s="56"/>
      <c r="AJ987" s="56"/>
      <c r="AQ987" s="56"/>
      <c r="AR987" s="56"/>
      <c r="AS987" s="56"/>
    </row>
    <row r="988" spans="1:4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D988" s="56"/>
      <c r="AE988" s="56"/>
      <c r="AF988" s="56"/>
      <c r="AG988" s="56"/>
      <c r="AH988" s="56"/>
      <c r="AI988" s="56"/>
      <c r="AJ988" s="56"/>
      <c r="AQ988" s="56"/>
      <c r="AR988" s="56"/>
      <c r="AS988" s="56"/>
    </row>
    <row r="989" spans="1:4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D989" s="56"/>
      <c r="AE989" s="56"/>
      <c r="AF989" s="56"/>
      <c r="AG989" s="56"/>
      <c r="AH989" s="56"/>
      <c r="AI989" s="56"/>
      <c r="AJ989" s="56"/>
      <c r="AQ989" s="56"/>
      <c r="AR989" s="56"/>
      <c r="AS989" s="56"/>
    </row>
    <row r="990" spans="1:4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D990" s="56"/>
      <c r="AE990" s="56"/>
      <c r="AF990" s="56"/>
      <c r="AG990" s="56"/>
      <c r="AH990" s="56"/>
      <c r="AI990" s="56"/>
      <c r="AJ990" s="56"/>
      <c r="AQ990" s="56"/>
      <c r="AR990" s="56"/>
      <c r="AS990" s="56"/>
    </row>
    <row r="991" spans="1:4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D991" s="56"/>
      <c r="AE991" s="56"/>
      <c r="AF991" s="56"/>
      <c r="AG991" s="56"/>
      <c r="AH991" s="56"/>
      <c r="AI991" s="56"/>
      <c r="AJ991" s="56"/>
      <c r="AQ991" s="56"/>
      <c r="AR991" s="56"/>
      <c r="AS991" s="56"/>
    </row>
    <row r="992" spans="1:4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D992" s="56"/>
      <c r="AE992" s="56"/>
      <c r="AF992" s="56"/>
      <c r="AG992" s="56"/>
      <c r="AH992" s="56"/>
      <c r="AI992" s="56"/>
      <c r="AJ992" s="56"/>
      <c r="AQ992" s="56"/>
      <c r="AR992" s="56"/>
      <c r="AS992" s="56"/>
    </row>
    <row r="993" spans="1:4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D993" s="56"/>
      <c r="AE993" s="56"/>
      <c r="AF993" s="56"/>
      <c r="AG993" s="56"/>
      <c r="AH993" s="56"/>
      <c r="AI993" s="56"/>
      <c r="AJ993" s="56"/>
      <c r="AQ993" s="56"/>
      <c r="AR993" s="56"/>
      <c r="AS993" s="56"/>
    </row>
    <row r="994" spans="1:4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D994" s="56"/>
      <c r="AE994" s="56"/>
      <c r="AF994" s="56"/>
      <c r="AG994" s="56"/>
      <c r="AH994" s="56"/>
      <c r="AI994" s="56"/>
      <c r="AJ994" s="56"/>
      <c r="AQ994" s="56"/>
      <c r="AR994" s="56"/>
      <c r="AS994" s="56"/>
    </row>
    <row r="995" spans="1:4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D995" s="56"/>
      <c r="AE995" s="56"/>
      <c r="AF995" s="56"/>
      <c r="AG995" s="56"/>
      <c r="AH995" s="56"/>
      <c r="AI995" s="56"/>
      <c r="AJ995" s="56"/>
      <c r="AQ995" s="56"/>
      <c r="AR995" s="56"/>
      <c r="AS995" s="56"/>
    </row>
    <row r="996" spans="1:4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D996" s="56"/>
      <c r="AE996" s="56"/>
      <c r="AF996" s="56"/>
      <c r="AG996" s="56"/>
      <c r="AH996" s="56"/>
      <c r="AI996" s="56"/>
      <c r="AJ996" s="56"/>
      <c r="AQ996" s="56"/>
      <c r="AR996" s="56"/>
      <c r="AS996" s="56"/>
    </row>
    <row r="997" spans="1:4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D997" s="56"/>
      <c r="AE997" s="56"/>
      <c r="AF997" s="56"/>
      <c r="AG997" s="56"/>
      <c r="AH997" s="56"/>
      <c r="AI997" s="56"/>
      <c r="AJ997" s="56"/>
      <c r="AQ997" s="56"/>
      <c r="AR997" s="56"/>
      <c r="AS997" s="56"/>
    </row>
    <row r="998" spans="1:4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D998" s="56"/>
      <c r="AE998" s="56"/>
      <c r="AF998" s="56"/>
      <c r="AG998" s="56"/>
      <c r="AH998" s="56"/>
      <c r="AI998" s="56"/>
      <c r="AJ998" s="56"/>
      <c r="AQ998" s="56"/>
      <c r="AR998" s="56"/>
      <c r="AS998" s="56"/>
    </row>
    <row r="999" spans="1:4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D999" s="56"/>
      <c r="AE999" s="56"/>
      <c r="AF999" s="56"/>
      <c r="AG999" s="56"/>
      <c r="AH999" s="56"/>
      <c r="AI999" s="56"/>
      <c r="AJ999" s="56"/>
      <c r="AQ999" s="56"/>
      <c r="AR999" s="56"/>
      <c r="AS999" s="56"/>
    </row>
    <row r="1000" spans="1:4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D1000" s="56"/>
      <c r="AE1000" s="56"/>
      <c r="AF1000" s="56"/>
      <c r="AG1000" s="56"/>
      <c r="AH1000" s="56"/>
      <c r="AI1000" s="56"/>
      <c r="AJ1000" s="56"/>
      <c r="AQ1000" s="56"/>
      <c r="AR1000" s="56"/>
      <c r="AS1000" s="56"/>
    </row>
    <row r="1001" spans="1:4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D1001" s="56"/>
      <c r="AE1001" s="56"/>
      <c r="AF1001" s="56"/>
      <c r="AG1001" s="56"/>
      <c r="AH1001" s="56"/>
      <c r="AI1001" s="56"/>
      <c r="AJ1001" s="56"/>
      <c r="AQ1001" s="56"/>
      <c r="AR1001" s="56"/>
      <c r="AS1001" s="56"/>
    </row>
    <row r="1002" spans="1:4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D1002" s="56"/>
      <c r="AE1002" s="56"/>
      <c r="AF1002" s="56"/>
      <c r="AG1002" s="56"/>
      <c r="AH1002" s="56"/>
      <c r="AI1002" s="56"/>
      <c r="AJ1002" s="56"/>
      <c r="AQ1002" s="56"/>
      <c r="AR1002" s="56"/>
      <c r="AS1002" s="56"/>
    </row>
    <row r="1003" spans="1:4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D1003" s="56"/>
      <c r="AE1003" s="56"/>
      <c r="AF1003" s="56"/>
      <c r="AG1003" s="56"/>
      <c r="AH1003" s="56"/>
      <c r="AI1003" s="56"/>
      <c r="AJ1003" s="56"/>
      <c r="AQ1003" s="56"/>
      <c r="AR1003" s="56"/>
      <c r="AS1003" s="56"/>
    </row>
    <row r="1004" spans="1:4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D1004" s="56"/>
      <c r="AE1004" s="56"/>
      <c r="AF1004" s="56"/>
      <c r="AG1004" s="56"/>
      <c r="AH1004" s="56"/>
      <c r="AI1004" s="56"/>
      <c r="AJ1004" s="56"/>
      <c r="AQ1004" s="56"/>
      <c r="AR1004" s="56"/>
      <c r="AS1004" s="56"/>
    </row>
    <row r="1005" spans="1:4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D1005" s="56"/>
      <c r="AE1005" s="56"/>
      <c r="AF1005" s="56"/>
      <c r="AG1005" s="56"/>
      <c r="AH1005" s="56"/>
      <c r="AI1005" s="56"/>
      <c r="AJ1005" s="56"/>
      <c r="AQ1005" s="56"/>
      <c r="AR1005" s="56"/>
      <c r="AS1005" s="56"/>
    </row>
    <row r="1006" spans="1:4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D1006" s="56"/>
      <c r="AE1006" s="56"/>
      <c r="AF1006" s="56"/>
      <c r="AG1006" s="56"/>
      <c r="AH1006" s="56"/>
      <c r="AI1006" s="56"/>
      <c r="AJ1006" s="56"/>
      <c r="AQ1006" s="56"/>
      <c r="AR1006" s="56"/>
      <c r="AS1006" s="56"/>
    </row>
    <row r="1007" spans="1:4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D1007" s="56"/>
      <c r="AE1007" s="56"/>
      <c r="AF1007" s="56"/>
      <c r="AG1007" s="56"/>
      <c r="AH1007" s="56"/>
      <c r="AI1007" s="56"/>
      <c r="AJ1007" s="56"/>
      <c r="AQ1007" s="56"/>
      <c r="AR1007" s="56"/>
      <c r="AS1007" s="56"/>
    </row>
    <row r="1008" spans="1:4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D1008" s="56"/>
      <c r="AE1008" s="56"/>
      <c r="AF1008" s="56"/>
      <c r="AG1008" s="56"/>
      <c r="AH1008" s="56"/>
      <c r="AI1008" s="56"/>
      <c r="AJ1008" s="56"/>
      <c r="AQ1008" s="56"/>
      <c r="AR1008" s="56"/>
      <c r="AS1008" s="56"/>
    </row>
    <row r="1009" spans="1:4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D1009" s="56"/>
      <c r="AE1009" s="56"/>
      <c r="AF1009" s="56"/>
      <c r="AG1009" s="56"/>
      <c r="AH1009" s="56"/>
      <c r="AI1009" s="56"/>
      <c r="AJ1009" s="56"/>
      <c r="AQ1009" s="56"/>
      <c r="AR1009" s="56"/>
      <c r="AS1009" s="56"/>
    </row>
    <row r="1010" spans="1:4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D1010" s="56"/>
      <c r="AE1010" s="56"/>
      <c r="AF1010" s="56"/>
      <c r="AG1010" s="56"/>
      <c r="AH1010" s="56"/>
      <c r="AI1010" s="56"/>
      <c r="AJ1010" s="56"/>
      <c r="AQ1010" s="56"/>
      <c r="AR1010" s="56"/>
      <c r="AS1010" s="56"/>
    </row>
    <row r="1011" spans="1:4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D1011" s="56"/>
      <c r="AE1011" s="56"/>
      <c r="AF1011" s="56"/>
      <c r="AG1011" s="56"/>
      <c r="AH1011" s="56"/>
      <c r="AI1011" s="56"/>
      <c r="AJ1011" s="56"/>
      <c r="AQ1011" s="56"/>
      <c r="AR1011" s="56"/>
      <c r="AS1011" s="56"/>
    </row>
    <row r="1012" spans="1:4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D1012" s="56"/>
      <c r="AE1012" s="56"/>
      <c r="AF1012" s="56"/>
      <c r="AG1012" s="56"/>
      <c r="AH1012" s="56"/>
      <c r="AI1012" s="56"/>
      <c r="AJ1012" s="56"/>
      <c r="AQ1012" s="56"/>
      <c r="AR1012" s="56"/>
      <c r="AS1012" s="56"/>
    </row>
    <row r="1013" spans="1:4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D1013" s="56"/>
      <c r="AE1013" s="56"/>
      <c r="AF1013" s="56"/>
      <c r="AG1013" s="56"/>
      <c r="AH1013" s="56"/>
      <c r="AI1013" s="56"/>
      <c r="AJ1013" s="56"/>
      <c r="AQ1013" s="56"/>
      <c r="AR1013" s="56"/>
      <c r="AS1013" s="56"/>
    </row>
    <row r="1014" spans="1:4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D1014" s="56"/>
      <c r="AE1014" s="56"/>
      <c r="AF1014" s="56"/>
      <c r="AG1014" s="56"/>
      <c r="AH1014" s="56"/>
      <c r="AI1014" s="56"/>
      <c r="AJ1014" s="56"/>
      <c r="AQ1014" s="56"/>
      <c r="AR1014" s="56"/>
      <c r="AS1014" s="56"/>
    </row>
    <row r="1015" spans="1:4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D1015" s="56"/>
      <c r="AE1015" s="56"/>
      <c r="AF1015" s="56"/>
      <c r="AG1015" s="56"/>
      <c r="AH1015" s="56"/>
      <c r="AI1015" s="56"/>
      <c r="AJ1015" s="56"/>
      <c r="AQ1015" s="56"/>
      <c r="AR1015" s="56"/>
      <c r="AS1015" s="56"/>
    </row>
    <row r="1016" spans="1:4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D1016" s="56"/>
      <c r="AE1016" s="56"/>
      <c r="AF1016" s="56"/>
      <c r="AG1016" s="56"/>
      <c r="AH1016" s="56"/>
      <c r="AI1016" s="56"/>
      <c r="AJ1016" s="56"/>
      <c r="AQ1016" s="56"/>
      <c r="AR1016" s="56"/>
      <c r="AS1016" s="56"/>
    </row>
    <row r="1017" spans="1:4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D1017" s="56"/>
      <c r="AE1017" s="56"/>
      <c r="AF1017" s="56"/>
      <c r="AG1017" s="56"/>
      <c r="AH1017" s="56"/>
      <c r="AI1017" s="56"/>
      <c r="AJ1017" s="56"/>
      <c r="AQ1017" s="56"/>
      <c r="AR1017" s="56"/>
      <c r="AS1017" s="56"/>
    </row>
    <row r="1018" spans="1:4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D1018" s="56"/>
      <c r="AE1018" s="56"/>
      <c r="AF1018" s="56"/>
      <c r="AG1018" s="56"/>
      <c r="AH1018" s="56"/>
      <c r="AI1018" s="56"/>
      <c r="AJ1018" s="56"/>
      <c r="AQ1018" s="56"/>
      <c r="AR1018" s="56"/>
      <c r="AS1018" s="56"/>
    </row>
    <row r="1019" spans="1:4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D1019" s="56"/>
      <c r="AE1019" s="56"/>
      <c r="AF1019" s="56"/>
      <c r="AG1019" s="56"/>
      <c r="AH1019" s="56"/>
      <c r="AI1019" s="56"/>
      <c r="AJ1019" s="56"/>
      <c r="AQ1019" s="56"/>
      <c r="AR1019" s="56"/>
      <c r="AS1019" s="56"/>
    </row>
    <row r="1020" spans="1:4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D1020" s="56"/>
      <c r="AE1020" s="56"/>
      <c r="AF1020" s="56"/>
      <c r="AG1020" s="56"/>
      <c r="AH1020" s="56"/>
      <c r="AI1020" s="56"/>
      <c r="AJ1020" s="56"/>
      <c r="AQ1020" s="56"/>
      <c r="AR1020" s="56"/>
      <c r="AS1020" s="56"/>
    </row>
    <row r="1021" spans="1:4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D1021" s="56"/>
      <c r="AE1021" s="56"/>
      <c r="AF1021" s="56"/>
      <c r="AG1021" s="56"/>
      <c r="AH1021" s="56"/>
      <c r="AI1021" s="56"/>
      <c r="AJ1021" s="56"/>
      <c r="AQ1021" s="56"/>
      <c r="AR1021" s="56"/>
      <c r="AS1021" s="56"/>
    </row>
    <row r="1022" spans="1:4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D1022" s="56"/>
      <c r="AE1022" s="56"/>
      <c r="AF1022" s="56"/>
      <c r="AG1022" s="56"/>
      <c r="AH1022" s="56"/>
      <c r="AI1022" s="56"/>
      <c r="AJ1022" s="56"/>
      <c r="AQ1022" s="56"/>
      <c r="AR1022" s="56"/>
      <c r="AS1022" s="56"/>
    </row>
    <row r="1023" spans="1:4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D1023" s="56"/>
      <c r="AE1023" s="56"/>
      <c r="AF1023" s="56"/>
      <c r="AG1023" s="56"/>
      <c r="AH1023" s="56"/>
      <c r="AI1023" s="56"/>
      <c r="AJ1023" s="56"/>
      <c r="AQ1023" s="56"/>
      <c r="AR1023" s="56"/>
      <c r="AS1023" s="56"/>
    </row>
    <row r="1024" spans="1:4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D1024" s="56"/>
      <c r="AE1024" s="56"/>
      <c r="AF1024" s="56"/>
      <c r="AG1024" s="56"/>
      <c r="AH1024" s="56"/>
      <c r="AI1024" s="56"/>
      <c r="AJ1024" s="56"/>
      <c r="AQ1024" s="56"/>
      <c r="AR1024" s="56"/>
      <c r="AS1024" s="56"/>
    </row>
    <row r="1025" spans="1:4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D1025" s="56"/>
      <c r="AE1025" s="56"/>
      <c r="AF1025" s="56"/>
      <c r="AG1025" s="56"/>
      <c r="AH1025" s="56"/>
      <c r="AI1025" s="56"/>
      <c r="AJ1025" s="56"/>
      <c r="AQ1025" s="56"/>
      <c r="AR1025" s="56"/>
      <c r="AS1025" s="56"/>
    </row>
    <row r="1026" spans="1:4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D1026" s="56"/>
      <c r="AE1026" s="56"/>
      <c r="AF1026" s="56"/>
      <c r="AG1026" s="56"/>
      <c r="AH1026" s="56"/>
      <c r="AI1026" s="56"/>
      <c r="AJ1026" s="56"/>
      <c r="AQ1026" s="56"/>
      <c r="AR1026" s="56"/>
      <c r="AS1026" s="56"/>
    </row>
    <row r="1027" spans="1:4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D1027" s="56"/>
      <c r="AE1027" s="56"/>
      <c r="AF1027" s="56"/>
      <c r="AG1027" s="56"/>
      <c r="AH1027" s="56"/>
      <c r="AI1027" s="56"/>
      <c r="AJ1027" s="56"/>
      <c r="AQ1027" s="56"/>
      <c r="AR1027" s="56"/>
      <c r="AS1027" s="56"/>
    </row>
    <row r="1028" spans="1:4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D1028" s="56"/>
      <c r="AE1028" s="56"/>
      <c r="AF1028" s="56"/>
      <c r="AG1028" s="56"/>
      <c r="AH1028" s="56"/>
      <c r="AI1028" s="56"/>
      <c r="AJ1028" s="56"/>
      <c r="AQ1028" s="56"/>
      <c r="AR1028" s="56"/>
      <c r="AS1028" s="56"/>
    </row>
    <row r="1029" spans="1:4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D1029" s="56"/>
      <c r="AE1029" s="56"/>
      <c r="AF1029" s="56"/>
      <c r="AG1029" s="56"/>
      <c r="AH1029" s="56"/>
      <c r="AI1029" s="56"/>
      <c r="AJ1029" s="56"/>
      <c r="AQ1029" s="56"/>
      <c r="AR1029" s="56"/>
      <c r="AS1029" s="56"/>
    </row>
    <row r="1030" spans="1:4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D1030" s="56"/>
      <c r="AE1030" s="56"/>
      <c r="AF1030" s="56"/>
      <c r="AG1030" s="56"/>
      <c r="AH1030" s="56"/>
      <c r="AI1030" s="56"/>
      <c r="AJ1030" s="56"/>
      <c r="AQ1030" s="56"/>
      <c r="AR1030" s="56"/>
      <c r="AS1030" s="56"/>
    </row>
    <row r="1031" spans="1:4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D1031" s="56"/>
      <c r="AE1031" s="56"/>
      <c r="AF1031" s="56"/>
      <c r="AG1031" s="56"/>
      <c r="AH1031" s="56"/>
      <c r="AI1031" s="56"/>
      <c r="AJ1031" s="56"/>
      <c r="AQ1031" s="56"/>
      <c r="AR1031" s="56"/>
      <c r="AS1031" s="56"/>
    </row>
    <row r="1032" spans="1:4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D1032" s="56"/>
      <c r="AE1032" s="56"/>
      <c r="AF1032" s="56"/>
      <c r="AG1032" s="56"/>
      <c r="AH1032" s="56"/>
      <c r="AI1032" s="56"/>
      <c r="AJ1032" s="56"/>
      <c r="AQ1032" s="56"/>
      <c r="AR1032" s="56"/>
      <c r="AS1032" s="56"/>
    </row>
    <row r="1033" spans="1:4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D1033" s="56"/>
      <c r="AE1033" s="56"/>
      <c r="AF1033" s="56"/>
      <c r="AG1033" s="56"/>
      <c r="AH1033" s="56"/>
      <c r="AI1033" s="56"/>
      <c r="AJ1033" s="56"/>
      <c r="AQ1033" s="56"/>
      <c r="AR1033" s="56"/>
      <c r="AS1033" s="56"/>
    </row>
    <row r="1034" spans="1:4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D1034" s="56"/>
      <c r="AE1034" s="56"/>
      <c r="AF1034" s="56"/>
      <c r="AG1034" s="56"/>
      <c r="AH1034" s="56"/>
      <c r="AI1034" s="56"/>
      <c r="AJ1034" s="56"/>
      <c r="AQ1034" s="56"/>
      <c r="AR1034" s="56"/>
      <c r="AS1034" s="56"/>
    </row>
    <row r="1035" spans="1:4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D1035" s="56"/>
      <c r="AE1035" s="56"/>
      <c r="AF1035" s="56"/>
      <c r="AG1035" s="56"/>
      <c r="AH1035" s="56"/>
      <c r="AI1035" s="56"/>
      <c r="AJ1035" s="56"/>
      <c r="AQ1035" s="56"/>
      <c r="AR1035" s="56"/>
      <c r="AS1035" s="56"/>
    </row>
    <row r="1036" spans="1:4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D1036" s="56"/>
      <c r="AE1036" s="56"/>
      <c r="AF1036" s="56"/>
      <c r="AG1036" s="56"/>
      <c r="AH1036" s="56"/>
      <c r="AI1036" s="56"/>
      <c r="AJ1036" s="56"/>
      <c r="AQ1036" s="56"/>
      <c r="AR1036" s="56"/>
      <c r="AS1036" s="56"/>
    </row>
    <row r="1037" spans="1:4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D1037" s="56"/>
      <c r="AE1037" s="56"/>
      <c r="AF1037" s="56"/>
      <c r="AG1037" s="56"/>
      <c r="AH1037" s="56"/>
      <c r="AI1037" s="56"/>
      <c r="AJ1037" s="56"/>
      <c r="AQ1037" s="56"/>
      <c r="AR1037" s="56"/>
      <c r="AS1037" s="56"/>
    </row>
    <row r="1038" spans="1:4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D1038" s="56"/>
      <c r="AE1038" s="56"/>
      <c r="AF1038" s="56"/>
      <c r="AG1038" s="56"/>
      <c r="AH1038" s="56"/>
      <c r="AI1038" s="56"/>
      <c r="AJ1038" s="56"/>
      <c r="AQ1038" s="56"/>
      <c r="AR1038" s="56"/>
      <c r="AS1038" s="56"/>
    </row>
    <row r="1039" spans="1:4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D1039" s="56"/>
      <c r="AE1039" s="56"/>
      <c r="AF1039" s="56"/>
      <c r="AG1039" s="56"/>
      <c r="AH1039" s="56"/>
      <c r="AI1039" s="56"/>
      <c r="AJ1039" s="56"/>
      <c r="AQ1039" s="56"/>
      <c r="AR1039" s="56"/>
      <c r="AS1039" s="56"/>
    </row>
    <row r="1040" spans="1:4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D1040" s="56"/>
      <c r="AE1040" s="56"/>
      <c r="AF1040" s="56"/>
      <c r="AG1040" s="56"/>
      <c r="AH1040" s="56"/>
      <c r="AI1040" s="56"/>
      <c r="AJ1040" s="56"/>
      <c r="AQ1040" s="56"/>
      <c r="AR1040" s="56"/>
      <c r="AS1040" s="56"/>
    </row>
    <row r="1041" spans="1:4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D1041" s="56"/>
      <c r="AE1041" s="56"/>
      <c r="AF1041" s="56"/>
      <c r="AG1041" s="56"/>
      <c r="AH1041" s="56"/>
      <c r="AI1041" s="56"/>
      <c r="AJ1041" s="56"/>
      <c r="AQ1041" s="56"/>
      <c r="AR1041" s="56"/>
      <c r="AS1041" s="56"/>
    </row>
    <row r="1042" spans="1:4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D1042" s="56"/>
      <c r="AE1042" s="56"/>
      <c r="AF1042" s="56"/>
      <c r="AG1042" s="56"/>
      <c r="AH1042" s="56"/>
      <c r="AI1042" s="56"/>
      <c r="AJ1042" s="56"/>
      <c r="AQ1042" s="56"/>
      <c r="AR1042" s="56"/>
      <c r="AS1042" s="56"/>
    </row>
    <row r="1043" spans="1:4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D1043" s="56"/>
      <c r="AE1043" s="56"/>
      <c r="AF1043" s="56"/>
      <c r="AG1043" s="56"/>
      <c r="AH1043" s="56"/>
      <c r="AI1043" s="56"/>
      <c r="AJ1043" s="56"/>
      <c r="AQ1043" s="56"/>
      <c r="AR1043" s="56"/>
      <c r="AS1043" s="56"/>
    </row>
    <row r="1044" spans="1:4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D1044" s="56"/>
      <c r="AE1044" s="56"/>
      <c r="AF1044" s="56"/>
      <c r="AG1044" s="56"/>
      <c r="AH1044" s="56"/>
      <c r="AI1044" s="56"/>
      <c r="AJ1044" s="56"/>
      <c r="AQ1044" s="56"/>
      <c r="AR1044" s="56"/>
      <c r="AS1044" s="56"/>
    </row>
    <row r="1045" spans="1:4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D1045" s="56"/>
      <c r="AE1045" s="56"/>
      <c r="AF1045" s="56"/>
      <c r="AG1045" s="56"/>
      <c r="AH1045" s="56"/>
      <c r="AI1045" s="56"/>
      <c r="AJ1045" s="56"/>
      <c r="AQ1045" s="56"/>
      <c r="AR1045" s="56"/>
      <c r="AS1045" s="56"/>
    </row>
    <row r="1046" spans="1:4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D1046" s="56"/>
      <c r="AE1046" s="56"/>
      <c r="AF1046" s="56"/>
      <c r="AG1046" s="56"/>
      <c r="AH1046" s="56"/>
      <c r="AI1046" s="56"/>
      <c r="AJ1046" s="56"/>
      <c r="AQ1046" s="56"/>
      <c r="AR1046" s="56"/>
      <c r="AS1046" s="56"/>
    </row>
    <row r="1047" spans="1:4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D1047" s="56"/>
      <c r="AE1047" s="56"/>
      <c r="AF1047" s="56"/>
      <c r="AG1047" s="56"/>
      <c r="AH1047" s="56"/>
      <c r="AI1047" s="56"/>
      <c r="AJ1047" s="56"/>
      <c r="AQ1047" s="56"/>
      <c r="AR1047" s="56"/>
      <c r="AS1047" s="56"/>
    </row>
    <row r="1048" spans="1:4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D1048" s="56"/>
      <c r="AE1048" s="56"/>
      <c r="AF1048" s="56"/>
      <c r="AG1048" s="56"/>
      <c r="AH1048" s="56"/>
      <c r="AI1048" s="56"/>
      <c r="AJ1048" s="56"/>
      <c r="AQ1048" s="56"/>
      <c r="AR1048" s="56"/>
      <c r="AS1048" s="56"/>
    </row>
    <row r="1049" spans="1:4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D1049" s="56"/>
      <c r="AE1049" s="56"/>
      <c r="AF1049" s="56"/>
      <c r="AG1049" s="56"/>
      <c r="AH1049" s="56"/>
      <c r="AI1049" s="56"/>
      <c r="AJ1049" s="56"/>
      <c r="AQ1049" s="56"/>
      <c r="AR1049" s="56"/>
      <c r="AS1049" s="56"/>
    </row>
    <row r="1050" spans="1:4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D1050" s="56"/>
      <c r="AE1050" s="56"/>
      <c r="AF1050" s="56"/>
      <c r="AG1050" s="56"/>
      <c r="AH1050" s="56"/>
      <c r="AI1050" s="56"/>
      <c r="AJ1050" s="56"/>
      <c r="AQ1050" s="56"/>
      <c r="AR1050" s="56"/>
      <c r="AS1050" s="56"/>
    </row>
    <row r="1051" spans="1:4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D1051" s="56"/>
      <c r="AE1051" s="56"/>
      <c r="AF1051" s="56"/>
      <c r="AG1051" s="56"/>
      <c r="AH1051" s="56"/>
      <c r="AI1051" s="56"/>
      <c r="AJ1051" s="56"/>
      <c r="AQ1051" s="56"/>
      <c r="AR1051" s="56"/>
      <c r="AS1051" s="56"/>
    </row>
    <row r="1052" spans="1:4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D1052" s="56"/>
      <c r="AE1052" s="56"/>
      <c r="AF1052" s="56"/>
      <c r="AG1052" s="56"/>
      <c r="AH1052" s="56"/>
      <c r="AI1052" s="56"/>
      <c r="AJ1052" s="56"/>
      <c r="AQ1052" s="56"/>
      <c r="AR1052" s="56"/>
      <c r="AS1052" s="56"/>
    </row>
    <row r="1053" spans="1:4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D1053" s="56"/>
      <c r="AE1053" s="56"/>
      <c r="AF1053" s="56"/>
      <c r="AG1053" s="56"/>
      <c r="AH1053" s="56"/>
      <c r="AI1053" s="56"/>
      <c r="AJ1053" s="56"/>
      <c r="AQ1053" s="56"/>
      <c r="AR1053" s="56"/>
      <c r="AS1053" s="56"/>
    </row>
    <row r="1054" spans="1:4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D1054" s="56"/>
      <c r="AE1054" s="56"/>
      <c r="AF1054" s="56"/>
      <c r="AG1054" s="56"/>
      <c r="AH1054" s="56"/>
      <c r="AI1054" s="56"/>
      <c r="AJ1054" s="56"/>
      <c r="AQ1054" s="56"/>
      <c r="AR1054" s="56"/>
      <c r="AS1054" s="56"/>
    </row>
    <row r="1055" spans="1:4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D1055" s="56"/>
      <c r="AE1055" s="56"/>
      <c r="AF1055" s="56"/>
      <c r="AG1055" s="56"/>
      <c r="AH1055" s="56"/>
      <c r="AI1055" s="56"/>
      <c r="AJ1055" s="56"/>
      <c r="AQ1055" s="56"/>
      <c r="AR1055" s="56"/>
      <c r="AS1055" s="56"/>
    </row>
    <row r="1056" spans="1:4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D1056" s="56"/>
      <c r="AE1056" s="56"/>
      <c r="AF1056" s="56"/>
      <c r="AG1056" s="56"/>
      <c r="AH1056" s="56"/>
      <c r="AI1056" s="56"/>
      <c r="AJ1056" s="56"/>
      <c r="AQ1056" s="56"/>
      <c r="AR1056" s="56"/>
      <c r="AS1056" s="56"/>
    </row>
    <row r="1057" spans="1:4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D1057" s="56"/>
      <c r="AE1057" s="56"/>
      <c r="AF1057" s="56"/>
      <c r="AG1057" s="56"/>
      <c r="AH1057" s="56"/>
      <c r="AI1057" s="56"/>
      <c r="AJ1057" s="56"/>
      <c r="AQ1057" s="56"/>
      <c r="AR1057" s="56"/>
      <c r="AS1057" s="56"/>
    </row>
    <row r="1058" spans="1:4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D1058" s="56"/>
      <c r="AE1058" s="56"/>
      <c r="AF1058" s="56"/>
      <c r="AG1058" s="56"/>
      <c r="AH1058" s="56"/>
      <c r="AI1058" s="56"/>
      <c r="AJ1058" s="56"/>
      <c r="AQ1058" s="56"/>
      <c r="AR1058" s="56"/>
      <c r="AS1058" s="56"/>
    </row>
    <row r="1059" spans="1:4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D1059" s="56"/>
      <c r="AE1059" s="56"/>
      <c r="AF1059" s="56"/>
      <c r="AG1059" s="56"/>
      <c r="AH1059" s="56"/>
      <c r="AI1059" s="56"/>
      <c r="AJ1059" s="56"/>
      <c r="AQ1059" s="56"/>
      <c r="AR1059" s="56"/>
      <c r="AS1059" s="56"/>
    </row>
    <row r="1060" spans="1:4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D1060" s="56"/>
      <c r="AE1060" s="56"/>
      <c r="AF1060" s="56"/>
      <c r="AG1060" s="56"/>
      <c r="AH1060" s="56"/>
      <c r="AI1060" s="56"/>
      <c r="AJ1060" s="56"/>
      <c r="AQ1060" s="56"/>
      <c r="AR1060" s="56"/>
      <c r="AS1060" s="56"/>
    </row>
    <row r="1061" spans="1:4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D1061" s="56"/>
      <c r="AE1061" s="56"/>
      <c r="AF1061" s="56"/>
      <c r="AG1061" s="56"/>
      <c r="AH1061" s="56"/>
      <c r="AI1061" s="56"/>
      <c r="AJ1061" s="56"/>
      <c r="AQ1061" s="56"/>
      <c r="AR1061" s="56"/>
      <c r="AS1061" s="56"/>
    </row>
    <row r="1062" spans="1:4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D1062" s="56"/>
      <c r="AE1062" s="56"/>
      <c r="AF1062" s="56"/>
      <c r="AG1062" s="56"/>
      <c r="AH1062" s="56"/>
      <c r="AI1062" s="56"/>
      <c r="AJ1062" s="56"/>
      <c r="AQ1062" s="56"/>
      <c r="AR1062" s="56"/>
      <c r="AS1062" s="56"/>
    </row>
    <row r="1063" spans="1:4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D1063" s="56"/>
      <c r="AE1063" s="56"/>
      <c r="AF1063" s="56"/>
      <c r="AG1063" s="56"/>
      <c r="AH1063" s="56"/>
      <c r="AI1063" s="56"/>
      <c r="AJ1063" s="56"/>
      <c r="AQ1063" s="56"/>
      <c r="AR1063" s="56"/>
      <c r="AS1063" s="56"/>
    </row>
    <row r="1064" spans="1:4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D1064" s="56"/>
      <c r="AE1064" s="56"/>
      <c r="AF1064" s="56"/>
      <c r="AG1064" s="56"/>
      <c r="AH1064" s="56"/>
      <c r="AI1064" s="56"/>
      <c r="AJ1064" s="56"/>
      <c r="AQ1064" s="56"/>
      <c r="AR1064" s="56"/>
      <c r="AS1064" s="56"/>
    </row>
    <row r="1065" spans="1:4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D1065" s="56"/>
      <c r="AE1065" s="56"/>
      <c r="AF1065" s="56"/>
      <c r="AG1065" s="56"/>
      <c r="AH1065" s="56"/>
      <c r="AI1065" s="56"/>
      <c r="AJ1065" s="56"/>
      <c r="AQ1065" s="56"/>
      <c r="AR1065" s="56"/>
      <c r="AS1065" s="56"/>
    </row>
    <row r="1066" spans="1:4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D1066" s="56"/>
      <c r="AE1066" s="56"/>
      <c r="AF1066" s="56"/>
      <c r="AG1066" s="56"/>
      <c r="AH1066" s="56"/>
      <c r="AI1066" s="56"/>
      <c r="AJ1066" s="56"/>
      <c r="AQ1066" s="56"/>
      <c r="AR1066" s="56"/>
      <c r="AS1066" s="56"/>
    </row>
    <row r="1067" spans="1:4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D1067" s="56"/>
      <c r="AE1067" s="56"/>
      <c r="AF1067" s="56"/>
      <c r="AG1067" s="56"/>
      <c r="AH1067" s="56"/>
      <c r="AI1067" s="56"/>
      <c r="AJ1067" s="56"/>
      <c r="AQ1067" s="56"/>
      <c r="AR1067" s="56"/>
      <c r="AS1067" s="56"/>
    </row>
    <row r="1068" spans="1:4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D1068" s="56"/>
      <c r="AE1068" s="56"/>
      <c r="AF1068" s="56"/>
      <c r="AG1068" s="56"/>
      <c r="AH1068" s="56"/>
      <c r="AI1068" s="56"/>
      <c r="AJ1068" s="56"/>
      <c r="AQ1068" s="56"/>
      <c r="AR1068" s="56"/>
      <c r="AS1068" s="56"/>
    </row>
    <row r="1069" spans="1:4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D1069" s="56"/>
      <c r="AE1069" s="56"/>
      <c r="AF1069" s="56"/>
      <c r="AG1069" s="56"/>
      <c r="AH1069" s="56"/>
      <c r="AI1069" s="56"/>
      <c r="AJ1069" s="56"/>
      <c r="AQ1069" s="56"/>
      <c r="AR1069" s="56"/>
      <c r="AS1069" s="56"/>
    </row>
    <row r="1070" spans="1:4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D1070" s="56"/>
      <c r="AE1070" s="56"/>
      <c r="AF1070" s="56"/>
      <c r="AG1070" s="56"/>
      <c r="AH1070" s="56"/>
      <c r="AI1070" s="56"/>
      <c r="AJ1070" s="56"/>
      <c r="AQ1070" s="56"/>
      <c r="AR1070" s="56"/>
      <c r="AS1070" s="56"/>
    </row>
    <row r="1071" spans="1:4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D1071" s="56"/>
      <c r="AE1071" s="56"/>
      <c r="AF1071" s="56"/>
      <c r="AG1071" s="56"/>
      <c r="AH1071" s="56"/>
      <c r="AI1071" s="56"/>
      <c r="AJ1071" s="56"/>
      <c r="AQ1071" s="56"/>
      <c r="AR1071" s="56"/>
      <c r="AS1071" s="56"/>
    </row>
    <row r="1072" spans="1:4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D1072" s="56"/>
      <c r="AE1072" s="56"/>
      <c r="AF1072" s="56"/>
      <c r="AG1072" s="56"/>
      <c r="AH1072" s="56"/>
      <c r="AI1072" s="56"/>
      <c r="AJ1072" s="56"/>
      <c r="AQ1072" s="56"/>
      <c r="AR1072" s="56"/>
      <c r="AS1072" s="56"/>
    </row>
    <row r="1073" spans="1:4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D1073" s="56"/>
      <c r="AE1073" s="56"/>
      <c r="AF1073" s="56"/>
      <c r="AG1073" s="56"/>
      <c r="AH1073" s="56"/>
      <c r="AI1073" s="56"/>
      <c r="AJ1073" s="56"/>
      <c r="AQ1073" s="56"/>
      <c r="AR1073" s="56"/>
      <c r="AS1073" s="56"/>
    </row>
    <row r="1074" spans="1:4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D1074" s="56"/>
      <c r="AE1074" s="56"/>
      <c r="AF1074" s="56"/>
      <c r="AG1074" s="56"/>
      <c r="AH1074" s="56"/>
      <c r="AI1074" s="56"/>
      <c r="AJ1074" s="56"/>
      <c r="AQ1074" s="56"/>
      <c r="AR1074" s="56"/>
      <c r="AS1074" s="56"/>
    </row>
    <row r="1075" spans="1:4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D1075" s="56"/>
      <c r="AE1075" s="56"/>
      <c r="AF1075" s="56"/>
      <c r="AG1075" s="56"/>
      <c r="AH1075" s="56"/>
      <c r="AI1075" s="56"/>
      <c r="AJ1075" s="56"/>
      <c r="AQ1075" s="56"/>
      <c r="AR1075" s="56"/>
      <c r="AS1075" s="56"/>
    </row>
    <row r="1076" spans="1:4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D1076" s="56"/>
      <c r="AE1076" s="56"/>
      <c r="AF1076" s="56"/>
      <c r="AG1076" s="56"/>
      <c r="AH1076" s="56"/>
      <c r="AI1076" s="56"/>
      <c r="AJ1076" s="56"/>
      <c r="AQ1076" s="56"/>
      <c r="AR1076" s="56"/>
      <c r="AS1076" s="56"/>
    </row>
    <row r="1077" spans="1:4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D1077" s="56"/>
      <c r="AE1077" s="56"/>
      <c r="AF1077" s="56"/>
      <c r="AG1077" s="56"/>
      <c r="AH1077" s="56"/>
      <c r="AI1077" s="56"/>
      <c r="AJ1077" s="56"/>
      <c r="AQ1077" s="56"/>
      <c r="AR1077" s="56"/>
      <c r="AS1077" s="56"/>
    </row>
    <row r="1078" spans="1:4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D1078" s="56"/>
      <c r="AE1078" s="56"/>
      <c r="AF1078" s="56"/>
      <c r="AG1078" s="56"/>
      <c r="AH1078" s="56"/>
      <c r="AI1078" s="56"/>
      <c r="AJ1078" s="56"/>
      <c r="AQ1078" s="56"/>
      <c r="AR1078" s="56"/>
      <c r="AS1078" s="56"/>
    </row>
    <row r="1079" spans="1:4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D1079" s="56"/>
      <c r="AE1079" s="56"/>
      <c r="AF1079" s="56"/>
      <c r="AG1079" s="56"/>
      <c r="AH1079" s="56"/>
      <c r="AI1079" s="56"/>
      <c r="AJ1079" s="56"/>
      <c r="AQ1079" s="56"/>
      <c r="AR1079" s="56"/>
      <c r="AS1079" s="56"/>
    </row>
    <row r="1080" spans="1:4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D1080" s="56"/>
      <c r="AE1080" s="56"/>
      <c r="AF1080" s="56"/>
      <c r="AG1080" s="56"/>
      <c r="AH1080" s="56"/>
      <c r="AI1080" s="56"/>
      <c r="AJ1080" s="56"/>
      <c r="AQ1080" s="56"/>
      <c r="AR1080" s="56"/>
      <c r="AS1080" s="56"/>
    </row>
    <row r="1081" spans="1:4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D1081" s="56"/>
      <c r="AE1081" s="56"/>
      <c r="AF1081" s="56"/>
      <c r="AG1081" s="56"/>
      <c r="AH1081" s="56"/>
      <c r="AI1081" s="56"/>
      <c r="AJ1081" s="56"/>
      <c r="AQ1081" s="56"/>
      <c r="AR1081" s="56"/>
      <c r="AS1081" s="56"/>
    </row>
    <row r="1082" spans="1:4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D1082" s="56"/>
      <c r="AE1082" s="56"/>
      <c r="AF1082" s="56"/>
      <c r="AG1082" s="56"/>
      <c r="AH1082" s="56"/>
      <c r="AI1082" s="56"/>
      <c r="AJ1082" s="56"/>
      <c r="AQ1082" s="56"/>
      <c r="AR1082" s="56"/>
      <c r="AS1082" s="56"/>
    </row>
    <row r="1083" spans="1:4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D1083" s="56"/>
      <c r="AE1083" s="56"/>
      <c r="AF1083" s="56"/>
      <c r="AG1083" s="56"/>
      <c r="AH1083" s="56"/>
      <c r="AI1083" s="56"/>
      <c r="AJ1083" s="56"/>
      <c r="AQ1083" s="56"/>
      <c r="AR1083" s="56"/>
      <c r="AS1083" s="56"/>
    </row>
    <row r="1084" spans="1:4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D1084" s="56"/>
      <c r="AE1084" s="56"/>
      <c r="AF1084" s="56"/>
      <c r="AG1084" s="56"/>
      <c r="AH1084" s="56"/>
      <c r="AI1084" s="56"/>
      <c r="AJ1084" s="56"/>
      <c r="AQ1084" s="56"/>
      <c r="AR1084" s="56"/>
      <c r="AS1084" s="56"/>
    </row>
    <row r="1085" spans="1:4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D1085" s="56"/>
      <c r="AE1085" s="56"/>
      <c r="AF1085" s="56"/>
      <c r="AG1085" s="56"/>
      <c r="AH1085" s="56"/>
      <c r="AI1085" s="56"/>
      <c r="AJ1085" s="56"/>
      <c r="AQ1085" s="56"/>
      <c r="AR1085" s="56"/>
      <c r="AS1085" s="56"/>
    </row>
    <row r="1086" spans="1:4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D1086" s="56"/>
      <c r="AE1086" s="56"/>
      <c r="AF1086" s="56"/>
      <c r="AG1086" s="56"/>
      <c r="AH1086" s="56"/>
      <c r="AI1086" s="56"/>
      <c r="AJ1086" s="56"/>
      <c r="AQ1086" s="56"/>
      <c r="AR1086" s="56"/>
      <c r="AS1086" s="56"/>
    </row>
    <row r="1087" spans="1:4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D1087" s="56"/>
      <c r="AE1087" s="56"/>
      <c r="AF1087" s="56"/>
      <c r="AG1087" s="56"/>
      <c r="AH1087" s="56"/>
      <c r="AI1087" s="56"/>
      <c r="AJ1087" s="56"/>
      <c r="AQ1087" s="56"/>
      <c r="AR1087" s="56"/>
      <c r="AS1087" s="56"/>
    </row>
    <row r="1088" spans="1:4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D1088" s="56"/>
      <c r="AE1088" s="56"/>
      <c r="AF1088" s="56"/>
      <c r="AG1088" s="56"/>
      <c r="AH1088" s="56"/>
      <c r="AI1088" s="56"/>
      <c r="AJ1088" s="56"/>
      <c r="AQ1088" s="56"/>
      <c r="AR1088" s="56"/>
      <c r="AS1088" s="56"/>
    </row>
    <row r="1089" spans="1:4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D1089" s="56"/>
      <c r="AE1089" s="56"/>
      <c r="AF1089" s="56"/>
      <c r="AG1089" s="56"/>
      <c r="AH1089" s="56"/>
      <c r="AI1089" s="56"/>
      <c r="AJ1089" s="56"/>
      <c r="AQ1089" s="56"/>
      <c r="AR1089" s="56"/>
      <c r="AS1089" s="56"/>
    </row>
    <row r="1090" spans="1:4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D1090" s="56"/>
      <c r="AE1090" s="56"/>
      <c r="AF1090" s="56"/>
      <c r="AG1090" s="56"/>
      <c r="AH1090" s="56"/>
      <c r="AI1090" s="56"/>
      <c r="AJ1090" s="56"/>
      <c r="AQ1090" s="56"/>
      <c r="AR1090" s="56"/>
      <c r="AS1090" s="56"/>
    </row>
    <row r="1091" spans="1:4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D1091" s="56"/>
      <c r="AE1091" s="56"/>
      <c r="AF1091" s="56"/>
      <c r="AG1091" s="56"/>
      <c r="AH1091" s="56"/>
      <c r="AI1091" s="56"/>
      <c r="AJ1091" s="56"/>
      <c r="AQ1091" s="56"/>
      <c r="AR1091" s="56"/>
      <c r="AS1091" s="56"/>
    </row>
    <row r="1092" spans="1:4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D1092" s="56"/>
      <c r="AE1092" s="56"/>
      <c r="AF1092" s="56"/>
      <c r="AG1092" s="56"/>
      <c r="AH1092" s="56"/>
      <c r="AI1092" s="56"/>
      <c r="AJ1092" s="56"/>
      <c r="AQ1092" s="56"/>
      <c r="AR1092" s="56"/>
      <c r="AS1092" s="56"/>
    </row>
    <row r="1093" spans="1:4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D1093" s="56"/>
      <c r="AE1093" s="56"/>
      <c r="AF1093" s="56"/>
      <c r="AG1093" s="56"/>
      <c r="AH1093" s="56"/>
      <c r="AI1093" s="56"/>
      <c r="AJ1093" s="56"/>
      <c r="AQ1093" s="56"/>
      <c r="AR1093" s="56"/>
      <c r="AS1093" s="56"/>
    </row>
    <row r="1094" spans="1:4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D1094" s="56"/>
      <c r="AE1094" s="56"/>
      <c r="AF1094" s="56"/>
      <c r="AG1094" s="56"/>
      <c r="AH1094" s="56"/>
      <c r="AI1094" s="56"/>
      <c r="AJ1094" s="56"/>
      <c r="AQ1094" s="56"/>
      <c r="AR1094" s="56"/>
      <c r="AS1094" s="56"/>
    </row>
    <row r="1095" spans="1:4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D1095" s="56"/>
      <c r="AE1095" s="56"/>
      <c r="AF1095" s="56"/>
      <c r="AG1095" s="56"/>
      <c r="AH1095" s="56"/>
      <c r="AI1095" s="56"/>
      <c r="AJ1095" s="56"/>
      <c r="AQ1095" s="56"/>
      <c r="AR1095" s="56"/>
      <c r="AS1095" s="56"/>
    </row>
    <row r="1096" spans="1:4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D1096" s="56"/>
      <c r="AE1096" s="56"/>
      <c r="AF1096" s="56"/>
      <c r="AG1096" s="56"/>
      <c r="AH1096" s="56"/>
      <c r="AI1096" s="56"/>
      <c r="AJ1096" s="56"/>
      <c r="AQ1096" s="56"/>
      <c r="AR1096" s="56"/>
      <c r="AS1096" s="56"/>
    </row>
    <row r="1097" spans="1:4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D1097" s="56"/>
      <c r="AE1097" s="56"/>
      <c r="AF1097" s="56"/>
      <c r="AG1097" s="56"/>
      <c r="AH1097" s="56"/>
      <c r="AI1097" s="56"/>
      <c r="AJ1097" s="56"/>
      <c r="AQ1097" s="56"/>
      <c r="AR1097" s="56"/>
      <c r="AS1097" s="56"/>
    </row>
    <row r="1098" spans="1:4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D1098" s="56"/>
      <c r="AE1098" s="56"/>
      <c r="AF1098" s="56"/>
      <c r="AG1098" s="56"/>
      <c r="AH1098" s="56"/>
      <c r="AI1098" s="56"/>
      <c r="AJ1098" s="56"/>
      <c r="AQ1098" s="56"/>
      <c r="AR1098" s="56"/>
      <c r="AS1098" s="56"/>
    </row>
    <row r="1099" spans="1:4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D1099" s="56"/>
      <c r="AE1099" s="56"/>
      <c r="AF1099" s="56"/>
      <c r="AG1099" s="56"/>
      <c r="AH1099" s="56"/>
      <c r="AI1099" s="56"/>
      <c r="AJ1099" s="56"/>
      <c r="AQ1099" s="56"/>
      <c r="AR1099" s="56"/>
      <c r="AS1099" s="56"/>
    </row>
    <row r="1100" spans="1:4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D1100" s="56"/>
      <c r="AE1100" s="56"/>
      <c r="AF1100" s="56"/>
      <c r="AG1100" s="56"/>
      <c r="AH1100" s="56"/>
      <c r="AI1100" s="56"/>
      <c r="AJ1100" s="56"/>
      <c r="AQ1100" s="56"/>
      <c r="AR1100" s="56"/>
      <c r="AS1100" s="56"/>
    </row>
    <row r="1101" spans="1:4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D1101" s="56"/>
      <c r="AE1101" s="56"/>
      <c r="AF1101" s="56"/>
      <c r="AG1101" s="56"/>
      <c r="AH1101" s="56"/>
      <c r="AI1101" s="56"/>
      <c r="AJ1101" s="56"/>
      <c r="AQ1101" s="56"/>
      <c r="AR1101" s="56"/>
      <c r="AS1101" s="56"/>
    </row>
    <row r="1102" spans="1:4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D1102" s="56"/>
      <c r="AE1102" s="56"/>
      <c r="AF1102" s="56"/>
      <c r="AG1102" s="56"/>
      <c r="AH1102" s="56"/>
      <c r="AI1102" s="56"/>
      <c r="AJ1102" s="56"/>
      <c r="AQ1102" s="56"/>
      <c r="AR1102" s="56"/>
      <c r="AS1102" s="56"/>
    </row>
    <row r="1103" spans="1:4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D1103" s="56"/>
      <c r="AE1103" s="56"/>
      <c r="AF1103" s="56"/>
      <c r="AG1103" s="56"/>
      <c r="AH1103" s="56"/>
      <c r="AI1103" s="56"/>
      <c r="AJ1103" s="56"/>
      <c r="AQ1103" s="56"/>
      <c r="AR1103" s="56"/>
      <c r="AS1103" s="56"/>
    </row>
    <row r="1104" spans="1:4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D1104" s="56"/>
      <c r="AE1104" s="56"/>
      <c r="AF1104" s="56"/>
      <c r="AG1104" s="56"/>
      <c r="AH1104" s="56"/>
      <c r="AI1104" s="56"/>
      <c r="AJ1104" s="56"/>
      <c r="AQ1104" s="56"/>
      <c r="AR1104" s="56"/>
      <c r="AS1104" s="56"/>
    </row>
    <row r="1105" spans="1:4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D1105" s="56"/>
      <c r="AE1105" s="56"/>
      <c r="AF1105" s="56"/>
      <c r="AG1105" s="56"/>
      <c r="AH1105" s="56"/>
      <c r="AI1105" s="56"/>
      <c r="AJ1105" s="56"/>
      <c r="AQ1105" s="56"/>
      <c r="AR1105" s="56"/>
      <c r="AS1105" s="56"/>
    </row>
    <row r="1106" spans="1:4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D1106" s="56"/>
      <c r="AE1106" s="56"/>
      <c r="AF1106" s="56"/>
      <c r="AG1106" s="56"/>
      <c r="AH1106" s="56"/>
      <c r="AI1106" s="56"/>
      <c r="AJ1106" s="56"/>
      <c r="AQ1106" s="56"/>
      <c r="AR1106" s="56"/>
      <c r="AS1106" s="56"/>
    </row>
    <row r="1107" spans="1:4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D1107" s="56"/>
      <c r="AE1107" s="56"/>
      <c r="AF1107" s="56"/>
      <c r="AG1107" s="56"/>
      <c r="AH1107" s="56"/>
      <c r="AI1107" s="56"/>
      <c r="AJ1107" s="56"/>
      <c r="AQ1107" s="56"/>
      <c r="AR1107" s="56"/>
      <c r="AS1107" s="56"/>
    </row>
    <row r="1108" spans="1:4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D1108" s="56"/>
      <c r="AE1108" s="56"/>
      <c r="AF1108" s="56"/>
      <c r="AG1108" s="56"/>
      <c r="AH1108" s="56"/>
      <c r="AI1108" s="56"/>
      <c r="AJ1108" s="56"/>
      <c r="AQ1108" s="56"/>
      <c r="AR1108" s="56"/>
      <c r="AS1108" s="56"/>
    </row>
    <row r="1109" spans="1:4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D1109" s="56"/>
      <c r="AE1109" s="56"/>
      <c r="AF1109" s="56"/>
      <c r="AG1109" s="56"/>
      <c r="AH1109" s="56"/>
      <c r="AI1109" s="56"/>
      <c r="AJ1109" s="56"/>
      <c r="AQ1109" s="56"/>
      <c r="AR1109" s="56"/>
      <c r="AS1109" s="56"/>
    </row>
    <row r="1110" spans="1:4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D1110" s="56"/>
      <c r="AE1110" s="56"/>
      <c r="AF1110" s="56"/>
      <c r="AG1110" s="56"/>
      <c r="AH1110" s="56"/>
      <c r="AI1110" s="56"/>
      <c r="AJ1110" s="56"/>
      <c r="AQ1110" s="56"/>
      <c r="AR1110" s="56"/>
      <c r="AS1110" s="56"/>
    </row>
    <row r="1111" spans="1:4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D1111" s="56"/>
      <c r="AE1111" s="56"/>
      <c r="AF1111" s="56"/>
      <c r="AG1111" s="56"/>
      <c r="AH1111" s="56"/>
      <c r="AI1111" s="56"/>
      <c r="AJ1111" s="56"/>
      <c r="AQ1111" s="56"/>
      <c r="AR1111" s="56"/>
      <c r="AS1111" s="56"/>
    </row>
    <row r="1112" spans="1:4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D1112" s="56"/>
      <c r="AE1112" s="56"/>
      <c r="AF1112" s="56"/>
      <c r="AG1112" s="56"/>
      <c r="AH1112" s="56"/>
      <c r="AI1112" s="56"/>
      <c r="AJ1112" s="56"/>
      <c r="AQ1112" s="56"/>
      <c r="AR1112" s="56"/>
      <c r="AS1112" s="56"/>
    </row>
    <row r="1113" spans="1:4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D1113" s="56"/>
      <c r="AE1113" s="56"/>
      <c r="AF1113" s="56"/>
      <c r="AG1113" s="56"/>
      <c r="AH1113" s="56"/>
      <c r="AI1113" s="56"/>
      <c r="AJ1113" s="56"/>
      <c r="AQ1113" s="56"/>
      <c r="AR1113" s="56"/>
      <c r="AS1113" s="56"/>
    </row>
    <row r="1114" spans="1:4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D1114" s="56"/>
      <c r="AE1114" s="56"/>
      <c r="AF1114" s="56"/>
      <c r="AG1114" s="56"/>
      <c r="AH1114" s="56"/>
      <c r="AI1114" s="56"/>
      <c r="AJ1114" s="56"/>
      <c r="AQ1114" s="56"/>
      <c r="AR1114" s="56"/>
      <c r="AS1114" s="56"/>
    </row>
    <row r="1115" spans="1:4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D1115" s="56"/>
      <c r="AE1115" s="56"/>
      <c r="AF1115" s="56"/>
      <c r="AG1115" s="56"/>
      <c r="AH1115" s="56"/>
      <c r="AI1115" s="56"/>
      <c r="AJ1115" s="56"/>
      <c r="AQ1115" s="56"/>
      <c r="AR1115" s="56"/>
      <c r="AS1115" s="56"/>
    </row>
    <row r="1116" spans="1:4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D1116" s="56"/>
      <c r="AE1116" s="56"/>
      <c r="AF1116" s="56"/>
      <c r="AG1116" s="56"/>
      <c r="AH1116" s="56"/>
      <c r="AI1116" s="56"/>
      <c r="AJ1116" s="56"/>
      <c r="AQ1116" s="56"/>
      <c r="AR1116" s="56"/>
      <c r="AS1116" s="56"/>
    </row>
    <row r="1117" spans="1:4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D1117" s="56"/>
      <c r="AE1117" s="56"/>
      <c r="AF1117" s="56"/>
      <c r="AG1117" s="56"/>
      <c r="AH1117" s="56"/>
      <c r="AI1117" s="56"/>
      <c r="AJ1117" s="56"/>
      <c r="AQ1117" s="56"/>
      <c r="AR1117" s="56"/>
      <c r="AS1117" s="56"/>
    </row>
    <row r="1118" spans="1:4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D1118" s="56"/>
      <c r="AE1118" s="56"/>
      <c r="AF1118" s="56"/>
      <c r="AG1118" s="56"/>
      <c r="AH1118" s="56"/>
      <c r="AI1118" s="56"/>
      <c r="AJ1118" s="56"/>
      <c r="AQ1118" s="56"/>
      <c r="AR1118" s="56"/>
      <c r="AS1118" s="56"/>
    </row>
    <row r="1119" spans="1:4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D1119" s="56"/>
      <c r="AE1119" s="56"/>
      <c r="AF1119" s="56"/>
      <c r="AG1119" s="56"/>
      <c r="AH1119" s="56"/>
      <c r="AI1119" s="56"/>
      <c r="AJ1119" s="56"/>
      <c r="AQ1119" s="56"/>
      <c r="AR1119" s="56"/>
      <c r="AS1119" s="56"/>
    </row>
    <row r="1120" spans="1:4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D1120" s="56"/>
      <c r="AE1120" s="56"/>
      <c r="AF1120" s="56"/>
      <c r="AG1120" s="56"/>
      <c r="AH1120" s="56"/>
      <c r="AI1120" s="56"/>
      <c r="AJ1120" s="56"/>
      <c r="AQ1120" s="56"/>
      <c r="AR1120" s="56"/>
      <c r="AS1120" s="56"/>
    </row>
    <row r="1121" spans="1:4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D1121" s="56"/>
      <c r="AE1121" s="56"/>
      <c r="AF1121" s="56"/>
      <c r="AG1121" s="56"/>
      <c r="AH1121" s="56"/>
      <c r="AI1121" s="56"/>
      <c r="AJ1121" s="56"/>
      <c r="AQ1121" s="56"/>
      <c r="AR1121" s="56"/>
      <c r="AS1121" s="56"/>
    </row>
    <row r="1122" spans="1:4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D1122" s="56"/>
      <c r="AE1122" s="56"/>
      <c r="AF1122" s="56"/>
      <c r="AG1122" s="56"/>
      <c r="AH1122" s="56"/>
      <c r="AI1122" s="56"/>
      <c r="AJ1122" s="56"/>
      <c r="AQ1122" s="56"/>
      <c r="AR1122" s="56"/>
      <c r="AS1122" s="56"/>
    </row>
    <row r="1123" spans="1:4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D1123" s="56"/>
      <c r="AE1123" s="56"/>
      <c r="AF1123" s="56"/>
      <c r="AG1123" s="56"/>
      <c r="AH1123" s="56"/>
      <c r="AI1123" s="56"/>
      <c r="AJ1123" s="56"/>
      <c r="AQ1123" s="56"/>
      <c r="AR1123" s="56"/>
      <c r="AS1123" s="56"/>
    </row>
    <row r="1124" spans="1:4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D1124" s="56"/>
      <c r="AE1124" s="56"/>
      <c r="AF1124" s="56"/>
      <c r="AG1124" s="56"/>
      <c r="AH1124" s="56"/>
      <c r="AI1124" s="56"/>
      <c r="AJ1124" s="56"/>
      <c r="AQ1124" s="56"/>
      <c r="AR1124" s="56"/>
      <c r="AS1124" s="56"/>
    </row>
    <row r="1125" spans="1:4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D1125" s="56"/>
      <c r="AE1125" s="56"/>
      <c r="AF1125" s="56"/>
      <c r="AG1125" s="56"/>
      <c r="AH1125" s="56"/>
      <c r="AI1125" s="56"/>
      <c r="AJ1125" s="56"/>
      <c r="AQ1125" s="56"/>
      <c r="AR1125" s="56"/>
      <c r="AS1125" s="56"/>
    </row>
    <row r="1126" spans="1:4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D1126" s="56"/>
      <c r="AE1126" s="56"/>
      <c r="AF1126" s="56"/>
      <c r="AG1126" s="56"/>
      <c r="AH1126" s="56"/>
      <c r="AI1126" s="56"/>
      <c r="AJ1126" s="56"/>
      <c r="AQ1126" s="56"/>
      <c r="AR1126" s="56"/>
      <c r="AS1126" s="56"/>
    </row>
    <row r="1127" spans="1:4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D1127" s="56"/>
      <c r="AE1127" s="56"/>
      <c r="AF1127" s="56"/>
      <c r="AG1127" s="56"/>
      <c r="AH1127" s="56"/>
      <c r="AI1127" s="56"/>
      <c r="AJ1127" s="56"/>
      <c r="AQ1127" s="56"/>
      <c r="AR1127" s="56"/>
      <c r="AS1127" s="56"/>
    </row>
    <row r="1128" spans="1:4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D1128" s="56"/>
      <c r="AE1128" s="56"/>
      <c r="AF1128" s="56"/>
      <c r="AG1128" s="56"/>
      <c r="AH1128" s="56"/>
      <c r="AI1128" s="56"/>
      <c r="AJ1128" s="56"/>
      <c r="AQ1128" s="56"/>
      <c r="AR1128" s="56"/>
      <c r="AS1128" s="56"/>
    </row>
    <row r="1129" spans="1:4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D1129" s="56"/>
      <c r="AE1129" s="56"/>
      <c r="AF1129" s="56"/>
      <c r="AG1129" s="56"/>
      <c r="AH1129" s="56"/>
      <c r="AI1129" s="56"/>
      <c r="AJ1129" s="56"/>
      <c r="AQ1129" s="56"/>
      <c r="AR1129" s="56"/>
      <c r="AS1129" s="56"/>
    </row>
    <row r="1130" spans="1:4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D1130" s="56"/>
      <c r="AE1130" s="56"/>
      <c r="AF1130" s="56"/>
      <c r="AG1130" s="56"/>
      <c r="AH1130" s="56"/>
      <c r="AI1130" s="56"/>
      <c r="AJ1130" s="56"/>
      <c r="AQ1130" s="56"/>
      <c r="AR1130" s="56"/>
      <c r="AS1130" s="56"/>
    </row>
    <row r="1131" spans="1:4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D1131" s="56"/>
      <c r="AE1131" s="56"/>
      <c r="AF1131" s="56"/>
      <c r="AG1131" s="56"/>
      <c r="AH1131" s="56"/>
      <c r="AI1131" s="56"/>
      <c r="AJ1131" s="56"/>
      <c r="AQ1131" s="56"/>
      <c r="AR1131" s="56"/>
      <c r="AS1131" s="56"/>
    </row>
    <row r="1132" spans="1:4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D1132" s="56"/>
      <c r="AE1132" s="56"/>
      <c r="AF1132" s="56"/>
      <c r="AG1132" s="56"/>
      <c r="AH1132" s="56"/>
      <c r="AI1132" s="56"/>
      <c r="AJ1132" s="56"/>
      <c r="AQ1132" s="56"/>
      <c r="AR1132" s="56"/>
      <c r="AS1132" s="56"/>
    </row>
    <row r="1133" spans="1:4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D1133" s="56"/>
      <c r="AE1133" s="56"/>
      <c r="AF1133" s="56"/>
      <c r="AG1133" s="56"/>
      <c r="AH1133" s="56"/>
      <c r="AI1133" s="56"/>
      <c r="AJ1133" s="56"/>
      <c r="AQ1133" s="56"/>
      <c r="AR1133" s="56"/>
      <c r="AS1133" s="56"/>
    </row>
    <row r="1134" spans="1:4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D1134" s="56"/>
      <c r="AE1134" s="56"/>
      <c r="AF1134" s="56"/>
      <c r="AG1134" s="56"/>
      <c r="AH1134" s="56"/>
      <c r="AI1134" s="56"/>
      <c r="AJ1134" s="56"/>
      <c r="AQ1134" s="56"/>
      <c r="AR1134" s="56"/>
      <c r="AS1134" s="56"/>
    </row>
    <row r="1135" spans="1:4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D1135" s="56"/>
      <c r="AE1135" s="56"/>
      <c r="AF1135" s="56"/>
      <c r="AG1135" s="56"/>
      <c r="AH1135" s="56"/>
      <c r="AI1135" s="56"/>
      <c r="AJ1135" s="56"/>
      <c r="AQ1135" s="56"/>
      <c r="AR1135" s="56"/>
      <c r="AS1135" s="56"/>
    </row>
    <row r="1136" spans="1:4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D1136" s="56"/>
      <c r="AE1136" s="56"/>
      <c r="AF1136" s="56"/>
      <c r="AG1136" s="56"/>
      <c r="AH1136" s="56"/>
      <c r="AI1136" s="56"/>
      <c r="AJ1136" s="56"/>
      <c r="AQ1136" s="56"/>
      <c r="AR1136" s="56"/>
      <c r="AS1136" s="56"/>
    </row>
    <row r="1137" spans="1:4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D1137" s="56"/>
      <c r="AE1137" s="56"/>
      <c r="AF1137" s="56"/>
      <c r="AG1137" s="56"/>
      <c r="AH1137" s="56"/>
      <c r="AI1137" s="56"/>
      <c r="AJ1137" s="56"/>
      <c r="AQ1137" s="56"/>
      <c r="AR1137" s="56"/>
      <c r="AS1137" s="56"/>
    </row>
    <row r="1138" spans="1:4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D1138" s="56"/>
      <c r="AE1138" s="56"/>
      <c r="AF1138" s="56"/>
      <c r="AG1138" s="56"/>
      <c r="AH1138" s="56"/>
      <c r="AI1138" s="56"/>
      <c r="AJ1138" s="56"/>
      <c r="AQ1138" s="56"/>
      <c r="AR1138" s="56"/>
      <c r="AS1138" s="56"/>
    </row>
    <row r="1139" spans="1:4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D1139" s="56"/>
      <c r="AE1139" s="56"/>
      <c r="AF1139" s="56"/>
      <c r="AG1139" s="56"/>
      <c r="AH1139" s="56"/>
      <c r="AI1139" s="56"/>
      <c r="AJ1139" s="56"/>
      <c r="AQ1139" s="56"/>
      <c r="AR1139" s="56"/>
      <c r="AS1139" s="56"/>
    </row>
    <row r="1140" spans="1:4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D1140" s="56"/>
      <c r="AE1140" s="56"/>
      <c r="AF1140" s="56"/>
      <c r="AG1140" s="56"/>
      <c r="AH1140" s="56"/>
      <c r="AI1140" s="56"/>
      <c r="AJ1140" s="56"/>
      <c r="AQ1140" s="56"/>
      <c r="AR1140" s="56"/>
      <c r="AS1140" s="56"/>
    </row>
    <row r="1141" spans="1:4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D1141" s="56"/>
      <c r="AE1141" s="56"/>
      <c r="AF1141" s="56"/>
      <c r="AG1141" s="56"/>
      <c r="AH1141" s="56"/>
      <c r="AI1141" s="56"/>
      <c r="AJ1141" s="56"/>
      <c r="AQ1141" s="56"/>
      <c r="AR1141" s="56"/>
      <c r="AS1141" s="56"/>
    </row>
    <row r="1142" spans="1:4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D1142" s="56"/>
      <c r="AE1142" s="56"/>
      <c r="AF1142" s="56"/>
      <c r="AG1142" s="56"/>
      <c r="AH1142" s="56"/>
      <c r="AI1142" s="56"/>
      <c r="AJ1142" s="56"/>
      <c r="AQ1142" s="56"/>
      <c r="AR1142" s="56"/>
      <c r="AS1142" s="56"/>
    </row>
    <row r="1143" spans="1:4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D1143" s="56"/>
      <c r="AE1143" s="56"/>
      <c r="AF1143" s="56"/>
      <c r="AG1143" s="56"/>
      <c r="AH1143" s="56"/>
      <c r="AI1143" s="56"/>
      <c r="AJ1143" s="56"/>
      <c r="AQ1143" s="56"/>
      <c r="AR1143" s="56"/>
      <c r="AS1143" s="56"/>
    </row>
    <row r="1144" spans="1:4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D1144" s="56"/>
      <c r="AE1144" s="56"/>
      <c r="AF1144" s="56"/>
      <c r="AG1144" s="56"/>
      <c r="AH1144" s="56"/>
      <c r="AI1144" s="56"/>
      <c r="AJ1144" s="56"/>
      <c r="AQ1144" s="56"/>
      <c r="AR1144" s="56"/>
      <c r="AS1144" s="56"/>
    </row>
    <row r="1145" spans="1:4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D1145" s="56"/>
      <c r="AE1145" s="56"/>
      <c r="AF1145" s="56"/>
      <c r="AG1145" s="56"/>
      <c r="AH1145" s="56"/>
      <c r="AI1145" s="56"/>
      <c r="AJ1145" s="56"/>
      <c r="AQ1145" s="56"/>
      <c r="AR1145" s="56"/>
      <c r="AS1145" s="56"/>
    </row>
    <row r="1146" spans="1:4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D1146" s="56"/>
      <c r="AE1146" s="56"/>
      <c r="AF1146" s="56"/>
      <c r="AG1146" s="56"/>
      <c r="AH1146" s="56"/>
      <c r="AI1146" s="56"/>
      <c r="AJ1146" s="56"/>
      <c r="AQ1146" s="56"/>
      <c r="AR1146" s="56"/>
      <c r="AS1146" s="56"/>
    </row>
    <row r="1147" spans="1:4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D1147" s="56"/>
      <c r="AE1147" s="56"/>
      <c r="AF1147" s="56"/>
      <c r="AG1147" s="56"/>
      <c r="AH1147" s="56"/>
      <c r="AI1147" s="56"/>
      <c r="AJ1147" s="56"/>
      <c r="AQ1147" s="56"/>
      <c r="AR1147" s="56"/>
      <c r="AS1147" s="56"/>
    </row>
    <row r="1148" spans="1:4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D1148" s="56"/>
      <c r="AE1148" s="56"/>
      <c r="AF1148" s="56"/>
      <c r="AG1148" s="56"/>
      <c r="AH1148" s="56"/>
      <c r="AI1148" s="56"/>
      <c r="AJ1148" s="56"/>
      <c r="AQ1148" s="56"/>
      <c r="AR1148" s="56"/>
      <c r="AS1148" s="56"/>
    </row>
    <row r="1149" spans="1:4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D1149" s="56"/>
      <c r="AE1149" s="56"/>
      <c r="AF1149" s="56"/>
      <c r="AG1149" s="56"/>
      <c r="AH1149" s="56"/>
      <c r="AI1149" s="56"/>
      <c r="AJ1149" s="56"/>
      <c r="AQ1149" s="56"/>
      <c r="AR1149" s="56"/>
      <c r="AS1149" s="56"/>
    </row>
    <row r="1150" spans="1:4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D1150" s="56"/>
      <c r="AE1150" s="56"/>
      <c r="AF1150" s="56"/>
      <c r="AG1150" s="56"/>
      <c r="AH1150" s="56"/>
      <c r="AI1150" s="56"/>
      <c r="AJ1150" s="56"/>
      <c r="AQ1150" s="56"/>
      <c r="AR1150" s="56"/>
      <c r="AS1150" s="56"/>
    </row>
    <row r="1151" spans="1:4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D1151" s="56"/>
      <c r="AE1151" s="56"/>
      <c r="AF1151" s="56"/>
      <c r="AG1151" s="56"/>
      <c r="AH1151" s="56"/>
      <c r="AI1151" s="56"/>
      <c r="AJ1151" s="56"/>
      <c r="AQ1151" s="56"/>
      <c r="AR1151" s="56"/>
      <c r="AS1151" s="56"/>
    </row>
    <row r="1152" spans="1:4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D1152" s="56"/>
      <c r="AE1152" s="56"/>
      <c r="AF1152" s="56"/>
      <c r="AG1152" s="56"/>
      <c r="AH1152" s="56"/>
      <c r="AI1152" s="56"/>
      <c r="AJ1152" s="56"/>
      <c r="AQ1152" s="56"/>
      <c r="AR1152" s="56"/>
      <c r="AS1152" s="56"/>
    </row>
    <row r="1153" spans="3:4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D1153" s="56"/>
      <c r="AE1153" s="56"/>
      <c r="AF1153" s="56"/>
      <c r="AG1153" s="56"/>
      <c r="AH1153" s="56"/>
      <c r="AI1153" s="56"/>
      <c r="AJ1153" s="56"/>
      <c r="AQ1153" s="56"/>
      <c r="AR1153" s="56"/>
      <c r="AS1153" s="56"/>
    </row>
    <row r="1154" spans="3:4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D1154" s="56"/>
      <c r="AE1154" s="56"/>
      <c r="AF1154" s="56"/>
      <c r="AG1154" s="56"/>
      <c r="AH1154" s="56"/>
      <c r="AI1154" s="56"/>
      <c r="AJ1154" s="56"/>
      <c r="AQ1154" s="56"/>
      <c r="AR1154" s="56"/>
      <c r="AS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topLeftCell="A1122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83"/>
      <c r="C1" s="70" t="s">
        <v>1483</v>
      </c>
      <c r="D1" s="2"/>
      <c r="J1" s="74" t="s">
        <v>448</v>
      </c>
      <c r="K1" s="75"/>
      <c r="L1" s="75"/>
      <c r="M1" s="82" t="s">
        <v>447</v>
      </c>
    </row>
    <row r="2" spans="1:13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107</v>
      </c>
      <c r="K3" s="50"/>
      <c r="L3" s="51"/>
    </row>
    <row r="4" spans="1:13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10" t="s">
        <v>1482</v>
      </c>
      <c r="K4" s="11" t="s">
        <v>1481</v>
      </c>
      <c r="L4" s="12" t="s">
        <v>1480</v>
      </c>
    </row>
    <row r="5" spans="1:13" x14ac:dyDescent="0.25">
      <c r="A5" s="14"/>
      <c r="C5" s="1" t="s">
        <v>391</v>
      </c>
    </row>
    <row r="6" spans="1:13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248</v>
      </c>
      <c r="K6" s="25" t="s">
        <v>260</v>
      </c>
      <c r="L6" s="25" t="s">
        <v>1486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selection activeCell="D18" sqref="D18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83"/>
      <c r="C1" s="70" t="s">
        <v>1484</v>
      </c>
      <c r="D1" s="2"/>
      <c r="J1" s="74" t="s">
        <v>448</v>
      </c>
      <c r="K1" s="75"/>
      <c r="L1" s="75"/>
      <c r="M1" s="81" t="s">
        <v>447</v>
      </c>
    </row>
    <row r="2" spans="1:13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107</v>
      </c>
      <c r="K3" s="50"/>
      <c r="L3" s="51"/>
    </row>
    <row r="4" spans="1:13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10" t="s">
        <v>1482</v>
      </c>
      <c r="K4" s="11" t="s">
        <v>1481</v>
      </c>
      <c r="L4" s="12" t="s">
        <v>1480</v>
      </c>
    </row>
    <row r="5" spans="1:13" x14ac:dyDescent="0.25">
      <c r="A5" s="14"/>
      <c r="C5" s="1" t="s">
        <v>391</v>
      </c>
    </row>
    <row r="6" spans="1:13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249</v>
      </c>
      <c r="K6" s="25" t="s">
        <v>261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I1154"/>
  <sheetViews>
    <sheetView showGridLines="0" zoomScale="85" zoomScaleNormal="85" workbookViewId="0">
      <selection activeCell="I4" sqref="I4:I6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style="56" customWidth="1"/>
    <col min="54" max="54" width="12.42578125" style="56" customWidth="1"/>
    <col min="55" max="55" width="12.5703125" style="56" customWidth="1"/>
    <col min="56" max="56" width="12.140625" style="56" customWidth="1"/>
    <col min="57" max="71" width="13" style="56" customWidth="1"/>
    <col min="72" max="76" width="11.5703125" style="56" customWidth="1"/>
    <col min="77" max="87" width="13" style="56" customWidth="1"/>
    <col min="88" max="16384" width="9.140625" style="56"/>
  </cols>
  <sheetData>
    <row r="1" spans="1:87" s="1" customFormat="1" ht="23.25" x14ac:dyDescent="0.35">
      <c r="A1" s="83"/>
      <c r="C1" s="70" t="s">
        <v>1388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4" t="s">
        <v>448</v>
      </c>
      <c r="AU1" s="75"/>
      <c r="AV1" s="75"/>
      <c r="AW1" s="75"/>
      <c r="AX1" s="75"/>
      <c r="AY1" s="75"/>
      <c r="AZ1" s="74" t="s">
        <v>447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</row>
    <row r="2" spans="1:87" s="2" customFormat="1" x14ac:dyDescent="0.25">
      <c r="A2" s="83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SUBTOTAL(109,otherpitc_T[hts_tst_otherpitc_u1_unk_pos])</f>
        <v>0</v>
      </c>
      <c r="BA5" s="47">
        <f>SUBTOTAL(109,otherpitc_T[hts_tst_otherpitc_0109_unk_pos])</f>
        <v>0</v>
      </c>
      <c r="BB5" s="47">
        <f>SUBTOTAL(109,otherpitc_T[hts_tst_otherpitc_1014_f_pos])</f>
        <v>0</v>
      </c>
      <c r="BC5" s="47">
        <f>SUBTOTAL(109,otherpitc_T[hts_tst_otherpitc_1014_m_pos])</f>
        <v>0</v>
      </c>
      <c r="BD5" s="47">
        <f>SUBTOTAL(109,otherpitc_T[hts_tst_otherpitc_u1_unk_neg])</f>
        <v>0</v>
      </c>
      <c r="BE5" s="47">
        <f>SUBTOTAL(109,otherpitc_T[hts_tst_otherpitc_0109_unk_neg])</f>
        <v>0</v>
      </c>
      <c r="BF5" s="47">
        <f>SUBTOTAL(109,otherpitc_T[hts_tst_otherpitc_1014_f_neg])</f>
        <v>0</v>
      </c>
      <c r="BG5" s="47">
        <f>SUBTOTAL(109,otherpitc_T[hts_tst_otherpitc_1014_m_neg])</f>
        <v>0</v>
      </c>
      <c r="BH5" s="47">
        <f>SUBTOTAL(109,otherpitc_T[hts_tst_otherpitc_1519_f_pos])</f>
        <v>0</v>
      </c>
      <c r="BI5" s="47">
        <f>SUBTOTAL(109,otherpitc_T[hts_tst_otherpitc_1519_m_pos])</f>
        <v>0</v>
      </c>
      <c r="BJ5" s="47">
        <f>SUBTOTAL(109,otherpitc_T[hts_tst_otherpitc_2024_f_pos])</f>
        <v>0</v>
      </c>
      <c r="BK5" s="47">
        <f>SUBTOTAL(109,otherpitc_T[hts_tst_otherpitc_2024_m_pos])</f>
        <v>0</v>
      </c>
      <c r="BL5" s="47">
        <f>SUBTOTAL(109,otherpitc_T[hts_tst_otherpitc_2529_f_pos])</f>
        <v>0</v>
      </c>
      <c r="BM5" s="47">
        <f>SUBTOTAL(109,otherpitc_T[hts_tst_otherpitc_2529_m_pos])</f>
        <v>0</v>
      </c>
      <c r="BN5" s="47">
        <f>SUBTOTAL(109,otherpitc_T[hts_tst_otherpitc_3034_f_pos])</f>
        <v>0</v>
      </c>
      <c r="BO5" s="47">
        <f>SUBTOTAL(109,otherpitc_T[hts_tst_otherpitc_3034_m_pos])</f>
        <v>0</v>
      </c>
      <c r="BP5" s="47">
        <f>SUBTOTAL(109,otherpitc_T[hts_tst_otherpitc_3539_f_pos])</f>
        <v>0</v>
      </c>
      <c r="BQ5" s="47">
        <f>SUBTOTAL(109,otherpitc_T[hts_tst_otherpitc_3539_m_pos])</f>
        <v>0</v>
      </c>
      <c r="BR5" s="47">
        <f>SUBTOTAL(109,otherpitc_T[hts_tst_otherpitc_4049_f_pos])</f>
        <v>0</v>
      </c>
      <c r="BS5" s="47">
        <f>SUBTOTAL(109,otherpitc_T[hts_tst_otherpitc_4049_m_pos])</f>
        <v>0</v>
      </c>
      <c r="BT5" s="47">
        <f>SUBTOTAL(109,otherpitc_T[hts_tst_otherpitc_o50_f_pos])</f>
        <v>0</v>
      </c>
      <c r="BU5" s="47">
        <f>SUBTOTAL(109,otherpitc_T[hts_tst_otherpitc_o50_m_pos])</f>
        <v>0</v>
      </c>
      <c r="BV5" s="47">
        <f>SUBTOTAL(109,otherpitc_T[hts_tst_otherpitc_1519_f_neg])</f>
        <v>0</v>
      </c>
      <c r="BW5" s="47">
        <f>SUBTOTAL(109,otherpitc_T[hts_tst_otherpitc_1519_m_neg])</f>
        <v>0</v>
      </c>
      <c r="BX5" s="47">
        <f>SUBTOTAL(109,otherpitc_T[hts_tst_otherpitc_2024_f_neg])</f>
        <v>0</v>
      </c>
      <c r="BY5" s="47">
        <f>SUBTOTAL(109,otherpitc_T[hts_tst_otherpitc_2024_m_neg])</f>
        <v>0</v>
      </c>
      <c r="BZ5" s="47">
        <f>SUBTOTAL(109,otherpitc_T[hts_tst_otherpitc_2529_f_neg])</f>
        <v>0</v>
      </c>
      <c r="CA5" s="47">
        <f>SUBTOTAL(109,otherpitc_T[hts_tst_otherpitc_2529_m_neg])</f>
        <v>0</v>
      </c>
      <c r="CB5" s="47">
        <f>SUBTOTAL(109,otherpitc_T[hts_tst_otherpitc_3034_f_neg])</f>
        <v>0</v>
      </c>
      <c r="CC5" s="47">
        <f>SUBTOTAL(109,otherpitc_T[hts_tst_otherpitc_3034_m_neg])</f>
        <v>0</v>
      </c>
      <c r="CD5" s="47">
        <f>SUBTOTAL(109,otherpitc_T[hts_tst_otherpitc_3539_f_neg])</f>
        <v>0</v>
      </c>
      <c r="CE5" s="47">
        <f>SUBTOTAL(109,otherpitc_T[hts_tst_otherpitc_3539_m_neg])</f>
        <v>0</v>
      </c>
      <c r="CF5" s="47">
        <f>SUBTOTAL(109,otherpitc_T[hts_tst_otherpitc_4049_f_neg])</f>
        <v>0</v>
      </c>
      <c r="CG5" s="47">
        <f>SUBTOTAL(109,otherpitc_T[hts_tst_otherpitc_4049_m_neg])</f>
        <v>0</v>
      </c>
      <c r="CH5" s="47">
        <f>SUBTOTAL(109,otherpitc_T[hts_tst_otherpitc_o50_f_neg])</f>
        <v>0</v>
      </c>
      <c r="CI5" s="47">
        <f>SUBTOTAL(109,otherpitc_T[hts_tst_otherpitc_o50_m_neg])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1389</v>
      </c>
      <c r="K6" s="25" t="s">
        <v>1390</v>
      </c>
      <c r="L6" s="25" t="s">
        <v>1391</v>
      </c>
      <c r="M6" s="25" t="s">
        <v>1392</v>
      </c>
      <c r="N6" s="25" t="s">
        <v>1393</v>
      </c>
      <c r="O6" s="25" t="s">
        <v>1394</v>
      </c>
      <c r="P6" s="25" t="s">
        <v>1395</v>
      </c>
      <c r="Q6" s="25" t="s">
        <v>1396</v>
      </c>
      <c r="R6" s="25" t="s">
        <v>1397</v>
      </c>
      <c r="S6" s="25" t="s">
        <v>1398</v>
      </c>
      <c r="T6" s="25" t="s">
        <v>1399</v>
      </c>
      <c r="U6" s="25" t="s">
        <v>1400</v>
      </c>
      <c r="V6" s="25" t="s">
        <v>1401</v>
      </c>
      <c r="W6" s="25" t="s">
        <v>1402</v>
      </c>
      <c r="X6" s="25" t="s">
        <v>1403</v>
      </c>
      <c r="Y6" s="25" t="s">
        <v>1404</v>
      </c>
      <c r="Z6" s="25" t="s">
        <v>1405</v>
      </c>
      <c r="AA6" s="25" t="s">
        <v>1406</v>
      </c>
      <c r="AB6" s="25" t="s">
        <v>1407</v>
      </c>
      <c r="AC6" s="25" t="s">
        <v>1408</v>
      </c>
      <c r="AD6" s="25" t="s">
        <v>1409</v>
      </c>
      <c r="AE6" s="25" t="s">
        <v>1410</v>
      </c>
      <c r="AF6" s="25" t="s">
        <v>1411</v>
      </c>
      <c r="AG6" s="25" t="s">
        <v>1412</v>
      </c>
      <c r="AH6" s="25" t="s">
        <v>1413</v>
      </c>
      <c r="AI6" s="25" t="s">
        <v>1414</v>
      </c>
      <c r="AJ6" s="25" t="s">
        <v>1415</v>
      </c>
      <c r="AK6" s="25" t="s">
        <v>1416</v>
      </c>
      <c r="AL6" s="25" t="s">
        <v>1417</v>
      </c>
      <c r="AM6" s="25" t="s">
        <v>1418</v>
      </c>
      <c r="AN6" s="25" t="s">
        <v>1419</v>
      </c>
      <c r="AO6" s="25" t="s">
        <v>1420</v>
      </c>
      <c r="AP6" s="25" t="s">
        <v>1421</v>
      </c>
      <c r="AQ6" s="25" t="s">
        <v>1422</v>
      </c>
      <c r="AR6" s="25" t="s">
        <v>1423</v>
      </c>
      <c r="AS6" s="25" t="s">
        <v>1424</v>
      </c>
      <c r="AT6" s="25" t="s">
        <v>250</v>
      </c>
      <c r="AU6" s="25" t="s">
        <v>262</v>
      </c>
      <c r="AV6" s="25" t="s">
        <v>1425</v>
      </c>
      <c r="AW6" s="25" t="s">
        <v>228</v>
      </c>
      <c r="AX6" s="25" t="s">
        <v>238</v>
      </c>
      <c r="AY6" s="25" t="s">
        <v>1426</v>
      </c>
      <c r="AZ6" s="25" t="s">
        <v>1427</v>
      </c>
      <c r="BA6" s="25" t="s">
        <v>1428</v>
      </c>
      <c r="BB6" s="25" t="s">
        <v>1429</v>
      </c>
      <c r="BC6" s="25" t="s">
        <v>1430</v>
      </c>
      <c r="BD6" s="25" t="s">
        <v>1431</v>
      </c>
      <c r="BE6" s="25" t="s">
        <v>1432</v>
      </c>
      <c r="BF6" s="25" t="s">
        <v>1433</v>
      </c>
      <c r="BG6" s="25" t="s">
        <v>1434</v>
      </c>
      <c r="BH6" s="25" t="s">
        <v>1435</v>
      </c>
      <c r="BI6" s="25" t="s">
        <v>1436</v>
      </c>
      <c r="BJ6" s="25" t="s">
        <v>1437</v>
      </c>
      <c r="BK6" s="25" t="s">
        <v>1438</v>
      </c>
      <c r="BL6" s="25" t="s">
        <v>1439</v>
      </c>
      <c r="BM6" s="25" t="s">
        <v>1440</v>
      </c>
      <c r="BN6" s="25" t="s">
        <v>1441</v>
      </c>
      <c r="BO6" s="25" t="s">
        <v>1442</v>
      </c>
      <c r="BP6" s="25" t="s">
        <v>1443</v>
      </c>
      <c r="BQ6" s="25" t="s">
        <v>1444</v>
      </c>
      <c r="BR6" s="25" t="s">
        <v>1445</v>
      </c>
      <c r="BS6" s="25" t="s">
        <v>1446</v>
      </c>
      <c r="BT6" s="25" t="s">
        <v>1447</v>
      </c>
      <c r="BU6" s="25" t="s">
        <v>1448</v>
      </c>
      <c r="BV6" s="25" t="s">
        <v>1449</v>
      </c>
      <c r="BW6" s="25" t="s">
        <v>1450</v>
      </c>
      <c r="BX6" s="25" t="s">
        <v>1451</v>
      </c>
      <c r="BY6" s="25" t="s">
        <v>1452</v>
      </c>
      <c r="BZ6" s="25" t="s">
        <v>1453</v>
      </c>
      <c r="CA6" s="25" t="s">
        <v>1454</v>
      </c>
      <c r="CB6" s="25" t="s">
        <v>1455</v>
      </c>
      <c r="CC6" s="25" t="s">
        <v>1456</v>
      </c>
      <c r="CD6" s="25" t="s">
        <v>1457</v>
      </c>
      <c r="CE6" s="25" t="s">
        <v>1458</v>
      </c>
      <c r="CF6" s="25" t="s">
        <v>1459</v>
      </c>
      <c r="CG6" s="25" t="s">
        <v>1460</v>
      </c>
      <c r="CH6" s="25" t="s">
        <v>1461</v>
      </c>
      <c r="CI6" s="25" t="s">
        <v>1462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otherpitc_T[[D_hts_tst_pos_otherpitc_u15_fy19]:[D_hts_tst_pos_otherpitc_u15_fy19]]*otherpitc_T[A_hts_tst_otherpitc_u1_unk_pos]</f>
        <v>0</v>
      </c>
      <c r="BA7" s="41">
        <f>otherpitc_T[[D_hts_tst_pos_otherpitc_u15_fy19]:[D_hts_tst_pos_otherpitc_u15_fy19]]*otherpitc_T[A_hts_tst_otherpitc_0109_unk_pos]</f>
        <v>0</v>
      </c>
      <c r="BB7" s="41">
        <f>otherpitc_T[[D_hts_tst_pos_otherpitc_u15_fy19]:[D_hts_tst_pos_otherpitc_u15_fy19]]*otherpitc_T[A_hts_tst_otherpitc_1014_f_pos]</f>
        <v>0</v>
      </c>
      <c r="BC7" s="41">
        <f>otherpitc_T[[D_hts_tst_pos_otherpitc_u15_fy19]:[D_hts_tst_pos_otherpitc_u15_fy19]]*otherpitc_T[A_hts_tst_otherpitc_1014_m_pos]</f>
        <v>0</v>
      </c>
      <c r="BD7" s="41">
        <f>otherpitc_T[[D_hts_tst_neg_otherpitc_u15_fy19]:[D_hts_tst_neg_otherpitc_u15_fy19]]*otherpitc_T[A_hts_tst_otherpitc_u1_unk_neg]</f>
        <v>0</v>
      </c>
      <c r="BE7" s="41">
        <f>otherpitc_T[[D_hts_tst_neg_otherpitc_u15_fy19]:[D_hts_tst_neg_otherpitc_u15_fy19]]*otherpitc_T[A_hts_tst_otherpitc_0109_unk_neg]</f>
        <v>0</v>
      </c>
      <c r="BF7" s="41">
        <f>otherpitc_T[[D_hts_tst_neg_otherpitc_u15_fy19]:[D_hts_tst_neg_otherpitc_u15_fy19]]*otherpitc_T[A_hts_tst_otherpitc_1014_f_neg]</f>
        <v>0</v>
      </c>
      <c r="BG7" s="41">
        <f>otherpitc_T[[D_hts_tst_neg_otherpitc_u15_fy19]:[D_hts_tst_neg_otherpitc_u15_fy19]]*otherpitc_T[A_hts_tst_otherpitc_1014_m_neg]</f>
        <v>0</v>
      </c>
      <c r="BH7" s="41">
        <f>otherpitc_T[[D_hts_tst_pos_otherpitc_o15_fy19]:[D_hts_tst_pos_otherpitc_o15_fy19]]*otherpitc_T[A_hts_tst_otherpitc_1519_f_pos]</f>
        <v>0</v>
      </c>
      <c r="BI7" s="41">
        <f>otherpitc_T[[D_hts_tst_pos_otherpitc_o15_fy19]:[D_hts_tst_pos_otherpitc_o15_fy19]]*otherpitc_T[A_hts_tst_otherpitc_1519_m_pos]</f>
        <v>0</v>
      </c>
      <c r="BJ7" s="41">
        <f>otherpitc_T[[D_hts_tst_pos_otherpitc_o15_fy19]:[D_hts_tst_pos_otherpitc_o15_fy19]]*otherpitc_T[A_hts_tst_otherpitc_2024_f_pos]</f>
        <v>0</v>
      </c>
      <c r="BK7" s="41">
        <f>otherpitc_T[[D_hts_tst_pos_otherpitc_o15_fy19]:[D_hts_tst_pos_otherpitc_o15_fy19]]*otherpitc_T[A_hts_tst_otherpitc_2024_m_pos]</f>
        <v>0</v>
      </c>
      <c r="BL7" s="41">
        <f>otherpitc_T[[D_hts_tst_pos_otherpitc_o15_fy19]:[D_hts_tst_pos_otherpitc_o15_fy19]]*otherpitc_T[A_hts_tst_otherpitc_2529_f_pos]</f>
        <v>0</v>
      </c>
      <c r="BM7" s="41">
        <f>otherpitc_T[[D_hts_tst_pos_otherpitc_o15_fy19]:[D_hts_tst_pos_otherpitc_o15_fy19]]*otherpitc_T[A_hts_tst_otherpitc_2529_m_pos]</f>
        <v>0</v>
      </c>
      <c r="BN7" s="41">
        <f>otherpitc_T[[D_hts_tst_pos_otherpitc_o15_fy19]:[D_hts_tst_pos_otherpitc_o15_fy19]]*otherpitc_T[A_hts_tst_otherpitc_3034_f_pos]</f>
        <v>0</v>
      </c>
      <c r="BO7" s="41">
        <f>otherpitc_T[[D_hts_tst_pos_otherpitc_o15_fy19]:[D_hts_tst_pos_otherpitc_o15_fy19]]*otherpitc_T[A_hts_tst_otherpitc_3034_m__pos]</f>
        <v>0</v>
      </c>
      <c r="BP7" s="41">
        <f>otherpitc_T[[D_hts_tst_pos_otherpitc_o15_fy19]:[D_hts_tst_pos_otherpitc_o15_fy19]]*otherpitc_T[A_hts_tst_otherpitc_3539_f_pos]</f>
        <v>0</v>
      </c>
      <c r="BQ7" s="41">
        <f>otherpitc_T[[D_hts_tst_pos_otherpitc_o15_fy19]:[D_hts_tst_pos_otherpitc_o15_fy19]]*otherpitc_T[A_hts_tst_otherpitc_3539_m__pos]</f>
        <v>0</v>
      </c>
      <c r="BR7" s="41">
        <f>otherpitc_T[[D_hts_tst_pos_otherpitc_o15_fy19]:[D_hts_tst_pos_otherpitc_o15_fy19]]*otherpitc_T[A_hts_tst_otherpitc_4049_f_pos]</f>
        <v>0</v>
      </c>
      <c r="BS7" s="41">
        <f>otherpitc_T[[D_hts_tst_pos_otherpitc_o15_fy19]:[D_hts_tst_pos_otherpitc_o15_fy19]]*otherpitc_T[A_hts_tst_otherpitc_4049_m_pos]</f>
        <v>0</v>
      </c>
      <c r="BT7" s="41">
        <f>otherpitc_T[[D_hts_tst_pos_otherpitc_o15_fy19]:[D_hts_tst_pos_otherpitc_o15_fy19]]*otherpitc_T[A_hts_tst_otherpitc_o50_f_pos]</f>
        <v>0</v>
      </c>
      <c r="BU7" s="41">
        <f>otherpitc_T[[D_hts_tst_pos_otherpitc_o15_fy19]:[D_hts_tst_pos_otherpitc_o15_fy19]]*otherpitc_T[A_hts_tst_otherpitc_o50_m_pos]</f>
        <v>0</v>
      </c>
      <c r="BV7" s="41">
        <f>otherpitc_T[[D_hts_tst_neg_otherpitc_o15_fy19]:[D_hts_tst_neg_otherpitc_o15_fy19]]*otherpitc_T[A_hts_tst_otherpitc_1519_f_neg]</f>
        <v>0</v>
      </c>
      <c r="BW7" s="41">
        <f>otherpitc_T[[D_hts_tst_neg_otherpitc_o15_fy19]:[D_hts_tst_neg_otherpitc_o15_fy19]]*otherpitc_T[A_hts_tst_otherpitc_1519_m_neg]</f>
        <v>0</v>
      </c>
      <c r="BX7" s="41">
        <f>otherpitc_T[[D_hts_tst_neg_otherpitc_o15_fy19]:[D_hts_tst_neg_otherpitc_o15_fy19]]*otherpitc_T[A_hts_tst_otherpitc_2024_f_neg]</f>
        <v>0</v>
      </c>
      <c r="BY7" s="41">
        <f>otherpitc_T[[D_hts_tst_neg_otherpitc_o15_fy19]:[D_hts_tst_neg_otherpitc_o15_fy19]]*otherpitc_T[A_hts_tst_otherpitc_2024_m_neg]</f>
        <v>0</v>
      </c>
      <c r="BZ7" s="41">
        <f>otherpitc_T[[D_hts_tst_neg_otherpitc_o15_fy19]:[D_hts_tst_neg_otherpitc_o15_fy19]]*otherpitc_T[A_hts_tst_otherpitc_2529_f_neg]</f>
        <v>0</v>
      </c>
      <c r="CA7" s="41">
        <f>otherpitc_T[[D_hts_tst_neg_otherpitc_o15_fy19]:[D_hts_tst_neg_otherpitc_o15_fy19]]*otherpitc_T[A_hts_tst_otherpitc_2529_m_neg]</f>
        <v>0</v>
      </c>
      <c r="CB7" s="41">
        <f>otherpitc_T[[D_hts_tst_neg_otherpitc_o15_fy19]:[D_hts_tst_neg_otherpitc_o15_fy19]]*otherpitc_T[A_hts_tst_otherpitc_3034_f_neg]</f>
        <v>0</v>
      </c>
      <c r="CC7" s="41">
        <f>otherpitc_T[[D_hts_tst_neg_otherpitc_o15_fy19]:[D_hts_tst_neg_otherpitc_o15_fy19]]*otherpitc_T[A_hts_tst_otherpitc_3034_m_neg]</f>
        <v>0</v>
      </c>
      <c r="CD7" s="41">
        <f>otherpitc_T[[D_hts_tst_neg_otherpitc_o15_fy19]:[D_hts_tst_neg_otherpitc_o15_fy19]]*otherpitc_T[A_hts_tst_otherpitc_3539_f_neg]</f>
        <v>0</v>
      </c>
      <c r="CE7" s="41">
        <f>otherpitc_T[[D_hts_tst_neg_otherpitc_o15_fy19]:[D_hts_tst_neg_otherpitc_o15_fy19]]*otherpitc_T[A_hts_tst_otherpitc_3539_m_neg]</f>
        <v>0</v>
      </c>
      <c r="CF7" s="41">
        <f>otherpitc_T[[D_hts_tst_neg_otherpitc_o15_fy19]:[D_hts_tst_neg_otherpitc_o15_fy19]]*otherpitc_T[A_hts_tst_otherpitc_4049_f_neg]</f>
        <v>0</v>
      </c>
      <c r="CG7" s="41">
        <f>otherpitc_T[[D_hts_tst_neg_otherpitc_o15_fy19]:[D_hts_tst_neg_otherpitc_o15_fy19]]*otherpitc_T[A_hts_tst_otherpitc_4049_m_neg]</f>
        <v>0</v>
      </c>
      <c r="CH7" s="41">
        <f>otherpitc_T[[D_hts_tst_neg_otherpitc_o15_fy19]:[D_hts_tst_neg_otherpitc_o15_fy19]]*otherpitc_T[A_hts_tst_otherpitc_o50_f_neg]</f>
        <v>0</v>
      </c>
      <c r="CI7" s="41">
        <f>otherpitc_T[[D_hts_tst_neg_otherpitc_o15_fy19]:[D_hts_tst_neg_otherpitc_o15_fy19]]*otherpitc_T[A_hts_tst_otherpitc_o50_m_neg]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</row>
    <row r="13" spans="1:87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</row>
    <row r="14" spans="1:87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</row>
    <row r="15" spans="1:87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</row>
    <row r="16" spans="1:87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</row>
    <row r="17" spans="1:51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</row>
    <row r="18" spans="1:51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</row>
    <row r="19" spans="1:51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</row>
    <row r="20" spans="1:51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</row>
    <row r="21" spans="1:51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</row>
    <row r="22" spans="1:51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</row>
    <row r="23" spans="1:51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</row>
    <row r="24" spans="1:51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</row>
    <row r="25" spans="1:51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</row>
    <row r="26" spans="1:51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</row>
    <row r="27" spans="1:51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</row>
    <row r="28" spans="1:51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:51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:51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:51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:51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</row>
    <row r="37" spans="1:51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</row>
    <row r="38" spans="1:51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</row>
    <row r="39" spans="1:51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</row>
    <row r="40" spans="1:51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</row>
    <row r="41" spans="1:51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</row>
    <row r="42" spans="1:51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</row>
    <row r="43" spans="1:51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</row>
    <row r="44" spans="1:51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</row>
    <row r="45" spans="1:51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</row>
    <row r="46" spans="1:51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</row>
    <row r="47" spans="1:51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</row>
    <row r="48" spans="1:51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</row>
    <row r="49" spans="1:51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</row>
    <row r="50" spans="1:51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</row>
    <row r="51" spans="1:51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</row>
    <row r="52" spans="1:51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</row>
    <row r="53" spans="1:51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</row>
    <row r="54" spans="1:51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</row>
    <row r="55" spans="1:51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</row>
    <row r="56" spans="1:51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</row>
    <row r="57" spans="1:51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</row>
    <row r="58" spans="1:51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</row>
    <row r="59" spans="1:51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</row>
    <row r="60" spans="1:51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</row>
    <row r="61" spans="1:51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</row>
    <row r="62" spans="1:51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</row>
    <row r="63" spans="1:51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</row>
    <row r="64" spans="1:51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</row>
    <row r="65" spans="1:51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</row>
    <row r="66" spans="1:51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</row>
    <row r="67" spans="1:51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</row>
    <row r="68" spans="1:51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</row>
    <row r="69" spans="1:51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</row>
    <row r="70" spans="1:51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</row>
    <row r="71" spans="1:51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</row>
    <row r="72" spans="1:51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</row>
    <row r="73" spans="1:51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</row>
    <row r="74" spans="1:51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</row>
    <row r="75" spans="1:51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</row>
    <row r="76" spans="1:51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</row>
    <row r="77" spans="1:51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</row>
    <row r="78" spans="1:51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</row>
    <row r="79" spans="1:51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</row>
    <row r="80" spans="1:51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</row>
    <row r="81" spans="1:51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</row>
    <row r="82" spans="1:51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</row>
    <row r="83" spans="1:51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</row>
    <row r="84" spans="1:51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</row>
    <row r="85" spans="1:51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</row>
    <row r="86" spans="1:51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</row>
    <row r="87" spans="1:51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</row>
    <row r="88" spans="1:51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</row>
    <row r="89" spans="1:51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</row>
    <row r="90" spans="1:51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</row>
    <row r="91" spans="1:51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</row>
    <row r="92" spans="1:51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</row>
    <row r="93" spans="1:51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</row>
    <row r="94" spans="1:51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</row>
    <row r="95" spans="1:51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</row>
    <row r="96" spans="1:51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</row>
    <row r="97" spans="1:51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</row>
    <row r="98" spans="1:51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</row>
    <row r="99" spans="1:51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</row>
    <row r="100" spans="1:51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</row>
    <row r="101" spans="1:51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</row>
    <row r="102" spans="1:51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</row>
    <row r="103" spans="1:51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</row>
    <row r="104" spans="1:51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</row>
    <row r="105" spans="1:51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</row>
    <row r="106" spans="1:51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</row>
    <row r="107" spans="1:51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</row>
    <row r="108" spans="1:51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</row>
    <row r="109" spans="1:51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</row>
    <row r="110" spans="1:51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</row>
    <row r="111" spans="1:51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</row>
    <row r="112" spans="1:51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</row>
    <row r="113" spans="1:51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</row>
    <row r="114" spans="1:51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</row>
    <row r="115" spans="1:51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</row>
    <row r="116" spans="1:51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</row>
    <row r="117" spans="1:51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</row>
    <row r="118" spans="1:51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</row>
    <row r="119" spans="1:51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</row>
    <row r="120" spans="1:51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</row>
    <row r="121" spans="1:51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</row>
    <row r="122" spans="1:51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</row>
    <row r="123" spans="1:51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</row>
    <row r="124" spans="1:51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</row>
    <row r="125" spans="1:51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</row>
    <row r="126" spans="1:51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</row>
    <row r="127" spans="1:51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</row>
    <row r="128" spans="1:51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</row>
    <row r="129" spans="1:51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</row>
    <row r="130" spans="1:51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</row>
    <row r="131" spans="1:51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</row>
    <row r="132" spans="1:51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</row>
    <row r="133" spans="1:51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</row>
    <row r="134" spans="1:51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</row>
    <row r="135" spans="1:51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</row>
    <row r="138" spans="1:51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</row>
    <row r="139" spans="1:51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</row>
    <row r="140" spans="1:51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</row>
    <row r="141" spans="1:51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</row>
    <row r="142" spans="1:51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</row>
    <row r="143" spans="1:51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</row>
    <row r="144" spans="1:51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</row>
    <row r="145" spans="1:51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</row>
    <row r="146" spans="1:51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</row>
    <row r="147" spans="1:51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</row>
    <row r="148" spans="1:51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</row>
    <row r="149" spans="1:51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</row>
    <row r="150" spans="1:51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</row>
    <row r="151" spans="1:51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</row>
    <row r="152" spans="1:51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</row>
    <row r="153" spans="1:51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</row>
    <row r="154" spans="1:51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</row>
    <row r="155" spans="1:51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</row>
    <row r="156" spans="1:51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</row>
    <row r="157" spans="1:51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</row>
    <row r="158" spans="1:51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</row>
    <row r="159" spans="1:51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</row>
    <row r="160" spans="1:51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</row>
    <row r="161" spans="1:51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</row>
    <row r="162" spans="1:51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</row>
    <row r="163" spans="1:51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</row>
    <row r="164" spans="1:51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</row>
    <row r="165" spans="1:51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</row>
    <row r="166" spans="1:51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</row>
    <row r="167" spans="1:51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</row>
    <row r="168" spans="1:51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</row>
    <row r="169" spans="1:51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</row>
    <row r="170" spans="1:51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</row>
    <row r="171" spans="1:51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</row>
    <row r="172" spans="1:51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</row>
    <row r="173" spans="1:51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</row>
    <row r="174" spans="1:51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</row>
    <row r="175" spans="1:51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</row>
    <row r="176" spans="1:51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</row>
    <row r="177" spans="1:51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</row>
    <row r="178" spans="1:51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</row>
    <row r="179" spans="1:51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</row>
    <row r="180" spans="1:51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</row>
    <row r="181" spans="1:51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</row>
    <row r="182" spans="1:51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</row>
    <row r="183" spans="1:51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</row>
    <row r="184" spans="1:51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</row>
    <row r="185" spans="1:51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</row>
    <row r="186" spans="1:51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</row>
    <row r="187" spans="1:51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</row>
    <row r="188" spans="1:51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</row>
    <row r="189" spans="1:51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</row>
    <row r="190" spans="1:51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</row>
    <row r="191" spans="1:51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</row>
    <row r="192" spans="1:51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</row>
    <row r="193" spans="1:51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</row>
    <row r="194" spans="1:51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</row>
    <row r="195" spans="1:51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</row>
    <row r="196" spans="1:51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</row>
    <row r="197" spans="1:51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</row>
    <row r="198" spans="1:51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</row>
    <row r="199" spans="1:51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</row>
    <row r="200" spans="1:51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</row>
    <row r="201" spans="1:51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</row>
    <row r="202" spans="1:51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</row>
    <row r="203" spans="1:51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</row>
    <row r="204" spans="1:51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</row>
    <row r="205" spans="1:51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</row>
    <row r="206" spans="1:51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</row>
    <row r="207" spans="1:51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</row>
    <row r="208" spans="1:51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</row>
    <row r="209" spans="1:51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</row>
    <row r="210" spans="1:51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</row>
    <row r="211" spans="1:51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</row>
    <row r="212" spans="1:51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</row>
    <row r="213" spans="1:51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</row>
    <row r="214" spans="1:51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</row>
    <row r="215" spans="1:51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</row>
    <row r="216" spans="1:51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</row>
    <row r="217" spans="1:51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</row>
    <row r="218" spans="1:51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</row>
    <row r="219" spans="1:51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</row>
    <row r="220" spans="1:51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</row>
    <row r="221" spans="1:51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</row>
    <row r="222" spans="1:51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</row>
    <row r="223" spans="1:51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</row>
    <row r="224" spans="1:51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</row>
    <row r="225" spans="1:51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</row>
    <row r="226" spans="1:51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</row>
    <row r="227" spans="1:51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</row>
    <row r="228" spans="1:51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</row>
    <row r="229" spans="1:51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</row>
    <row r="230" spans="1:51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</row>
    <row r="231" spans="1:51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</row>
    <row r="232" spans="1:51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</row>
    <row r="233" spans="1:51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</row>
    <row r="234" spans="1:51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</row>
    <row r="235" spans="1:51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</row>
    <row r="236" spans="1:51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</row>
    <row r="237" spans="1:51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</row>
    <row r="238" spans="1:51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</row>
    <row r="239" spans="1:51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</row>
    <row r="240" spans="1:51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</row>
    <row r="241" spans="1:51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</row>
    <row r="242" spans="1:51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</row>
    <row r="243" spans="1:51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</row>
    <row r="244" spans="1:51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</row>
    <row r="245" spans="1:51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</row>
    <row r="246" spans="1:51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</row>
    <row r="247" spans="1:51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</row>
    <row r="248" spans="1:51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</row>
    <row r="249" spans="1:51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</row>
    <row r="250" spans="1:51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</row>
    <row r="251" spans="1:51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</row>
    <row r="252" spans="1:51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</row>
    <row r="253" spans="1:51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</row>
    <row r="254" spans="1:51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</row>
    <row r="255" spans="1:51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</row>
    <row r="256" spans="1:51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</row>
    <row r="257" spans="1:51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</row>
    <row r="258" spans="1:51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</row>
    <row r="259" spans="1:51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</row>
    <row r="260" spans="1:51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</row>
    <row r="261" spans="1:51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</row>
    <row r="262" spans="1:51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</row>
    <row r="263" spans="1:51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</row>
    <row r="264" spans="1:51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</row>
    <row r="265" spans="1:51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</row>
    <row r="266" spans="1:51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</row>
    <row r="267" spans="1:51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</row>
    <row r="268" spans="1:51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</row>
    <row r="269" spans="1:51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</row>
    <row r="270" spans="1:51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</row>
    <row r="271" spans="1:51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</row>
    <row r="272" spans="1:51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</row>
    <row r="273" spans="1:51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</row>
    <row r="274" spans="1:51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</row>
    <row r="275" spans="1:51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</row>
    <row r="276" spans="1:51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</row>
    <row r="277" spans="1:51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</row>
    <row r="278" spans="1:51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</row>
    <row r="279" spans="1:51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</row>
    <row r="280" spans="1:51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</row>
    <row r="281" spans="1:51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</row>
    <row r="282" spans="1:51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</row>
    <row r="283" spans="1:51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</row>
    <row r="284" spans="1:51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</row>
    <row r="285" spans="1:51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</row>
    <row r="286" spans="1:51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</row>
    <row r="287" spans="1:51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</row>
    <row r="288" spans="1:51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</row>
    <row r="289" spans="1:51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</row>
    <row r="290" spans="1:51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</row>
    <row r="291" spans="1:51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</row>
    <row r="292" spans="1:51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</row>
    <row r="293" spans="1:51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</row>
    <row r="294" spans="1:51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</row>
    <row r="295" spans="1:51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</row>
    <row r="296" spans="1:51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</row>
    <row r="297" spans="1:51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</row>
    <row r="298" spans="1:51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</row>
    <row r="299" spans="1:51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</row>
    <row r="300" spans="1:51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</row>
    <row r="301" spans="1:51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</row>
    <row r="302" spans="1:51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</row>
    <row r="303" spans="1:51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</row>
    <row r="304" spans="1:51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</row>
    <row r="305" spans="1:51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</row>
    <row r="306" spans="1:51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</row>
    <row r="307" spans="1:51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</row>
    <row r="308" spans="1:51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</row>
    <row r="309" spans="1:51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</row>
    <row r="310" spans="1:51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</row>
    <row r="311" spans="1:51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</row>
    <row r="312" spans="1:51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</row>
    <row r="313" spans="1:51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</row>
    <row r="314" spans="1:51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</row>
    <row r="315" spans="1:51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</row>
    <row r="316" spans="1:51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</row>
    <row r="317" spans="1:51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</row>
    <row r="318" spans="1:51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</row>
    <row r="319" spans="1:51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</row>
    <row r="320" spans="1:51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</row>
    <row r="321" spans="1:51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</row>
    <row r="322" spans="1:51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</row>
    <row r="323" spans="1:51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</row>
    <row r="324" spans="1:51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</row>
    <row r="325" spans="1:51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</row>
    <row r="326" spans="1:51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</row>
    <row r="327" spans="1:51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</row>
    <row r="328" spans="1:51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</row>
    <row r="329" spans="1:51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</row>
    <row r="330" spans="1:51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</row>
    <row r="331" spans="1:51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</row>
    <row r="332" spans="1:51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</row>
    <row r="333" spans="1:51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</row>
    <row r="334" spans="1:51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</row>
    <row r="335" spans="1:51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</row>
    <row r="336" spans="1:51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</row>
    <row r="337" spans="1:51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</row>
    <row r="338" spans="1:51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</row>
    <row r="339" spans="1:51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</row>
    <row r="340" spans="1:51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</row>
    <row r="341" spans="1:51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</row>
    <row r="342" spans="1:51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</row>
    <row r="343" spans="1:51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</row>
    <row r="344" spans="1:51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</row>
    <row r="345" spans="1:51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</row>
    <row r="346" spans="1:51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</row>
    <row r="347" spans="1:51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</row>
    <row r="348" spans="1:51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</row>
    <row r="349" spans="1:51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</row>
    <row r="350" spans="1:51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</row>
    <row r="351" spans="1:51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</row>
    <row r="352" spans="1:51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</row>
    <row r="353" spans="1:51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</row>
    <row r="354" spans="1:51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</row>
    <row r="355" spans="1:51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</row>
    <row r="356" spans="1:51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</row>
    <row r="357" spans="1:51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</row>
    <row r="358" spans="1:51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</row>
    <row r="359" spans="1:51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</row>
    <row r="361" spans="1:51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</row>
    <row r="362" spans="1:51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</row>
    <row r="363" spans="1:51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</row>
    <row r="364" spans="1:51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</row>
    <row r="365" spans="1:51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</row>
    <row r="366" spans="1:51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</row>
    <row r="367" spans="1:51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</row>
    <row r="368" spans="1:51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</row>
    <row r="369" spans="1:51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</row>
    <row r="370" spans="1:51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</row>
    <row r="371" spans="1:51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</row>
    <row r="372" spans="1:51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</row>
    <row r="373" spans="1:51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</row>
    <row r="374" spans="1:51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</row>
    <row r="375" spans="1:51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</row>
    <row r="376" spans="1:51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</row>
    <row r="377" spans="1:51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</row>
    <row r="378" spans="1:51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</row>
    <row r="379" spans="1:51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</row>
    <row r="380" spans="1:51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</row>
    <row r="381" spans="1:51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</row>
    <row r="382" spans="1:51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</row>
    <row r="383" spans="1:51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</row>
    <row r="384" spans="1:51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</row>
    <row r="385" spans="1:51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</row>
    <row r="386" spans="1:51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</row>
    <row r="387" spans="1:51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</row>
    <row r="388" spans="1:51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</row>
    <row r="389" spans="1:51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</row>
    <row r="390" spans="1:51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</row>
    <row r="391" spans="1:51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</row>
    <row r="392" spans="1:51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</row>
    <row r="393" spans="1:51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</row>
    <row r="394" spans="1:51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</row>
    <row r="395" spans="1:51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</row>
    <row r="396" spans="1:51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</row>
    <row r="397" spans="1:51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</row>
    <row r="398" spans="1:51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</row>
    <row r="399" spans="1:51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</row>
    <row r="400" spans="1:51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</row>
    <row r="401" spans="1:51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</row>
    <row r="402" spans="1:51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</row>
    <row r="403" spans="1:51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</row>
    <row r="404" spans="1:51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</row>
    <row r="405" spans="1:51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</row>
    <row r="406" spans="1:51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</row>
    <row r="407" spans="1:51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</row>
    <row r="408" spans="1:51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</row>
    <row r="409" spans="1:51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</row>
    <row r="410" spans="1:51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</row>
    <row r="411" spans="1:51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</row>
    <row r="412" spans="1:51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</row>
    <row r="413" spans="1:51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</row>
    <row r="414" spans="1:51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</row>
    <row r="415" spans="1:51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</row>
    <row r="416" spans="1:51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</row>
    <row r="417" spans="1:51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</row>
    <row r="418" spans="1:51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</row>
    <row r="419" spans="1:51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</row>
    <row r="420" spans="1:51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</row>
    <row r="421" spans="1:51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</row>
    <row r="422" spans="1:51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</row>
    <row r="423" spans="1:51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</row>
    <row r="424" spans="1:51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</row>
    <row r="425" spans="1:51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</row>
    <row r="426" spans="1:51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</row>
    <row r="427" spans="1:51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</row>
    <row r="428" spans="1:51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</row>
    <row r="429" spans="1:51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</row>
    <row r="430" spans="1:51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</row>
    <row r="431" spans="1:51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</row>
    <row r="432" spans="1:51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</row>
    <row r="433" spans="1:51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</row>
    <row r="434" spans="1:51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</row>
    <row r="435" spans="1:51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</row>
    <row r="436" spans="1:51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</row>
    <row r="437" spans="1:51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</row>
    <row r="438" spans="1:51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</row>
    <row r="439" spans="1:51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</row>
    <row r="440" spans="1:51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</row>
    <row r="441" spans="1:51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</row>
    <row r="442" spans="1:51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</row>
    <row r="443" spans="1:51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</row>
    <row r="444" spans="1:51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</row>
    <row r="445" spans="1:51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</row>
    <row r="446" spans="1:51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</row>
    <row r="447" spans="1:51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</row>
    <row r="448" spans="1:51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</row>
    <row r="449" spans="1:51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</row>
    <row r="450" spans="1:51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</row>
    <row r="451" spans="1:51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</row>
    <row r="452" spans="1:51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</row>
    <row r="453" spans="1:51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</row>
    <row r="454" spans="1:51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</row>
    <row r="455" spans="1:51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</row>
    <row r="456" spans="1:51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</row>
    <row r="457" spans="1:51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</row>
    <row r="458" spans="1:51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</row>
    <row r="459" spans="1:51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</row>
    <row r="460" spans="1:51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</row>
    <row r="461" spans="1:51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</row>
    <row r="462" spans="1:51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</row>
    <row r="463" spans="1:51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</row>
    <row r="464" spans="1:51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</row>
    <row r="465" spans="1:51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</row>
    <row r="466" spans="1:51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</row>
    <row r="467" spans="1:51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</row>
    <row r="468" spans="1:51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</row>
    <row r="469" spans="1:51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</row>
    <row r="470" spans="1:51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</row>
    <row r="471" spans="1:51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</row>
    <row r="472" spans="1:51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</row>
    <row r="473" spans="1:51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</row>
    <row r="474" spans="1:51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</row>
    <row r="475" spans="1:51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</row>
    <row r="476" spans="1:51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</row>
    <row r="477" spans="1:51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</row>
    <row r="478" spans="1:51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</row>
    <row r="479" spans="1:51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</row>
    <row r="480" spans="1:51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</row>
    <row r="481" spans="1:51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</row>
    <row r="482" spans="1:51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</row>
    <row r="483" spans="1:51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</row>
    <row r="484" spans="1:51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</row>
    <row r="485" spans="1:51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</row>
    <row r="486" spans="1:51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</row>
    <row r="487" spans="1:51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</row>
    <row r="488" spans="1:51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</row>
    <row r="489" spans="1:51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</row>
    <row r="490" spans="1:51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</row>
    <row r="491" spans="1:51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</row>
    <row r="492" spans="1:51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</row>
    <row r="493" spans="1:51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</row>
    <row r="494" spans="1:51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</row>
    <row r="495" spans="1:51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</row>
    <row r="496" spans="1:51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</row>
    <row r="497" spans="1:51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</row>
    <row r="498" spans="1:51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</row>
    <row r="499" spans="1:51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</row>
    <row r="500" spans="1:51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</row>
    <row r="501" spans="1:51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</row>
    <row r="502" spans="1:51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</row>
    <row r="503" spans="1:51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</row>
    <row r="504" spans="1:51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</row>
    <row r="505" spans="1:51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</row>
    <row r="506" spans="1:51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</row>
    <row r="507" spans="1:51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</row>
    <row r="508" spans="1:51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</row>
    <row r="509" spans="1:51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</row>
    <row r="510" spans="1:51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</row>
    <row r="511" spans="1:51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</row>
    <row r="512" spans="1:51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</row>
    <row r="513" spans="1:51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</row>
    <row r="514" spans="1:51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</row>
    <row r="515" spans="1:51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</row>
    <row r="516" spans="1:51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</row>
    <row r="517" spans="1:51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</row>
    <row r="518" spans="1:51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</row>
    <row r="519" spans="1:51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</row>
    <row r="520" spans="1:51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</row>
    <row r="521" spans="1:51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</row>
    <row r="522" spans="1:51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</row>
    <row r="523" spans="1:51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</row>
    <row r="524" spans="1:51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</row>
    <row r="525" spans="1:51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</row>
    <row r="526" spans="1:51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</row>
    <row r="527" spans="1:51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</row>
    <row r="528" spans="1:51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</row>
    <row r="529" spans="1:51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</row>
    <row r="530" spans="1:51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</row>
    <row r="531" spans="1:51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</row>
    <row r="532" spans="1:51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</row>
    <row r="533" spans="1:51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</row>
    <row r="534" spans="1:51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</row>
    <row r="535" spans="1:51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</row>
    <row r="536" spans="1:51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</row>
    <row r="537" spans="1:51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</row>
    <row r="538" spans="1:51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</row>
    <row r="539" spans="1:51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</row>
    <row r="540" spans="1:51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</row>
    <row r="541" spans="1:51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</row>
    <row r="542" spans="1:51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</row>
    <row r="543" spans="1:51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</row>
    <row r="544" spans="1:51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</row>
    <row r="545" spans="1:51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</row>
    <row r="546" spans="1:51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</row>
    <row r="547" spans="1:51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</row>
    <row r="548" spans="1:51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</row>
    <row r="549" spans="1:51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</row>
    <row r="550" spans="1:51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</row>
    <row r="551" spans="1:51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</row>
    <row r="552" spans="1:51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</row>
    <row r="553" spans="1:51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</row>
    <row r="554" spans="1:51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</row>
    <row r="555" spans="1:51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</row>
    <row r="556" spans="1:51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</row>
    <row r="557" spans="1:51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</row>
    <row r="558" spans="1:51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</row>
    <row r="559" spans="1:51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</row>
    <row r="560" spans="1:51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</row>
    <row r="561" spans="1:51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</row>
    <row r="562" spans="1:51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</row>
    <row r="563" spans="1:51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</row>
    <row r="564" spans="1:51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</row>
    <row r="565" spans="1:51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</row>
    <row r="566" spans="1:51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</row>
    <row r="567" spans="1:51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</row>
    <row r="568" spans="1:51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</row>
    <row r="569" spans="1:51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</row>
    <row r="570" spans="1:51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</row>
    <row r="571" spans="1:51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</row>
    <row r="572" spans="1:51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</row>
    <row r="573" spans="1:51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</row>
    <row r="574" spans="1:51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</row>
    <row r="575" spans="1:51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</row>
    <row r="576" spans="1:51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</row>
    <row r="577" spans="1:51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</row>
    <row r="578" spans="1:51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</row>
    <row r="579" spans="1:51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</row>
    <row r="580" spans="1:51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</row>
    <row r="581" spans="1:51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</row>
    <row r="582" spans="1:51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</row>
    <row r="583" spans="1:51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</row>
    <row r="584" spans="1:51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</row>
    <row r="585" spans="1:51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</row>
    <row r="586" spans="1:51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</row>
    <row r="587" spans="1:51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</row>
    <row r="588" spans="1:51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</row>
    <row r="589" spans="1:51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</row>
    <row r="590" spans="1:51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</row>
    <row r="591" spans="1:51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</row>
    <row r="592" spans="1:51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</row>
    <row r="593" spans="1:51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</row>
    <row r="594" spans="1:51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</row>
    <row r="595" spans="1:51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</row>
    <row r="596" spans="1:51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</row>
    <row r="597" spans="1:51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</row>
    <row r="598" spans="1:51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</row>
    <row r="599" spans="1:51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</row>
    <row r="600" spans="1:51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</row>
    <row r="601" spans="1:51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</row>
    <row r="602" spans="1:51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</row>
    <row r="603" spans="1:51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</row>
    <row r="604" spans="1:51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</row>
    <row r="605" spans="1:51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</row>
    <row r="606" spans="1:51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</row>
    <row r="607" spans="1:51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</row>
    <row r="608" spans="1:51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</row>
    <row r="609" spans="1:51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</row>
    <row r="610" spans="1:51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</row>
    <row r="611" spans="1:51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</row>
    <row r="612" spans="1:51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</row>
    <row r="613" spans="1:51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</row>
    <row r="614" spans="1:51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</row>
    <row r="615" spans="1:51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</row>
    <row r="616" spans="1:51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</row>
    <row r="617" spans="1:51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</row>
    <row r="618" spans="1:51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</row>
    <row r="619" spans="1:51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</row>
    <row r="620" spans="1:51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</row>
    <row r="621" spans="1:51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</row>
    <row r="622" spans="1:51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</row>
    <row r="623" spans="1:51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</row>
    <row r="624" spans="1:51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</row>
    <row r="625" spans="1:51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</row>
    <row r="626" spans="1:51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</row>
    <row r="627" spans="1:51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</row>
    <row r="628" spans="1:51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</row>
    <row r="629" spans="1:51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</row>
    <row r="630" spans="1:51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</row>
    <row r="631" spans="1:51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</row>
    <row r="632" spans="1:51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</row>
    <row r="633" spans="1:51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</row>
    <row r="634" spans="1:51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</row>
    <row r="635" spans="1:51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</row>
    <row r="636" spans="1:51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</row>
    <row r="637" spans="1:51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</row>
    <row r="638" spans="1:51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</row>
    <row r="639" spans="1:51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</row>
    <row r="640" spans="1:51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</row>
    <row r="641" spans="1:51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</row>
    <row r="642" spans="1:51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</row>
    <row r="643" spans="1:51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</row>
    <row r="644" spans="1:51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</row>
    <row r="645" spans="1:51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</row>
    <row r="646" spans="1:51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</row>
    <row r="647" spans="1:51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</row>
    <row r="648" spans="1:51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</row>
    <row r="649" spans="1:51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</row>
    <row r="650" spans="1:51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</row>
    <row r="651" spans="1:51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</row>
    <row r="652" spans="1:51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</row>
    <row r="653" spans="1:51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</row>
    <row r="654" spans="1:51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</row>
    <row r="655" spans="1:51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</row>
    <row r="656" spans="1:51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</row>
    <row r="657" spans="1:51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</row>
    <row r="658" spans="1:51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</row>
    <row r="659" spans="1:51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</row>
    <row r="660" spans="1:51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</row>
    <row r="661" spans="1:51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</row>
    <row r="662" spans="1:51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</row>
    <row r="663" spans="1:51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</row>
    <row r="664" spans="1:51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</row>
    <row r="665" spans="1:51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</row>
    <row r="666" spans="1:51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</row>
    <row r="667" spans="1:51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</row>
    <row r="668" spans="1:51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</row>
    <row r="669" spans="1:51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</row>
    <row r="670" spans="1:51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</row>
    <row r="671" spans="1:51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</row>
    <row r="672" spans="1:51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</row>
    <row r="673" spans="1:51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</row>
    <row r="674" spans="1:51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</row>
    <row r="675" spans="1:51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</row>
    <row r="676" spans="1:51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</row>
    <row r="677" spans="1:51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</row>
    <row r="678" spans="1:51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</row>
    <row r="679" spans="1:51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</row>
    <row r="680" spans="1:51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</row>
    <row r="681" spans="1:51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</row>
    <row r="682" spans="1:51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</row>
    <row r="683" spans="1:51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</row>
    <row r="684" spans="1:51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</row>
    <row r="685" spans="1:51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</row>
    <row r="686" spans="1:51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</row>
    <row r="687" spans="1:51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</row>
    <row r="688" spans="1:51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</row>
    <row r="689" spans="1:51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</row>
    <row r="690" spans="1:51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</row>
    <row r="691" spans="1:51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</row>
    <row r="692" spans="1:51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</row>
    <row r="693" spans="1:51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</row>
    <row r="694" spans="1:51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</row>
    <row r="695" spans="1:51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</row>
    <row r="696" spans="1:51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</row>
    <row r="697" spans="1:51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</row>
    <row r="698" spans="1:51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</row>
    <row r="699" spans="1:51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</row>
    <row r="700" spans="1:51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</row>
    <row r="701" spans="1:51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</row>
    <row r="702" spans="1:51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</row>
    <row r="703" spans="1:51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</row>
    <row r="704" spans="1:51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</row>
    <row r="705" spans="1:51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</row>
    <row r="706" spans="1:51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</row>
    <row r="707" spans="1:51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</row>
    <row r="708" spans="1:51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</row>
    <row r="709" spans="1:51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</row>
    <row r="710" spans="1:51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</row>
    <row r="711" spans="1:51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</row>
    <row r="712" spans="1:51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</row>
    <row r="713" spans="1:51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</row>
    <row r="714" spans="1:51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</row>
    <row r="715" spans="1:51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</row>
    <row r="716" spans="1:51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</row>
    <row r="717" spans="1:51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</row>
    <row r="718" spans="1:51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</row>
    <row r="719" spans="1:51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</row>
    <row r="720" spans="1:51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</row>
    <row r="721" spans="1:51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</row>
    <row r="722" spans="1:51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</row>
    <row r="723" spans="1:51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</row>
    <row r="724" spans="1:51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</row>
    <row r="725" spans="1:51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</row>
    <row r="726" spans="1:51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</row>
    <row r="727" spans="1:51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</row>
    <row r="728" spans="1:51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</row>
    <row r="729" spans="1:51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</row>
    <row r="730" spans="1:51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</row>
    <row r="731" spans="1:51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</row>
    <row r="732" spans="1:51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</row>
    <row r="733" spans="1:51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</row>
    <row r="734" spans="1:51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</row>
    <row r="735" spans="1:51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</row>
    <row r="736" spans="1:51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</row>
    <row r="737" spans="1:51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</row>
    <row r="738" spans="1:51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</row>
    <row r="739" spans="1:51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</row>
    <row r="740" spans="1:51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</row>
    <row r="741" spans="1:51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</row>
    <row r="742" spans="1:51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</row>
    <row r="743" spans="1:51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</row>
    <row r="744" spans="1:51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</row>
    <row r="745" spans="1:51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</row>
    <row r="746" spans="1:51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</row>
    <row r="747" spans="1:51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</row>
    <row r="748" spans="1:51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</row>
    <row r="749" spans="1:51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</row>
    <row r="750" spans="1:51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</row>
    <row r="751" spans="1:51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</row>
    <row r="752" spans="1:51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</row>
    <row r="753" spans="1:51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</row>
    <row r="754" spans="1:51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</row>
    <row r="755" spans="1:51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</row>
    <row r="756" spans="1:51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</row>
    <row r="757" spans="1:51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</row>
    <row r="758" spans="1:51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</row>
    <row r="759" spans="1:51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</row>
    <row r="760" spans="1:51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</row>
    <row r="761" spans="1:51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</row>
    <row r="762" spans="1:51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</row>
    <row r="763" spans="1:51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</row>
    <row r="764" spans="1:51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</row>
    <row r="765" spans="1:51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</row>
    <row r="766" spans="1:51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</row>
    <row r="767" spans="1:51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</row>
    <row r="768" spans="1:51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</row>
    <row r="769" spans="1:51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</row>
    <row r="770" spans="1:51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</row>
    <row r="771" spans="1:51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</row>
    <row r="772" spans="1:51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</row>
    <row r="773" spans="1:51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</row>
    <row r="774" spans="1:51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</row>
    <row r="775" spans="1:51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</row>
    <row r="776" spans="1:51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</row>
    <row r="777" spans="1:51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</row>
    <row r="778" spans="1:51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</row>
    <row r="779" spans="1:51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</row>
    <row r="780" spans="1:51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</row>
    <row r="781" spans="1:51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</row>
    <row r="782" spans="1:51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</row>
    <row r="783" spans="1:51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</row>
    <row r="784" spans="1:51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</row>
    <row r="785" spans="1:51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</row>
    <row r="786" spans="1:51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</row>
    <row r="787" spans="1:51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</row>
    <row r="788" spans="1:51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</row>
    <row r="789" spans="1:51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</row>
    <row r="790" spans="1:51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</row>
    <row r="791" spans="1:51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</row>
    <row r="792" spans="1:51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</row>
    <row r="793" spans="1:51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</row>
    <row r="794" spans="1:51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</row>
    <row r="795" spans="1:51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</row>
    <row r="796" spans="1:51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</row>
    <row r="797" spans="1:51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</row>
    <row r="798" spans="1:51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</row>
    <row r="799" spans="1:51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</row>
    <row r="800" spans="1:51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</row>
    <row r="801" spans="1:51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</row>
    <row r="802" spans="1:51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</row>
    <row r="803" spans="1:51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</row>
    <row r="804" spans="1:51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</row>
    <row r="805" spans="1:51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</row>
    <row r="806" spans="1:51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</row>
    <row r="807" spans="1:51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</row>
    <row r="808" spans="1:51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</row>
    <row r="809" spans="1:51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</row>
    <row r="810" spans="1:51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</row>
    <row r="811" spans="1:51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</row>
    <row r="812" spans="1:51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</row>
    <row r="813" spans="1:51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</row>
    <row r="814" spans="1:51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</row>
    <row r="815" spans="1:51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</row>
    <row r="816" spans="1:51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</row>
    <row r="817" spans="1:51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</row>
    <row r="818" spans="1:51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</row>
    <row r="819" spans="1:51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</row>
    <row r="820" spans="1:51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</row>
    <row r="821" spans="1:51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</row>
    <row r="822" spans="1:51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</row>
    <row r="823" spans="1:51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</row>
    <row r="824" spans="1:51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</row>
    <row r="825" spans="1:51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</row>
    <row r="826" spans="1:51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</row>
    <row r="827" spans="1:51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</row>
    <row r="828" spans="1:51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</row>
    <row r="829" spans="1:51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</row>
    <row r="830" spans="1:51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</row>
    <row r="831" spans="1:51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</row>
    <row r="832" spans="1:51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</row>
    <row r="833" spans="1:51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</row>
    <row r="834" spans="1:51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</row>
    <row r="835" spans="1:51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</row>
    <row r="836" spans="1:51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</row>
    <row r="837" spans="1:51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</row>
    <row r="838" spans="1:51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</row>
    <row r="839" spans="1:51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</row>
    <row r="840" spans="1:51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</row>
    <row r="841" spans="1:51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</row>
    <row r="842" spans="1:51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</row>
    <row r="843" spans="1:51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</row>
    <row r="844" spans="1:51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</row>
    <row r="845" spans="1:51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</row>
    <row r="846" spans="1:51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</row>
    <row r="847" spans="1:51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</row>
    <row r="848" spans="1:51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</row>
    <row r="849" spans="1:51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</row>
    <row r="850" spans="1:51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</row>
    <row r="851" spans="1:51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</row>
    <row r="852" spans="1:51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</row>
    <row r="853" spans="1:51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</row>
    <row r="854" spans="1:51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</row>
    <row r="855" spans="1:51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</row>
    <row r="856" spans="1:51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</row>
    <row r="857" spans="1:51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</row>
    <row r="858" spans="1:51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</row>
    <row r="859" spans="1:51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</row>
    <row r="860" spans="1:51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</row>
    <row r="861" spans="1:51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</row>
    <row r="862" spans="1:51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</row>
    <row r="863" spans="1:51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</row>
    <row r="864" spans="1:51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</row>
    <row r="865" spans="1:51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</row>
    <row r="866" spans="1:51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</row>
    <row r="867" spans="1:51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</row>
    <row r="868" spans="1:51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</row>
    <row r="869" spans="1:51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</row>
    <row r="870" spans="1:51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</row>
    <row r="871" spans="1:51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</row>
    <row r="872" spans="1:51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</row>
    <row r="873" spans="1:51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</row>
    <row r="874" spans="1:51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</row>
    <row r="875" spans="1:51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</row>
    <row r="876" spans="1:51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</row>
    <row r="877" spans="1:51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</row>
    <row r="878" spans="1:51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</row>
    <row r="879" spans="1:51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</row>
    <row r="880" spans="1:51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</row>
    <row r="881" spans="1:51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</row>
    <row r="882" spans="1:51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</row>
    <row r="883" spans="1:51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</row>
    <row r="884" spans="1:51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</row>
    <row r="885" spans="1:51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</row>
    <row r="886" spans="1:51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</row>
    <row r="887" spans="1:51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</row>
    <row r="888" spans="1:51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</row>
    <row r="889" spans="1:51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</row>
    <row r="890" spans="1:51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</row>
    <row r="891" spans="1:51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</row>
    <row r="892" spans="1:51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</row>
    <row r="893" spans="1:51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</row>
    <row r="894" spans="1:51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</row>
    <row r="895" spans="1:51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</row>
    <row r="896" spans="1:51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</row>
    <row r="897" spans="1:51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</row>
    <row r="898" spans="1:51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</row>
    <row r="899" spans="1:51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</row>
    <row r="900" spans="1:51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</row>
    <row r="901" spans="1:51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</row>
    <row r="902" spans="1:51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</row>
    <row r="903" spans="1:51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</row>
    <row r="904" spans="1:51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</row>
    <row r="905" spans="1:51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</row>
    <row r="906" spans="1:51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</row>
    <row r="907" spans="1:51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</row>
    <row r="908" spans="1:51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</row>
    <row r="909" spans="1:51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</row>
    <row r="910" spans="1:51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</row>
    <row r="911" spans="1:51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</row>
    <row r="912" spans="1:51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</row>
    <row r="913" spans="1:51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</row>
    <row r="914" spans="1:51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</row>
    <row r="915" spans="1:51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</row>
    <row r="916" spans="1:51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</row>
    <row r="917" spans="1:51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</row>
    <row r="918" spans="1:51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</row>
    <row r="919" spans="1:51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</row>
    <row r="920" spans="1:51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</row>
    <row r="921" spans="1:51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</row>
    <row r="922" spans="1:51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</row>
    <row r="923" spans="1:51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</row>
    <row r="924" spans="1:51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</row>
    <row r="925" spans="1:51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</row>
    <row r="926" spans="1:51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</row>
    <row r="927" spans="1:51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</row>
    <row r="928" spans="1:51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</row>
    <row r="929" spans="1:51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</row>
    <row r="930" spans="1:51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</row>
    <row r="931" spans="1:51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</row>
    <row r="932" spans="1:51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</row>
    <row r="933" spans="1:51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</row>
    <row r="934" spans="1:51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</row>
    <row r="935" spans="1:51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</row>
    <row r="936" spans="1:51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</row>
    <row r="937" spans="1:51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</row>
    <row r="938" spans="1:51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</row>
    <row r="939" spans="1:51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</row>
    <row r="940" spans="1:51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</row>
    <row r="941" spans="1:51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</row>
    <row r="942" spans="1:51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</row>
    <row r="943" spans="1:51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</row>
    <row r="944" spans="1:51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</row>
    <row r="945" spans="1:51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</row>
    <row r="946" spans="1:51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</row>
    <row r="947" spans="1:51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</row>
    <row r="948" spans="1:51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</row>
    <row r="949" spans="1:51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</row>
    <row r="950" spans="1:51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</row>
    <row r="951" spans="1:51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51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</row>
    <row r="953" spans="1:51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</row>
    <row r="954" spans="1:51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</row>
    <row r="955" spans="1:51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</row>
    <row r="956" spans="1:51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</row>
    <row r="957" spans="1:51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</row>
    <row r="958" spans="1:51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</row>
    <row r="959" spans="1:51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</row>
    <row r="960" spans="1:51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</row>
    <row r="961" spans="1:51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</row>
    <row r="962" spans="1:51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</row>
    <row r="963" spans="1:51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</row>
    <row r="964" spans="1:51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</row>
    <row r="965" spans="1:51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</row>
    <row r="966" spans="1:51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</row>
    <row r="967" spans="1:51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</row>
    <row r="968" spans="1:51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</row>
    <row r="969" spans="1:51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</row>
    <row r="970" spans="1:51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</row>
    <row r="971" spans="1:51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</row>
    <row r="972" spans="1:51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</row>
    <row r="973" spans="1:51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</row>
    <row r="974" spans="1:51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</row>
    <row r="975" spans="1:51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</row>
    <row r="976" spans="1:51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1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</row>
    <row r="978" spans="1:51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</row>
    <row r="979" spans="1:51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</row>
    <row r="980" spans="1:51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</row>
    <row r="981" spans="1:51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</row>
    <row r="982" spans="1:51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</row>
    <row r="983" spans="1:51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</row>
    <row r="984" spans="1:51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</row>
    <row r="985" spans="1:51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</row>
    <row r="986" spans="1:51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</row>
    <row r="987" spans="1:51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</row>
    <row r="988" spans="1:51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</row>
    <row r="989" spans="1:51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</row>
    <row r="990" spans="1:51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</row>
    <row r="991" spans="1:51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</row>
    <row r="992" spans="1:51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</row>
    <row r="993" spans="1:51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</row>
    <row r="994" spans="1:51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</row>
    <row r="995" spans="1:51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</row>
    <row r="996" spans="1:51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</row>
    <row r="997" spans="1:51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</row>
    <row r="998" spans="1:51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</row>
    <row r="999" spans="1:51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</row>
    <row r="1000" spans="1:51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</row>
    <row r="1001" spans="1:51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</row>
    <row r="1002" spans="1:51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</row>
    <row r="1003" spans="1:51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</row>
    <row r="1004" spans="1:51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</row>
    <row r="1005" spans="1:51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</row>
    <row r="1006" spans="1:51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</row>
    <row r="1007" spans="1:51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</row>
    <row r="1008" spans="1:51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</row>
    <row r="1009" spans="1:51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</row>
    <row r="1010" spans="1:51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</row>
    <row r="1011" spans="1:51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</row>
    <row r="1012" spans="1:51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</row>
    <row r="1013" spans="1:51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</row>
    <row r="1014" spans="1:51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</row>
    <row r="1015" spans="1:51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</row>
    <row r="1016" spans="1:51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</row>
    <row r="1017" spans="1:51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</row>
    <row r="1018" spans="1:51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</row>
    <row r="1019" spans="1:51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</row>
    <row r="1020" spans="1:51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</row>
    <row r="1021" spans="1:51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</row>
    <row r="1022" spans="1:51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</row>
    <row r="1023" spans="1:51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</row>
    <row r="1024" spans="1:51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</row>
    <row r="1025" spans="1:51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</row>
    <row r="1026" spans="1:51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</row>
    <row r="1027" spans="1:51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</row>
    <row r="1028" spans="1:51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</row>
    <row r="1029" spans="1:51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</row>
    <row r="1030" spans="1:51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</row>
    <row r="1031" spans="1:51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</row>
    <row r="1032" spans="1:51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</row>
    <row r="1033" spans="1:51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</row>
    <row r="1034" spans="1:51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</row>
    <row r="1035" spans="1:51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</row>
    <row r="1036" spans="1:51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</row>
    <row r="1037" spans="1:51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</row>
    <row r="1038" spans="1:51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</row>
    <row r="1039" spans="1:51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</row>
    <row r="1040" spans="1:51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</row>
    <row r="1041" spans="1:51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</row>
    <row r="1042" spans="1:51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</row>
    <row r="1043" spans="1:51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</row>
    <row r="1044" spans="1:51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</row>
    <row r="1045" spans="1:51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</row>
    <row r="1046" spans="1:51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</row>
    <row r="1047" spans="1:51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</row>
    <row r="1048" spans="1:51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</row>
    <row r="1049" spans="1:51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</row>
    <row r="1050" spans="1:51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</row>
    <row r="1051" spans="1:51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</row>
    <row r="1052" spans="1:51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</row>
    <row r="1053" spans="1:51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</row>
    <row r="1054" spans="1:51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</row>
    <row r="1055" spans="1:51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</row>
    <row r="1056" spans="1:51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</row>
    <row r="1057" spans="1:51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</row>
    <row r="1058" spans="1:51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</row>
    <row r="1059" spans="1:51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</row>
    <row r="1060" spans="1:51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</row>
    <row r="1061" spans="1:51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</row>
    <row r="1062" spans="1:51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</row>
    <row r="1063" spans="1:51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</row>
    <row r="1064" spans="1:51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</row>
    <row r="1065" spans="1:51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</row>
    <row r="1066" spans="1:51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</row>
    <row r="1067" spans="1:51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</row>
    <row r="1068" spans="1:51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</row>
    <row r="1069" spans="1:51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</row>
    <row r="1070" spans="1:51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</row>
    <row r="1071" spans="1:51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</row>
    <row r="1072" spans="1:51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</row>
    <row r="1073" spans="1:51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</row>
    <row r="1074" spans="1:51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</row>
    <row r="1075" spans="1:51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</row>
    <row r="1076" spans="1:51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</row>
    <row r="1077" spans="1:51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</row>
    <row r="1078" spans="1:51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</row>
    <row r="1079" spans="1:51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</row>
    <row r="1080" spans="1:51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</row>
    <row r="1081" spans="1:51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</row>
    <row r="1082" spans="1:51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</row>
    <row r="1083" spans="1:51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</row>
    <row r="1084" spans="1:51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</row>
    <row r="1085" spans="1:51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</row>
    <row r="1086" spans="1:51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</row>
    <row r="1087" spans="1:51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</row>
    <row r="1088" spans="1:51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</row>
    <row r="1089" spans="1:51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</row>
    <row r="1090" spans="1:51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</row>
    <row r="1091" spans="1:51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</row>
    <row r="1092" spans="1:51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</row>
    <row r="1093" spans="1:51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</row>
    <row r="1094" spans="1:51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</row>
    <row r="1095" spans="1:51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</row>
    <row r="1096" spans="1:51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</row>
    <row r="1097" spans="1:51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</row>
    <row r="1098" spans="1:51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</row>
    <row r="1099" spans="1:51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</row>
    <row r="1100" spans="1:51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</row>
    <row r="1101" spans="1:51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</row>
    <row r="1102" spans="1:51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</row>
    <row r="1103" spans="1:51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</row>
    <row r="1104" spans="1:51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</row>
    <row r="1105" spans="1:51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</row>
    <row r="1106" spans="1:51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</row>
    <row r="1107" spans="1:51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</row>
    <row r="1108" spans="1:51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</row>
    <row r="1109" spans="1:51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</row>
    <row r="1110" spans="1:51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</row>
    <row r="1111" spans="1:51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</row>
    <row r="1112" spans="1:51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</row>
    <row r="1113" spans="1:51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</row>
    <row r="1114" spans="1:51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</row>
    <row r="1115" spans="1:51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</row>
    <row r="1116" spans="1:51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</row>
    <row r="1117" spans="1:51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</row>
    <row r="1118" spans="1:51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</row>
    <row r="1119" spans="1:51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</row>
    <row r="1120" spans="1:51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</row>
    <row r="1121" spans="1:51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</row>
    <row r="1122" spans="1:51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</row>
    <row r="1123" spans="1:51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</row>
    <row r="1124" spans="1:51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</row>
    <row r="1125" spans="1:51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</row>
    <row r="1126" spans="1:51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</row>
    <row r="1127" spans="1:51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</row>
    <row r="1128" spans="1:51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</row>
    <row r="1129" spans="1:51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</row>
    <row r="1130" spans="1:51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</row>
    <row r="1131" spans="1:51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</row>
    <row r="1132" spans="1:51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</row>
    <row r="1133" spans="1:51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</row>
    <row r="1134" spans="1:51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</row>
    <row r="1135" spans="1:51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</row>
    <row r="1136" spans="1:51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</row>
    <row r="1137" spans="1:51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</row>
    <row r="1138" spans="1:51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</row>
    <row r="1139" spans="1:51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</row>
    <row r="1140" spans="1:51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</row>
    <row r="1141" spans="1:51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</row>
    <row r="1142" spans="1:51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</row>
    <row r="1143" spans="1:51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</row>
    <row r="1144" spans="1:51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</row>
    <row r="1145" spans="1:51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</row>
    <row r="1146" spans="1:51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</row>
    <row r="1147" spans="1:51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</row>
    <row r="1148" spans="1:51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</row>
    <row r="1149" spans="1:51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</row>
    <row r="1150" spans="1:51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</row>
    <row r="1151" spans="1:51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</row>
    <row r="1152" spans="1:51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</row>
    <row r="1153" spans="3:51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</row>
    <row r="1154" spans="3:51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D1154"/>
  <sheetViews>
    <sheetView showGridLines="0" workbookViewId="0">
      <selection activeCell="H11" sqref="H11"/>
    </sheetView>
  </sheetViews>
  <sheetFormatPr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1.5703125" style="56" customWidth="1"/>
    <col min="21" max="22" width="9.140625" style="56"/>
    <col min="23" max="23" width="11.5703125" style="56" customWidth="1"/>
    <col min="24" max="25" width="9.140625" style="56"/>
    <col min="26" max="29" width="11.5703125" style="56" customWidth="1"/>
    <col min="30" max="16384" width="9.140625" style="56"/>
  </cols>
  <sheetData>
    <row r="1" spans="1:30" s="1" customFormat="1" ht="23.25" x14ac:dyDescent="0.35">
      <c r="A1" s="83"/>
      <c r="C1" s="70" t="s">
        <v>1517</v>
      </c>
      <c r="D1" s="2"/>
      <c r="J1" s="74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448</v>
      </c>
      <c r="U1" s="75" t="s">
        <v>447</v>
      </c>
      <c r="V1" s="75"/>
      <c r="W1" s="75"/>
      <c r="X1" s="75"/>
      <c r="Y1" s="75"/>
      <c r="Z1" s="75"/>
      <c r="AA1" s="75"/>
      <c r="AB1" s="75"/>
      <c r="AC1" s="75"/>
      <c r="AD1" s="75"/>
    </row>
    <row r="2" spans="1:30" s="2" customFormat="1" x14ac:dyDescent="0.25">
      <c r="A2" s="83"/>
      <c r="B2" s="2" t="s">
        <v>0</v>
      </c>
      <c r="C2" s="2" t="s">
        <v>0</v>
      </c>
      <c r="E2" s="2" t="s">
        <v>0</v>
      </c>
      <c r="H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</row>
    <row r="3" spans="1:3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78" t="s">
        <v>1491</v>
      </c>
      <c r="K3" s="76"/>
      <c r="L3" s="76"/>
      <c r="M3" s="76"/>
      <c r="N3" s="76"/>
      <c r="O3" s="76"/>
      <c r="P3" s="76"/>
      <c r="Q3" s="76"/>
      <c r="R3" s="76"/>
      <c r="S3" s="77"/>
      <c r="T3" s="51" t="s">
        <v>65</v>
      </c>
      <c r="U3" s="64" t="s">
        <v>1491</v>
      </c>
      <c r="V3" s="65"/>
      <c r="W3" s="65"/>
      <c r="X3" s="65"/>
      <c r="Y3" s="65"/>
      <c r="Z3" s="65"/>
      <c r="AA3" s="65"/>
      <c r="AB3" s="65"/>
      <c r="AC3" s="65"/>
      <c r="AD3" s="66"/>
    </row>
    <row r="4" spans="1:30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99</v>
      </c>
      <c r="K4" s="13" t="s">
        <v>100</v>
      </c>
      <c r="L4" s="13" t="s">
        <v>101</v>
      </c>
      <c r="M4" s="13" t="s">
        <v>102</v>
      </c>
      <c r="N4" s="13" t="s">
        <v>103</v>
      </c>
      <c r="O4" s="13" t="s">
        <v>1492</v>
      </c>
      <c r="P4" s="13" t="s">
        <v>1493</v>
      </c>
      <c r="Q4" s="13" t="s">
        <v>1494</v>
      </c>
      <c r="R4" s="13" t="s">
        <v>1495</v>
      </c>
      <c r="S4" s="9" t="s">
        <v>1496</v>
      </c>
      <c r="T4" s="12" t="s">
        <v>182</v>
      </c>
      <c r="U4" s="67" t="s">
        <v>99</v>
      </c>
      <c r="V4" s="68" t="s">
        <v>100</v>
      </c>
      <c r="W4" s="68" t="s">
        <v>101</v>
      </c>
      <c r="X4" s="68" t="s">
        <v>102</v>
      </c>
      <c r="Y4" s="68" t="s">
        <v>103</v>
      </c>
      <c r="Z4" s="68" t="s">
        <v>1492</v>
      </c>
      <c r="AA4" s="68" t="s">
        <v>1493</v>
      </c>
      <c r="AB4" s="68" t="s">
        <v>1494</v>
      </c>
      <c r="AC4" s="68" t="s">
        <v>1495</v>
      </c>
      <c r="AD4" s="69" t="s">
        <v>1496</v>
      </c>
    </row>
    <row r="5" spans="1:30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7">
        <f>SUBTOTAL(109,keypop_T[D_hts_tst_keypop_fy19])</f>
        <v>0</v>
      </c>
      <c r="U5" s="47">
        <f>SUBTOTAL(109,keypop_T[hts_tst_keypop_fsw_pos])</f>
        <v>0</v>
      </c>
      <c r="V5" s="47">
        <f>SUBTOTAL(109,keypop_T[hts_tst_keypop_msm_pos])</f>
        <v>0</v>
      </c>
      <c r="W5" s="47">
        <f>SUBTOTAL(109,keypop_T[hts_tst_keypop_prison_pos])</f>
        <v>0</v>
      </c>
      <c r="X5" s="47">
        <f>SUBTOTAL(109,keypop_T[hts_tst_keypop_pwid_pos])</f>
        <v>0</v>
      </c>
      <c r="Y5" s="47">
        <f>SUBTOTAL(109,keypop_T[hts_tst_keypop_tg_pos])</f>
        <v>0</v>
      </c>
      <c r="Z5" s="47">
        <f>SUBTOTAL(109,keypop_T[hts_tst_keypop_fsw_neg])</f>
        <v>0</v>
      </c>
      <c r="AA5" s="47">
        <f>SUBTOTAL(109,keypop_T[hts_tst_keypop_msm_neg])</f>
        <v>0</v>
      </c>
      <c r="AB5" s="47">
        <f>SUBTOTAL(109,keypop_T[hts_tst_keypop_prison_neg])</f>
        <v>0</v>
      </c>
      <c r="AC5" s="47">
        <f>SUBTOTAL(109,keypop_T[hts_tst_keypop_pwid_neg])</f>
        <v>0</v>
      </c>
      <c r="AD5" s="47">
        <f>SUBTOTAL(109,keypop_T[hts_tst_keypop_tg_neg])</f>
        <v>0</v>
      </c>
    </row>
    <row r="6" spans="1:30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1507</v>
      </c>
      <c r="K6" s="25" t="s">
        <v>1508</v>
      </c>
      <c r="L6" s="25" t="s">
        <v>1509</v>
      </c>
      <c r="M6" s="25" t="s">
        <v>1510</v>
      </c>
      <c r="N6" s="25" t="s">
        <v>1511</v>
      </c>
      <c r="O6" s="25" t="s">
        <v>1512</v>
      </c>
      <c r="P6" s="25" t="s">
        <v>1513</v>
      </c>
      <c r="Q6" s="25" t="s">
        <v>1514</v>
      </c>
      <c r="R6" s="25" t="s">
        <v>1515</v>
      </c>
      <c r="S6" s="25" t="s">
        <v>1516</v>
      </c>
      <c r="T6" s="25" t="s">
        <v>263</v>
      </c>
      <c r="U6" s="25" t="s">
        <v>1497</v>
      </c>
      <c r="V6" s="25" t="s">
        <v>1498</v>
      </c>
      <c r="W6" s="25" t="s">
        <v>1499</v>
      </c>
      <c r="X6" s="25" t="s">
        <v>1500</v>
      </c>
      <c r="Y6" s="25" t="s">
        <v>1501</v>
      </c>
      <c r="Z6" s="25" t="s">
        <v>1502</v>
      </c>
      <c r="AA6" s="25" t="s">
        <v>1503</v>
      </c>
      <c r="AB6" s="25" t="s">
        <v>1504</v>
      </c>
      <c r="AC6" s="25" t="s">
        <v>1505</v>
      </c>
      <c r="AD6" s="25" t="s">
        <v>1506</v>
      </c>
    </row>
    <row r="7" spans="1:30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</row>
    <row r="8" spans="1:3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W8" s="19"/>
      <c r="Z8" s="19"/>
      <c r="AA8" s="19"/>
      <c r="AB8" s="19"/>
      <c r="AC8" s="19"/>
    </row>
    <row r="9" spans="1:3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W9" s="19"/>
      <c r="Z9" s="19"/>
      <c r="AA9" s="19"/>
      <c r="AB9" s="19"/>
      <c r="AC9" s="19"/>
    </row>
    <row r="10" spans="1:30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W10" s="19"/>
      <c r="Z10" s="19"/>
      <c r="AA10" s="19"/>
      <c r="AB10" s="19"/>
      <c r="AC10" s="19"/>
    </row>
    <row r="11" spans="1:30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</row>
    <row r="12" spans="1:30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</row>
    <row r="13" spans="1:30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30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30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30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1:19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1:19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  <row r="19" spans="1:19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</row>
    <row r="20" spans="1:19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</row>
    <row r="21" spans="1:19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</row>
    <row r="22" spans="1:19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1:19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</row>
    <row r="24" spans="1:19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</row>
    <row r="25" spans="1:19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</row>
    <row r="26" spans="1:19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</row>
    <row r="27" spans="1:19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</row>
    <row r="28" spans="1:19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</row>
    <row r="29" spans="1:19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</row>
    <row r="30" spans="1:19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</row>
    <row r="31" spans="1:19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</row>
    <row r="32" spans="1:19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</row>
    <row r="33" spans="1:19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  <row r="34" spans="1:19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</row>
    <row r="35" spans="1:19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</row>
    <row r="36" spans="1:19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</row>
    <row r="37" spans="1:19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</row>
    <row r="38" spans="1:19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</row>
    <row r="39" spans="1:19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</row>
    <row r="40" spans="1:19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</row>
    <row r="41" spans="1:19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</row>
    <row r="42" spans="1:19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</row>
    <row r="43" spans="1:19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</row>
    <row r="44" spans="1:19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</row>
    <row r="45" spans="1:19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</row>
    <row r="46" spans="1:19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</row>
    <row r="47" spans="1:19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</row>
    <row r="48" spans="1:19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</row>
    <row r="49" spans="1:19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</row>
    <row r="50" spans="1:19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</row>
    <row r="51" spans="1:19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</row>
    <row r="52" spans="1:19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</row>
    <row r="53" spans="1:19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</row>
    <row r="54" spans="1:19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</row>
    <row r="55" spans="1:19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</row>
    <row r="56" spans="1:19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</row>
    <row r="57" spans="1:19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</row>
    <row r="58" spans="1:19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</row>
    <row r="59" spans="1:19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</row>
    <row r="60" spans="1:19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</row>
    <row r="61" spans="1:19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</row>
    <row r="62" spans="1:19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</row>
    <row r="63" spans="1:19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</row>
    <row r="64" spans="1:19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</row>
    <row r="65" spans="1:19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</row>
    <row r="66" spans="1:19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</row>
    <row r="67" spans="1:19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</row>
    <row r="68" spans="1:19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</row>
    <row r="69" spans="1:19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</row>
    <row r="70" spans="1:19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</row>
    <row r="71" spans="1:19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</row>
    <row r="72" spans="1:19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</row>
    <row r="73" spans="1:19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</row>
    <row r="74" spans="1:19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</row>
    <row r="75" spans="1:19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</row>
    <row r="76" spans="1:19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</row>
    <row r="77" spans="1:19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</row>
    <row r="78" spans="1:19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</row>
    <row r="79" spans="1:19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</row>
    <row r="80" spans="1:19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</row>
    <row r="81" spans="1:19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</row>
    <row r="82" spans="1:19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</row>
    <row r="83" spans="1:19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</row>
    <row r="84" spans="1:19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</row>
    <row r="85" spans="1:19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</row>
    <row r="86" spans="1:19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</row>
    <row r="87" spans="1:19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</row>
    <row r="88" spans="1:19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</row>
    <row r="89" spans="1:19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</row>
    <row r="90" spans="1:19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</row>
    <row r="91" spans="1:19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</row>
    <row r="92" spans="1:19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</row>
    <row r="93" spans="1:19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</row>
    <row r="94" spans="1:19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</row>
    <row r="95" spans="1:19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</row>
    <row r="96" spans="1:19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</row>
    <row r="97" spans="1:19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</row>
    <row r="98" spans="1:19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</row>
    <row r="99" spans="1:19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</row>
    <row r="100" spans="1:19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</row>
    <row r="101" spans="1:19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</row>
    <row r="102" spans="1:19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</row>
    <row r="103" spans="1:19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</row>
    <row r="104" spans="1:19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</row>
    <row r="105" spans="1:19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</row>
    <row r="106" spans="1:19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</row>
    <row r="107" spans="1:19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</row>
    <row r="108" spans="1:19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</row>
    <row r="109" spans="1:19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</row>
    <row r="110" spans="1:19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</row>
    <row r="111" spans="1:19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</row>
    <row r="112" spans="1:19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</row>
    <row r="113" spans="1:19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</row>
    <row r="114" spans="1:19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</row>
    <row r="115" spans="1:19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</row>
    <row r="116" spans="1:19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</row>
    <row r="117" spans="1:19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</row>
    <row r="118" spans="1:19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</row>
    <row r="119" spans="1:19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</row>
    <row r="120" spans="1:19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</row>
    <row r="121" spans="1:19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</row>
    <row r="122" spans="1:19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</row>
    <row r="123" spans="1:19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</row>
    <row r="124" spans="1:19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</row>
    <row r="125" spans="1:19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</row>
    <row r="126" spans="1:19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</row>
    <row r="127" spans="1:19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</row>
    <row r="128" spans="1:19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</row>
    <row r="129" spans="1:19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</row>
    <row r="130" spans="1:19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</row>
    <row r="131" spans="1:19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</row>
    <row r="132" spans="1:19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</row>
    <row r="133" spans="1:19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</row>
    <row r="134" spans="1:19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</row>
    <row r="135" spans="1:19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</row>
    <row r="136" spans="1:19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</row>
    <row r="137" spans="1:19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</row>
    <row r="138" spans="1:19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</row>
    <row r="139" spans="1:19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</row>
    <row r="140" spans="1:19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</row>
    <row r="141" spans="1:19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</row>
    <row r="142" spans="1:19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</row>
    <row r="143" spans="1:19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</row>
    <row r="144" spans="1:19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</row>
    <row r="145" spans="1:19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</row>
    <row r="146" spans="1:19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</row>
    <row r="147" spans="1:19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</row>
    <row r="148" spans="1:19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</row>
    <row r="149" spans="1:19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</row>
    <row r="150" spans="1:19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</row>
    <row r="151" spans="1:19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</row>
    <row r="152" spans="1:19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</row>
    <row r="153" spans="1:19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</row>
    <row r="154" spans="1:19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</row>
    <row r="155" spans="1:19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</row>
    <row r="156" spans="1:19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</row>
    <row r="157" spans="1:19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</row>
    <row r="158" spans="1:19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</row>
    <row r="159" spans="1:19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</row>
    <row r="160" spans="1:19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</row>
    <row r="161" spans="1:19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</row>
    <row r="162" spans="1:19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</row>
    <row r="163" spans="1:19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</row>
    <row r="164" spans="1:19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</row>
    <row r="165" spans="1:19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</row>
    <row r="166" spans="1:19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</row>
    <row r="167" spans="1:19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</row>
    <row r="168" spans="1:19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</row>
    <row r="169" spans="1:19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</row>
    <row r="170" spans="1:19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</row>
    <row r="171" spans="1:19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</row>
    <row r="172" spans="1:19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</row>
    <row r="173" spans="1:19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</row>
    <row r="174" spans="1:19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</row>
    <row r="175" spans="1:19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</row>
    <row r="176" spans="1:19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</row>
    <row r="177" spans="1:19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</row>
    <row r="178" spans="1:19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</row>
    <row r="179" spans="1:19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</row>
    <row r="180" spans="1:19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</row>
    <row r="181" spans="1:19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</row>
    <row r="182" spans="1:19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</row>
    <row r="183" spans="1:19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</row>
    <row r="184" spans="1:19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</row>
    <row r="185" spans="1:19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</row>
    <row r="186" spans="1:19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</row>
    <row r="187" spans="1:19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</row>
    <row r="188" spans="1:19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</row>
    <row r="189" spans="1:19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</row>
    <row r="190" spans="1:19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</row>
    <row r="191" spans="1:19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</row>
    <row r="192" spans="1:19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</row>
    <row r="193" spans="1:19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</row>
    <row r="194" spans="1:19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</row>
    <row r="195" spans="1:19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</row>
    <row r="196" spans="1:19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</row>
    <row r="197" spans="1:19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</row>
    <row r="198" spans="1:19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</row>
    <row r="199" spans="1:19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</row>
    <row r="200" spans="1:19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</row>
    <row r="201" spans="1:19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</row>
    <row r="202" spans="1:19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</row>
    <row r="203" spans="1:19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</row>
    <row r="204" spans="1:19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</row>
    <row r="205" spans="1:19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</row>
    <row r="206" spans="1:19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</row>
    <row r="207" spans="1:19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</row>
    <row r="208" spans="1:19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</row>
    <row r="209" spans="1:19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</row>
    <row r="210" spans="1:19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</row>
    <row r="211" spans="1:19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</row>
    <row r="212" spans="1:19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</row>
    <row r="213" spans="1:19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</row>
    <row r="214" spans="1:19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</row>
    <row r="215" spans="1:19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</row>
    <row r="216" spans="1:19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</row>
    <row r="217" spans="1:19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</row>
    <row r="218" spans="1:19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</row>
    <row r="219" spans="1:19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</row>
    <row r="220" spans="1:19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</row>
    <row r="221" spans="1:19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</row>
    <row r="222" spans="1:19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</row>
    <row r="223" spans="1:19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</row>
    <row r="224" spans="1:19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</row>
    <row r="225" spans="1:19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</row>
    <row r="226" spans="1:19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</row>
    <row r="227" spans="1:19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</row>
    <row r="228" spans="1:19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</row>
    <row r="229" spans="1:19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</row>
    <row r="230" spans="1:19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</row>
    <row r="231" spans="1:19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</row>
    <row r="232" spans="1:19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</row>
    <row r="233" spans="1:19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</row>
    <row r="234" spans="1:19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</row>
    <row r="235" spans="1:19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</row>
    <row r="236" spans="1:19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</row>
    <row r="237" spans="1:19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</row>
    <row r="238" spans="1:19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</row>
    <row r="239" spans="1:19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</row>
    <row r="240" spans="1:19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</row>
    <row r="241" spans="1:19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</row>
    <row r="242" spans="1:19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</row>
    <row r="243" spans="1:19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</row>
    <row r="244" spans="1:19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</row>
    <row r="245" spans="1:19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</row>
    <row r="246" spans="1:19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</row>
    <row r="247" spans="1:19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</row>
    <row r="248" spans="1:19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</row>
    <row r="249" spans="1:19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</row>
    <row r="250" spans="1:19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</row>
    <row r="251" spans="1:19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</row>
    <row r="252" spans="1:19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</row>
    <row r="253" spans="1:19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</row>
    <row r="254" spans="1:19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</row>
    <row r="255" spans="1:19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</row>
    <row r="256" spans="1:19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</row>
    <row r="257" spans="1:19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</row>
    <row r="258" spans="1:19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</row>
    <row r="259" spans="1:19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</row>
    <row r="260" spans="1:19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</row>
    <row r="261" spans="1:19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</row>
    <row r="262" spans="1:19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</row>
    <row r="263" spans="1:19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</row>
    <row r="264" spans="1:19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</row>
    <row r="265" spans="1:19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</row>
    <row r="266" spans="1:19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</row>
    <row r="267" spans="1:19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</row>
    <row r="268" spans="1:19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</row>
    <row r="269" spans="1:19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</row>
    <row r="270" spans="1:19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</row>
    <row r="271" spans="1:19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</row>
    <row r="272" spans="1:19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</row>
    <row r="273" spans="1:19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</row>
    <row r="274" spans="1:19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</row>
    <row r="275" spans="1:19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</row>
    <row r="276" spans="1:19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</row>
    <row r="277" spans="1:19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</row>
    <row r="278" spans="1:19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</row>
    <row r="279" spans="1:19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</row>
    <row r="280" spans="1:19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</row>
    <row r="281" spans="1:19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</row>
    <row r="282" spans="1:19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</row>
    <row r="283" spans="1:19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</row>
    <row r="284" spans="1:19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</row>
    <row r="285" spans="1:19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</row>
    <row r="286" spans="1:19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</row>
    <row r="287" spans="1:19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</row>
    <row r="288" spans="1:19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</row>
    <row r="289" spans="1:19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</row>
    <row r="290" spans="1:19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</row>
    <row r="291" spans="1:19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</row>
    <row r="292" spans="1:19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</row>
    <row r="293" spans="1:19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</row>
    <row r="294" spans="1:19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</row>
    <row r="295" spans="1:19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</row>
    <row r="296" spans="1:19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</row>
    <row r="297" spans="1:19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</row>
    <row r="298" spans="1:19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</row>
    <row r="299" spans="1:19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</row>
    <row r="300" spans="1:19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</row>
    <row r="301" spans="1:19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</row>
    <row r="302" spans="1:19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</row>
    <row r="303" spans="1:19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</row>
    <row r="304" spans="1:19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</row>
    <row r="305" spans="1:19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</row>
    <row r="306" spans="1:19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</row>
    <row r="307" spans="1:19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</row>
    <row r="308" spans="1:19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</row>
    <row r="309" spans="1:19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</row>
    <row r="310" spans="1:19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</row>
    <row r="311" spans="1:19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</row>
    <row r="312" spans="1:19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</row>
    <row r="313" spans="1:19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</row>
    <row r="314" spans="1:19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</row>
    <row r="315" spans="1:19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</row>
    <row r="316" spans="1:19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</row>
    <row r="317" spans="1:19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</row>
    <row r="318" spans="1:19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</row>
    <row r="319" spans="1:19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</row>
    <row r="320" spans="1:19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</row>
    <row r="321" spans="1:19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</row>
    <row r="322" spans="1:19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</row>
    <row r="323" spans="1:19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</row>
    <row r="324" spans="1:19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</row>
    <row r="325" spans="1:19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</row>
    <row r="326" spans="1:19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</row>
    <row r="327" spans="1:19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</row>
    <row r="328" spans="1:19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</row>
    <row r="329" spans="1:19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</row>
    <row r="330" spans="1:19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</row>
    <row r="331" spans="1:19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</row>
    <row r="332" spans="1:19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</row>
    <row r="333" spans="1:19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</row>
    <row r="334" spans="1:19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</row>
    <row r="335" spans="1:19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</row>
    <row r="336" spans="1:19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</row>
    <row r="337" spans="1:19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</row>
    <row r="338" spans="1:19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</row>
    <row r="339" spans="1:19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</row>
    <row r="340" spans="1:19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</row>
    <row r="341" spans="1:19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</row>
    <row r="342" spans="1:19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</row>
    <row r="343" spans="1:19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</row>
    <row r="344" spans="1:19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</row>
    <row r="345" spans="1:19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</row>
    <row r="346" spans="1:19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</row>
    <row r="347" spans="1:19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</row>
    <row r="348" spans="1:19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</row>
    <row r="349" spans="1:19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</row>
    <row r="350" spans="1:19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</row>
    <row r="351" spans="1:19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</row>
    <row r="352" spans="1:19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</row>
    <row r="353" spans="1:19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</row>
    <row r="354" spans="1:19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</row>
    <row r="355" spans="1:19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</row>
    <row r="356" spans="1:19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</row>
    <row r="357" spans="1:19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</row>
    <row r="358" spans="1:19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</row>
    <row r="359" spans="1:19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</row>
    <row r="360" spans="1:19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</row>
    <row r="361" spans="1:19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</row>
    <row r="362" spans="1:19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</row>
    <row r="363" spans="1:19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</row>
    <row r="364" spans="1:19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</row>
    <row r="365" spans="1:19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</row>
    <row r="366" spans="1:19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</row>
    <row r="367" spans="1:19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</row>
    <row r="368" spans="1:19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</row>
    <row r="369" spans="1:19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</row>
    <row r="370" spans="1:19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</row>
    <row r="371" spans="1:19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</row>
    <row r="372" spans="1:19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</row>
    <row r="373" spans="1:19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</row>
    <row r="374" spans="1:19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</row>
    <row r="375" spans="1:19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</row>
    <row r="376" spans="1:19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</row>
    <row r="377" spans="1:19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</row>
    <row r="378" spans="1:19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</row>
    <row r="379" spans="1:19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</row>
    <row r="380" spans="1:19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</row>
    <row r="381" spans="1:19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</row>
    <row r="382" spans="1:19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</row>
    <row r="383" spans="1:19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</row>
    <row r="384" spans="1:19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</row>
    <row r="385" spans="1:19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</row>
    <row r="386" spans="1:19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</row>
    <row r="387" spans="1:19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</row>
    <row r="388" spans="1:19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</row>
    <row r="389" spans="1:19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</row>
    <row r="390" spans="1:19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</row>
    <row r="391" spans="1:19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</row>
    <row r="392" spans="1:19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</row>
    <row r="393" spans="1:19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</row>
    <row r="394" spans="1:19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</row>
    <row r="395" spans="1:19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</row>
    <row r="396" spans="1:19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</row>
    <row r="397" spans="1:19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</row>
    <row r="398" spans="1:19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</row>
    <row r="399" spans="1:19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</row>
    <row r="400" spans="1:19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</row>
    <row r="401" spans="1:19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</row>
    <row r="402" spans="1:19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</row>
    <row r="403" spans="1:19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</row>
    <row r="404" spans="1:19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</row>
    <row r="405" spans="1:19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</row>
    <row r="406" spans="1:19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</row>
    <row r="407" spans="1:19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</row>
    <row r="408" spans="1:19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</row>
    <row r="409" spans="1:19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</row>
    <row r="410" spans="1:19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</row>
    <row r="411" spans="1:19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</row>
    <row r="412" spans="1:19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</row>
    <row r="413" spans="1:19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</row>
    <row r="414" spans="1:19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</row>
    <row r="415" spans="1:19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</row>
    <row r="416" spans="1:19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</row>
    <row r="417" spans="1:19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</row>
    <row r="418" spans="1:19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</row>
    <row r="419" spans="1:19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</row>
    <row r="420" spans="1:19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</row>
    <row r="421" spans="1:19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</row>
    <row r="422" spans="1:19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</row>
    <row r="423" spans="1:19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</row>
    <row r="424" spans="1:19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</row>
    <row r="425" spans="1:19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</row>
    <row r="426" spans="1:19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</row>
    <row r="427" spans="1:19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</row>
    <row r="428" spans="1:19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</row>
    <row r="429" spans="1:19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</row>
    <row r="430" spans="1:19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</row>
    <row r="431" spans="1:19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</row>
    <row r="432" spans="1:19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</row>
    <row r="433" spans="1:19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</row>
    <row r="434" spans="1:19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</row>
    <row r="435" spans="1:19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</row>
    <row r="436" spans="1:19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</row>
    <row r="437" spans="1:19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</row>
    <row r="438" spans="1:19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</row>
    <row r="439" spans="1:19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</row>
    <row r="440" spans="1:19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</row>
    <row r="441" spans="1:19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</row>
    <row r="442" spans="1:19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</row>
    <row r="443" spans="1:19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</row>
    <row r="444" spans="1:19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</row>
    <row r="445" spans="1:19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</row>
    <row r="446" spans="1:19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</row>
    <row r="447" spans="1:19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</row>
    <row r="448" spans="1:19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</row>
    <row r="449" spans="1:19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</row>
    <row r="450" spans="1:19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</row>
    <row r="451" spans="1:19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</row>
    <row r="452" spans="1:19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</row>
    <row r="453" spans="1:19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</row>
    <row r="454" spans="1:19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</row>
    <row r="455" spans="1:19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</row>
    <row r="456" spans="1:19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</row>
    <row r="457" spans="1:19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</row>
    <row r="458" spans="1:19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</row>
    <row r="459" spans="1:19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</row>
    <row r="460" spans="1:19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</row>
    <row r="461" spans="1:19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</row>
    <row r="462" spans="1:19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</row>
    <row r="463" spans="1:19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</row>
    <row r="464" spans="1:19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</row>
    <row r="465" spans="1:19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</row>
    <row r="466" spans="1:19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</row>
    <row r="467" spans="1:19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</row>
    <row r="468" spans="1:19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</row>
    <row r="469" spans="1:19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</row>
    <row r="470" spans="1:19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</row>
    <row r="471" spans="1:19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</row>
    <row r="472" spans="1:19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</row>
    <row r="473" spans="1:19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</row>
    <row r="474" spans="1:19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</row>
    <row r="475" spans="1:19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</row>
    <row r="476" spans="1:19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</row>
    <row r="477" spans="1:19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</row>
    <row r="478" spans="1:19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</row>
    <row r="479" spans="1:19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</row>
    <row r="480" spans="1:19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</row>
    <row r="481" spans="1:19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</row>
    <row r="482" spans="1:19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</row>
    <row r="483" spans="1:19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</row>
    <row r="484" spans="1:19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</row>
    <row r="485" spans="1:19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</row>
    <row r="486" spans="1:19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</row>
    <row r="487" spans="1:19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</row>
    <row r="488" spans="1:19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</row>
    <row r="489" spans="1:19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</row>
    <row r="490" spans="1:19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</row>
    <row r="491" spans="1:19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</row>
    <row r="492" spans="1:19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</row>
    <row r="493" spans="1:19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</row>
    <row r="494" spans="1:19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</row>
    <row r="495" spans="1:19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</row>
    <row r="496" spans="1:19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</row>
    <row r="497" spans="1:19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</row>
    <row r="498" spans="1:19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</row>
    <row r="499" spans="1:19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</row>
    <row r="500" spans="1:19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</row>
    <row r="501" spans="1:19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</row>
    <row r="502" spans="1:19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</row>
    <row r="503" spans="1:19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</row>
    <row r="504" spans="1:19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</row>
    <row r="505" spans="1:19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</row>
    <row r="506" spans="1:19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</row>
    <row r="507" spans="1:19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</row>
    <row r="508" spans="1:19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</row>
    <row r="509" spans="1:19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</row>
    <row r="510" spans="1:19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</row>
    <row r="511" spans="1:19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</row>
    <row r="512" spans="1:19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</row>
    <row r="513" spans="1:19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</row>
    <row r="514" spans="1:19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</row>
    <row r="515" spans="1:19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</row>
    <row r="516" spans="1:19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</row>
    <row r="517" spans="1:19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</row>
    <row r="518" spans="1:19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</row>
    <row r="519" spans="1:19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</row>
    <row r="520" spans="1:19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</row>
    <row r="521" spans="1:19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</row>
    <row r="522" spans="1:19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</row>
    <row r="523" spans="1:19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</row>
    <row r="524" spans="1:19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</row>
    <row r="525" spans="1:19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</row>
    <row r="526" spans="1:19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</row>
    <row r="527" spans="1:19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</row>
    <row r="528" spans="1:19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</row>
    <row r="529" spans="1:19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</row>
    <row r="530" spans="1:19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</row>
    <row r="531" spans="1:19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</row>
    <row r="532" spans="1:19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</row>
    <row r="533" spans="1:19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</row>
    <row r="534" spans="1:19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</row>
    <row r="535" spans="1:19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</row>
    <row r="536" spans="1:19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</row>
    <row r="537" spans="1:19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</row>
    <row r="538" spans="1:19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</row>
    <row r="539" spans="1:19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</row>
    <row r="540" spans="1:19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</row>
    <row r="541" spans="1:19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</row>
    <row r="542" spans="1:19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</row>
    <row r="543" spans="1:19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</row>
    <row r="544" spans="1:19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</row>
    <row r="545" spans="1:19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</row>
    <row r="546" spans="1:19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</row>
    <row r="547" spans="1:19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</row>
    <row r="548" spans="1:19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</row>
    <row r="549" spans="1:19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</row>
    <row r="550" spans="1:19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</row>
    <row r="551" spans="1:19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</row>
    <row r="552" spans="1:19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</row>
    <row r="553" spans="1:19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</row>
    <row r="554" spans="1:19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</row>
    <row r="555" spans="1:19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</row>
    <row r="556" spans="1:19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</row>
    <row r="557" spans="1:19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</row>
    <row r="558" spans="1:19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</row>
    <row r="559" spans="1:19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</row>
    <row r="560" spans="1:19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</row>
    <row r="561" spans="1:19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</row>
    <row r="562" spans="1:19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</row>
    <row r="563" spans="1:19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</row>
    <row r="564" spans="1:19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</row>
    <row r="565" spans="1:19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</row>
    <row r="566" spans="1:19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</row>
    <row r="567" spans="1:19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</row>
    <row r="568" spans="1:19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</row>
    <row r="569" spans="1:19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</row>
    <row r="570" spans="1:19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</row>
    <row r="571" spans="1:19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</row>
    <row r="572" spans="1:19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</row>
    <row r="573" spans="1:19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</row>
    <row r="574" spans="1:19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</row>
    <row r="575" spans="1:19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</row>
    <row r="576" spans="1:19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</row>
    <row r="577" spans="1:19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</row>
    <row r="578" spans="1:19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</row>
    <row r="579" spans="1:19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</row>
    <row r="580" spans="1:19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</row>
    <row r="581" spans="1:19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</row>
    <row r="582" spans="1:19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</row>
    <row r="583" spans="1:19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</row>
    <row r="584" spans="1:19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</row>
    <row r="585" spans="1:19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</row>
    <row r="586" spans="1:19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</row>
    <row r="587" spans="1:19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</row>
    <row r="588" spans="1:19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</row>
    <row r="589" spans="1:19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</row>
    <row r="590" spans="1:19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</row>
    <row r="591" spans="1:19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</row>
    <row r="592" spans="1:19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</row>
    <row r="593" spans="1:19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</row>
    <row r="594" spans="1:19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</row>
    <row r="595" spans="1:19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</row>
    <row r="596" spans="1:19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</row>
    <row r="597" spans="1:19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</row>
    <row r="598" spans="1:19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</row>
    <row r="599" spans="1:19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</row>
    <row r="600" spans="1:19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</row>
    <row r="601" spans="1:19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</row>
    <row r="602" spans="1:19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</row>
    <row r="603" spans="1:19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</row>
    <row r="604" spans="1:19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</row>
    <row r="605" spans="1:19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</row>
    <row r="606" spans="1:19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</row>
    <row r="607" spans="1:19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</row>
    <row r="608" spans="1:19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</row>
    <row r="609" spans="1:19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</row>
    <row r="610" spans="1:19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</row>
    <row r="611" spans="1:19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</row>
    <row r="612" spans="1:19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</row>
    <row r="613" spans="1:19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</row>
    <row r="614" spans="1:19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</row>
    <row r="615" spans="1:19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</row>
    <row r="616" spans="1:19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</row>
    <row r="617" spans="1:19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</row>
    <row r="618" spans="1:19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</row>
    <row r="619" spans="1:19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</row>
    <row r="620" spans="1:19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</row>
    <row r="621" spans="1:19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</row>
    <row r="622" spans="1:19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</row>
    <row r="623" spans="1:19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</row>
    <row r="624" spans="1:19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</row>
    <row r="625" spans="1:19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</row>
    <row r="626" spans="1:19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</row>
    <row r="627" spans="1:19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</row>
    <row r="628" spans="1:19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</row>
    <row r="629" spans="1:19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</row>
    <row r="630" spans="1:19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</row>
    <row r="631" spans="1:19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</row>
    <row r="632" spans="1:19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</row>
    <row r="633" spans="1:19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</row>
    <row r="634" spans="1:19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</row>
    <row r="635" spans="1:19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</row>
    <row r="636" spans="1:19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</row>
    <row r="637" spans="1:19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</row>
    <row r="638" spans="1:19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</row>
    <row r="639" spans="1:19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</row>
    <row r="640" spans="1:19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</row>
    <row r="641" spans="1:19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</row>
    <row r="642" spans="1:19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</row>
    <row r="643" spans="1:19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</row>
    <row r="644" spans="1:19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</row>
    <row r="645" spans="1:19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</row>
    <row r="646" spans="1:19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</row>
    <row r="647" spans="1:19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</row>
    <row r="648" spans="1:19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</row>
    <row r="649" spans="1:19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</row>
    <row r="650" spans="1:19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</row>
    <row r="651" spans="1:19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</row>
    <row r="652" spans="1:19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</row>
    <row r="653" spans="1:19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</row>
    <row r="654" spans="1:19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</row>
    <row r="655" spans="1:19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</row>
    <row r="656" spans="1:19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</row>
    <row r="657" spans="1:19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</row>
    <row r="658" spans="1:19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</row>
    <row r="659" spans="1:19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</row>
    <row r="660" spans="1:19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</row>
    <row r="661" spans="1:19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</row>
    <row r="662" spans="1:19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</row>
    <row r="663" spans="1:19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</row>
    <row r="664" spans="1:19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</row>
    <row r="665" spans="1:19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</row>
    <row r="666" spans="1:19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</row>
    <row r="667" spans="1:19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</row>
    <row r="668" spans="1:19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</row>
    <row r="669" spans="1:19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</row>
    <row r="670" spans="1:19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</row>
    <row r="671" spans="1:19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</row>
    <row r="672" spans="1:19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</row>
    <row r="673" spans="1:19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</row>
    <row r="674" spans="1:19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</row>
    <row r="675" spans="1:19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</row>
    <row r="676" spans="1:19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</row>
    <row r="677" spans="1:19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</row>
    <row r="678" spans="1:19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</row>
    <row r="679" spans="1:19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</row>
    <row r="680" spans="1:19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</row>
    <row r="681" spans="1:19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</row>
    <row r="682" spans="1:19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</row>
    <row r="683" spans="1:19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</row>
    <row r="684" spans="1:19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</row>
    <row r="685" spans="1:19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</row>
    <row r="686" spans="1:19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</row>
    <row r="687" spans="1:19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</row>
    <row r="688" spans="1:19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</row>
    <row r="689" spans="1:19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</row>
    <row r="690" spans="1:19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</row>
    <row r="691" spans="1:19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</row>
    <row r="692" spans="1:19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</row>
    <row r="693" spans="1:19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</row>
    <row r="694" spans="1:19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</row>
    <row r="695" spans="1:19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</row>
    <row r="696" spans="1:19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</row>
    <row r="697" spans="1:19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</row>
    <row r="698" spans="1:19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</row>
    <row r="699" spans="1:19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</row>
    <row r="700" spans="1:19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</row>
    <row r="701" spans="1:19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</row>
    <row r="702" spans="1:19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</row>
    <row r="703" spans="1:19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</row>
    <row r="704" spans="1:19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</row>
    <row r="705" spans="1:19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</row>
    <row r="706" spans="1:19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</row>
    <row r="707" spans="1:19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</row>
    <row r="708" spans="1:19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</row>
    <row r="709" spans="1:19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</row>
    <row r="710" spans="1:19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</row>
    <row r="711" spans="1:19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</row>
    <row r="712" spans="1:19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</row>
    <row r="713" spans="1:19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</row>
    <row r="714" spans="1:19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</row>
    <row r="715" spans="1:19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</row>
    <row r="716" spans="1:19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</row>
    <row r="717" spans="1:19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</row>
    <row r="718" spans="1:19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</row>
    <row r="719" spans="1:19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</row>
    <row r="720" spans="1:19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</row>
    <row r="721" spans="1:19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</row>
    <row r="722" spans="1:19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</row>
    <row r="723" spans="1:19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</row>
    <row r="724" spans="1:19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</row>
    <row r="725" spans="1:19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</row>
    <row r="726" spans="1:19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</row>
    <row r="727" spans="1:19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</row>
    <row r="728" spans="1:19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</row>
    <row r="729" spans="1:19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</row>
    <row r="730" spans="1:19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</row>
    <row r="731" spans="1:19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</row>
    <row r="732" spans="1:19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</row>
    <row r="733" spans="1:19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</row>
    <row r="734" spans="1:19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</row>
    <row r="735" spans="1:19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</row>
    <row r="736" spans="1:19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</row>
    <row r="737" spans="1:19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</row>
    <row r="738" spans="1:19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</row>
    <row r="739" spans="1:19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</row>
    <row r="740" spans="1:19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</row>
    <row r="741" spans="1:19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</row>
    <row r="742" spans="1:19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</row>
    <row r="743" spans="1:19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</row>
    <row r="744" spans="1:19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</row>
    <row r="745" spans="1:19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</row>
    <row r="746" spans="1:19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</row>
    <row r="747" spans="1:19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</row>
    <row r="748" spans="1:19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</row>
    <row r="749" spans="1:19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</row>
    <row r="750" spans="1:19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</row>
    <row r="751" spans="1:19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</row>
    <row r="752" spans="1:19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</row>
    <row r="753" spans="1:19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</row>
    <row r="754" spans="1:19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</row>
    <row r="755" spans="1:19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</row>
    <row r="756" spans="1:19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</row>
    <row r="757" spans="1:19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</row>
    <row r="758" spans="1:19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</row>
    <row r="759" spans="1:19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</row>
    <row r="760" spans="1:19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</row>
    <row r="761" spans="1:19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</row>
    <row r="762" spans="1:19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</row>
    <row r="763" spans="1:19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</row>
    <row r="764" spans="1:19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</row>
    <row r="765" spans="1:19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</row>
    <row r="766" spans="1:19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</row>
    <row r="767" spans="1:19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</row>
    <row r="768" spans="1:19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</row>
    <row r="769" spans="1:19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</row>
    <row r="770" spans="1:19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</row>
    <row r="771" spans="1:19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</row>
    <row r="772" spans="1:19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</row>
    <row r="773" spans="1:19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</row>
    <row r="774" spans="1:19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</row>
    <row r="775" spans="1:19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</row>
    <row r="776" spans="1:19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</row>
    <row r="777" spans="1:19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</row>
    <row r="778" spans="1:19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</row>
    <row r="779" spans="1:19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</row>
    <row r="780" spans="1:19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</row>
    <row r="781" spans="1:19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</row>
    <row r="782" spans="1:19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</row>
    <row r="783" spans="1:19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</row>
    <row r="784" spans="1:19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</row>
    <row r="785" spans="1:19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</row>
    <row r="786" spans="1:19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</row>
    <row r="787" spans="1:19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</row>
    <row r="788" spans="1:19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</row>
    <row r="789" spans="1:19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</row>
    <row r="790" spans="1:19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</row>
    <row r="791" spans="1:19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</row>
    <row r="792" spans="1:19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</row>
    <row r="793" spans="1:19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</row>
    <row r="794" spans="1:19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</row>
    <row r="795" spans="1:19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</row>
    <row r="796" spans="1:19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</row>
    <row r="797" spans="1:19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</row>
    <row r="798" spans="1:19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</row>
    <row r="799" spans="1:19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</row>
    <row r="800" spans="1:19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</row>
    <row r="801" spans="1:19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</row>
    <row r="802" spans="1:19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</row>
    <row r="803" spans="1:19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</row>
    <row r="804" spans="1:19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</row>
    <row r="805" spans="1:19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</row>
    <row r="806" spans="1:19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</row>
    <row r="807" spans="1:19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</row>
    <row r="808" spans="1:19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</row>
    <row r="809" spans="1:19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</row>
    <row r="810" spans="1:19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</row>
    <row r="811" spans="1:19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</row>
    <row r="812" spans="1:19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</row>
    <row r="813" spans="1:19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</row>
    <row r="814" spans="1:19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</row>
    <row r="815" spans="1:19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</row>
    <row r="816" spans="1:19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</row>
    <row r="817" spans="1:19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</row>
    <row r="818" spans="1:19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</row>
    <row r="819" spans="1:19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</row>
    <row r="820" spans="1:19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</row>
    <row r="821" spans="1:19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</row>
    <row r="822" spans="1:19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</row>
    <row r="823" spans="1:19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</row>
    <row r="824" spans="1:19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</row>
    <row r="825" spans="1:19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</row>
    <row r="826" spans="1:19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</row>
    <row r="827" spans="1:19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</row>
    <row r="828" spans="1:19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</row>
    <row r="829" spans="1:19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</row>
    <row r="830" spans="1:19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</row>
    <row r="831" spans="1:19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</row>
    <row r="832" spans="1:19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</row>
    <row r="833" spans="1:19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</row>
    <row r="834" spans="1:19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</row>
    <row r="835" spans="1:19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</row>
    <row r="836" spans="1:19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</row>
    <row r="837" spans="1:19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</row>
    <row r="838" spans="1:19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</row>
    <row r="839" spans="1:19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</row>
    <row r="840" spans="1:19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</row>
    <row r="841" spans="1:19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</row>
    <row r="842" spans="1:19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</row>
    <row r="843" spans="1:19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</row>
    <row r="844" spans="1:19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</row>
    <row r="845" spans="1:19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</row>
    <row r="846" spans="1:19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</row>
    <row r="847" spans="1:19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</row>
    <row r="848" spans="1:19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</row>
    <row r="849" spans="1:19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</row>
    <row r="850" spans="1:19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</row>
    <row r="851" spans="1:19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</row>
    <row r="852" spans="1:19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</row>
    <row r="853" spans="1:19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</row>
    <row r="854" spans="1:19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</row>
    <row r="855" spans="1:19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</row>
    <row r="856" spans="1:19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</row>
    <row r="857" spans="1:19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</row>
    <row r="858" spans="1:19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</row>
    <row r="859" spans="1:19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</row>
    <row r="860" spans="1:19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</row>
    <row r="861" spans="1:19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</row>
    <row r="862" spans="1:19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</row>
    <row r="863" spans="1:19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</row>
    <row r="864" spans="1:19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</row>
    <row r="865" spans="1:19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</row>
    <row r="866" spans="1:19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</row>
    <row r="867" spans="1:19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</row>
    <row r="868" spans="1:19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</row>
    <row r="869" spans="1:19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</row>
    <row r="870" spans="1:19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</row>
    <row r="871" spans="1:19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</row>
    <row r="872" spans="1:19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</row>
    <row r="873" spans="1:19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</row>
    <row r="874" spans="1:19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</row>
    <row r="875" spans="1:19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</row>
    <row r="876" spans="1:19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</row>
    <row r="877" spans="1:19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</row>
    <row r="878" spans="1:19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</row>
    <row r="879" spans="1:19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</row>
    <row r="880" spans="1:19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</row>
    <row r="881" spans="1:19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</row>
    <row r="882" spans="1:19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</row>
    <row r="883" spans="1:19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</row>
    <row r="884" spans="1:19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</row>
    <row r="885" spans="1:19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</row>
    <row r="886" spans="1:19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</row>
    <row r="887" spans="1:19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</row>
    <row r="888" spans="1:19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</row>
    <row r="889" spans="1:19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</row>
    <row r="890" spans="1:19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</row>
    <row r="891" spans="1:19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</row>
    <row r="892" spans="1:19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</row>
    <row r="893" spans="1:19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</row>
    <row r="894" spans="1:19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</row>
    <row r="895" spans="1:19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</row>
    <row r="896" spans="1:19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</row>
    <row r="897" spans="1:19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</row>
    <row r="898" spans="1:19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</row>
    <row r="899" spans="1:19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</row>
    <row r="900" spans="1:19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</row>
    <row r="901" spans="1:19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</row>
    <row r="902" spans="1:19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</row>
    <row r="903" spans="1:19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</row>
    <row r="904" spans="1:19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</row>
    <row r="905" spans="1:19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</row>
    <row r="906" spans="1:19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</row>
    <row r="907" spans="1:19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</row>
    <row r="908" spans="1:19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</row>
    <row r="909" spans="1:19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</row>
    <row r="910" spans="1:19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</row>
    <row r="911" spans="1:19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</row>
    <row r="912" spans="1:19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</row>
    <row r="913" spans="1:19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</row>
    <row r="914" spans="1:19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</row>
    <row r="915" spans="1:19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</row>
    <row r="916" spans="1:19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</row>
    <row r="917" spans="1:19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</row>
    <row r="918" spans="1:19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</row>
    <row r="919" spans="1:19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</row>
    <row r="920" spans="1:19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</row>
    <row r="921" spans="1:19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</row>
    <row r="922" spans="1:19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</row>
    <row r="923" spans="1:19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</row>
    <row r="924" spans="1:19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</row>
    <row r="925" spans="1:19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</row>
    <row r="926" spans="1:19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</row>
    <row r="927" spans="1:19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</row>
    <row r="928" spans="1:19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</row>
    <row r="929" spans="1:19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</row>
    <row r="930" spans="1:19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</row>
    <row r="931" spans="1:19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</row>
    <row r="932" spans="1:19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</row>
    <row r="933" spans="1:19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</row>
    <row r="934" spans="1:19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</row>
    <row r="935" spans="1:19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</row>
    <row r="936" spans="1:19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</row>
    <row r="937" spans="1:19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</row>
    <row r="938" spans="1:19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</row>
    <row r="939" spans="1:19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</row>
    <row r="940" spans="1:19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</row>
    <row r="941" spans="1:19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</row>
    <row r="942" spans="1:19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</row>
    <row r="943" spans="1:19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</row>
    <row r="944" spans="1:19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</row>
    <row r="945" spans="1:19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</row>
    <row r="946" spans="1:19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</row>
    <row r="947" spans="1:19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</row>
    <row r="948" spans="1:19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</row>
    <row r="949" spans="1:19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</row>
    <row r="950" spans="1:19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</row>
    <row r="951" spans="1:19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</row>
    <row r="952" spans="1:19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</row>
    <row r="953" spans="1:19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</row>
    <row r="954" spans="1:19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</row>
    <row r="955" spans="1:19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</row>
    <row r="956" spans="1:19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</row>
    <row r="957" spans="1:19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</row>
    <row r="958" spans="1:19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</row>
    <row r="959" spans="1:19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</row>
    <row r="960" spans="1:19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</row>
    <row r="961" spans="1:19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</row>
    <row r="962" spans="1:19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</row>
    <row r="963" spans="1:19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</row>
    <row r="964" spans="1:19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</row>
    <row r="965" spans="1:19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</row>
    <row r="966" spans="1:19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</row>
    <row r="967" spans="1:19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</row>
    <row r="968" spans="1:19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</row>
    <row r="969" spans="1:19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</row>
    <row r="970" spans="1:19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</row>
    <row r="971" spans="1:19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</row>
    <row r="972" spans="1:19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</row>
    <row r="973" spans="1:19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</row>
    <row r="974" spans="1:19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</row>
    <row r="975" spans="1:19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</row>
    <row r="976" spans="1:19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</row>
    <row r="977" spans="1:19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</row>
    <row r="978" spans="1:19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</row>
    <row r="979" spans="1:19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</row>
    <row r="980" spans="1:19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</row>
    <row r="981" spans="1:19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</row>
    <row r="982" spans="1:19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</row>
    <row r="983" spans="1:19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</row>
    <row r="984" spans="1:19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</row>
    <row r="985" spans="1:19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</row>
    <row r="986" spans="1:19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</row>
    <row r="987" spans="1:19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</row>
    <row r="988" spans="1:19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</row>
    <row r="989" spans="1:19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</row>
    <row r="990" spans="1:19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</row>
    <row r="991" spans="1:19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</row>
    <row r="992" spans="1:19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</row>
    <row r="993" spans="1:19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</row>
    <row r="994" spans="1:19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</row>
    <row r="995" spans="1:19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</row>
    <row r="996" spans="1:19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</row>
    <row r="997" spans="1:19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</row>
    <row r="998" spans="1:19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</row>
    <row r="999" spans="1:19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</row>
    <row r="1000" spans="1:19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</row>
    <row r="1001" spans="1:19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</row>
    <row r="1002" spans="1:19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</row>
    <row r="1003" spans="1:19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</row>
    <row r="1004" spans="1:19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</row>
    <row r="1005" spans="1:19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</row>
    <row r="1006" spans="1:19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</row>
    <row r="1007" spans="1:19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</row>
    <row r="1008" spans="1:19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</row>
    <row r="1009" spans="1:19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</row>
    <row r="1010" spans="1:19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</row>
    <row r="1011" spans="1:19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</row>
    <row r="1012" spans="1:19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</row>
    <row r="1013" spans="1:19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</row>
    <row r="1014" spans="1:19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</row>
    <row r="1015" spans="1:19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</row>
    <row r="1016" spans="1:19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</row>
    <row r="1017" spans="1:19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</row>
    <row r="1018" spans="1:19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</row>
    <row r="1019" spans="1:19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</row>
    <row r="1020" spans="1:19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</row>
    <row r="1021" spans="1:19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</row>
    <row r="1022" spans="1:19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</row>
    <row r="1023" spans="1:19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</row>
    <row r="1024" spans="1:19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</row>
    <row r="1025" spans="1:19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</row>
    <row r="1026" spans="1:19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</row>
    <row r="1027" spans="1:19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</row>
    <row r="1028" spans="1:19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</row>
    <row r="1029" spans="1:19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</row>
    <row r="1030" spans="1:19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</row>
    <row r="1031" spans="1:19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</row>
    <row r="1032" spans="1:19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</row>
    <row r="1033" spans="1:19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</row>
    <row r="1034" spans="1:19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</row>
    <row r="1035" spans="1:19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</row>
    <row r="1036" spans="1:19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</row>
    <row r="1037" spans="1:19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</row>
    <row r="1038" spans="1:19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</row>
    <row r="1039" spans="1:19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</row>
    <row r="1040" spans="1:19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</row>
    <row r="1041" spans="1:19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</row>
    <row r="1042" spans="1:19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</row>
    <row r="1043" spans="1:19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</row>
    <row r="1044" spans="1:19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</row>
    <row r="1045" spans="1:19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</row>
    <row r="1046" spans="1:19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</row>
    <row r="1047" spans="1:19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</row>
    <row r="1048" spans="1:19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</row>
    <row r="1049" spans="1:19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</row>
    <row r="1050" spans="1:19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</row>
    <row r="1051" spans="1:19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</row>
    <row r="1052" spans="1:19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</row>
    <row r="1053" spans="1:19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</row>
    <row r="1054" spans="1:19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</row>
    <row r="1055" spans="1:19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</row>
    <row r="1056" spans="1:19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</row>
    <row r="1057" spans="1:19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</row>
    <row r="1058" spans="1:19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</row>
    <row r="1059" spans="1:19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</row>
    <row r="1060" spans="1:19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</row>
    <row r="1061" spans="1:19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</row>
    <row r="1062" spans="1:19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</row>
    <row r="1063" spans="1:19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</row>
    <row r="1064" spans="1:19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</row>
    <row r="1065" spans="1:19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</row>
    <row r="1066" spans="1:19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</row>
    <row r="1067" spans="1:19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</row>
    <row r="1068" spans="1:19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</row>
    <row r="1069" spans="1:19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</row>
    <row r="1070" spans="1:19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</row>
    <row r="1071" spans="1:19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</row>
    <row r="1072" spans="1:19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</row>
    <row r="1073" spans="1:19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</row>
    <row r="1074" spans="1:19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</row>
    <row r="1075" spans="1:19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</row>
    <row r="1076" spans="1:19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</row>
    <row r="1077" spans="1:19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</row>
    <row r="1078" spans="1:19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</row>
    <row r="1079" spans="1:19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</row>
    <row r="1080" spans="1:19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</row>
    <row r="1081" spans="1:19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</row>
    <row r="1082" spans="1:19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</row>
    <row r="1083" spans="1:19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</row>
    <row r="1084" spans="1:19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</row>
    <row r="1085" spans="1:19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</row>
    <row r="1086" spans="1:19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</row>
    <row r="1087" spans="1:19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</row>
    <row r="1088" spans="1:19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</row>
    <row r="1089" spans="1:19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</row>
    <row r="1090" spans="1:19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</row>
    <row r="1091" spans="1:19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</row>
    <row r="1092" spans="1:19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</row>
    <row r="1093" spans="1:19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</row>
    <row r="1094" spans="1:19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</row>
    <row r="1095" spans="1:19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</row>
    <row r="1096" spans="1:19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</row>
    <row r="1097" spans="1:19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</row>
    <row r="1098" spans="1:19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</row>
    <row r="1099" spans="1:19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</row>
    <row r="1100" spans="1:19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</row>
    <row r="1101" spans="1:19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</row>
    <row r="1102" spans="1:19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</row>
    <row r="1103" spans="1:19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</row>
    <row r="1104" spans="1:19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</row>
    <row r="1105" spans="1:19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</row>
    <row r="1106" spans="1:19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</row>
    <row r="1107" spans="1:19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</row>
    <row r="1108" spans="1:19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</row>
    <row r="1109" spans="1:19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</row>
    <row r="1110" spans="1:19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</row>
    <row r="1111" spans="1:19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</row>
    <row r="1112" spans="1:19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</row>
    <row r="1113" spans="1:19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</row>
    <row r="1114" spans="1:19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</row>
    <row r="1115" spans="1:19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</row>
    <row r="1116" spans="1:19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</row>
    <row r="1117" spans="1:19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</row>
    <row r="1118" spans="1:19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</row>
    <row r="1119" spans="1:19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</row>
    <row r="1120" spans="1:19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</row>
    <row r="1121" spans="1:19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</row>
    <row r="1122" spans="1:19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</row>
    <row r="1123" spans="1:19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</row>
    <row r="1124" spans="1:19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</row>
    <row r="1125" spans="1:19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</row>
    <row r="1126" spans="1:19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</row>
    <row r="1127" spans="1:19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</row>
    <row r="1128" spans="1:19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</row>
    <row r="1129" spans="1:19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</row>
    <row r="1130" spans="1:19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</row>
    <row r="1131" spans="1:19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</row>
    <row r="1132" spans="1:19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</row>
    <row r="1133" spans="1:19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</row>
    <row r="1134" spans="1:19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</row>
    <row r="1135" spans="1:19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</row>
    <row r="1136" spans="1:19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</row>
    <row r="1137" spans="1:19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</row>
    <row r="1138" spans="1:19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</row>
    <row r="1139" spans="1:19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</row>
    <row r="1140" spans="1:19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</row>
    <row r="1141" spans="1:19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</row>
    <row r="1142" spans="1:19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</row>
    <row r="1143" spans="1:19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</row>
    <row r="1144" spans="1:19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</row>
    <row r="1145" spans="1:19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</row>
    <row r="1146" spans="1:19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</row>
    <row r="1147" spans="1:19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</row>
    <row r="1148" spans="1:19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</row>
    <row r="1149" spans="1:19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</row>
    <row r="1150" spans="1:19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</row>
    <row r="1151" spans="1:19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</row>
    <row r="1152" spans="1:19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</row>
    <row r="1153" spans="3:19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</row>
    <row r="1154" spans="3:19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2018-01-26T22:13:22Z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